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atome\Dropbox\2_Ensino\1Ciclo-InventarioFlorestal\Powerpoint\Paula_2019-2020\"/>
    </mc:Choice>
  </mc:AlternateContent>
  <bookViews>
    <workbookView xWindow="0" yWindow="0" windowWidth="23040" windowHeight="9192" activeTab="1"/>
  </bookViews>
  <sheets>
    <sheet name="3.2.4-pag27" sheetId="6" r:id="rId1"/>
    <sheet name="3.2.5-pag27" sheetId="7" r:id="rId2"/>
  </sheets>
  <definedNames>
    <definedName name="UT">#REF!</definedName>
  </definedNames>
  <calcPr calcId="162913"/>
</workbook>
</file>

<file path=xl/calcChain.xml><?xml version="1.0" encoding="utf-8"?>
<calcChain xmlns="http://schemas.openxmlformats.org/spreadsheetml/2006/main">
  <c r="B29" i="7" l="1"/>
  <c r="E13" i="7"/>
  <c r="B13" i="7"/>
  <c r="C5" i="6" l="1"/>
  <c r="B81" i="7" l="1"/>
  <c r="K66" i="7"/>
  <c r="B8" i="7"/>
  <c r="B31" i="7" l="1"/>
  <c r="B37" i="7" s="1"/>
  <c r="I76" i="7"/>
  <c r="I62" i="7"/>
  <c r="C62" i="7"/>
  <c r="B45" i="7"/>
  <c r="B65" i="7" l="1"/>
  <c r="E65" i="7" s="1"/>
  <c r="B80" i="7"/>
  <c r="O52" i="7" l="1"/>
  <c r="C20" i="7"/>
  <c r="B14" i="7" l="1"/>
  <c r="D14" i="7" s="1"/>
  <c r="D13" i="7"/>
  <c r="C63" i="7" l="1"/>
  <c r="C15" i="7"/>
  <c r="C14" i="7"/>
  <c r="E14" i="7" s="1"/>
  <c r="B15" i="7"/>
  <c r="D15" i="7" s="1"/>
  <c r="B16" i="7"/>
  <c r="B17" i="7"/>
  <c r="D17" i="7" s="1"/>
  <c r="B18" i="7"/>
  <c r="D18" i="7" s="1"/>
  <c r="B19" i="7"/>
  <c r="D19" i="7" s="1"/>
  <c r="E20" i="7" s="1"/>
  <c r="B20" i="7"/>
  <c r="G8" i="7"/>
  <c r="G31" i="7" s="1"/>
  <c r="C77" i="7"/>
  <c r="C76" i="7"/>
  <c r="B6" i="6"/>
  <c r="B7" i="6" s="1"/>
  <c r="B8" i="6" s="1"/>
  <c r="D4" i="6"/>
  <c r="D5" i="6" s="1"/>
  <c r="E4" i="6"/>
  <c r="F4" i="6" s="1"/>
  <c r="D16" i="7"/>
  <c r="C16" i="7"/>
  <c r="C17" i="7"/>
  <c r="C18" i="7"/>
  <c r="C19" i="7"/>
  <c r="D20" i="7"/>
  <c r="C43" i="7"/>
  <c r="B43" i="7"/>
  <c r="D43" i="7" s="1"/>
  <c r="B44" i="7"/>
  <c r="D44" i="7" s="1"/>
  <c r="C44" i="7"/>
  <c r="D45" i="7"/>
  <c r="C45" i="7"/>
  <c r="B46" i="7"/>
  <c r="D46" i="7" s="1"/>
  <c r="C46" i="7"/>
  <c r="B47" i="7"/>
  <c r="D47" i="7" s="1"/>
  <c r="C47" i="7"/>
  <c r="B48" i="7"/>
  <c r="D48" i="7" s="1"/>
  <c r="C48" i="7"/>
  <c r="B49" i="7"/>
  <c r="D49" i="7" s="1"/>
  <c r="C49" i="7"/>
  <c r="B50" i="7"/>
  <c r="D50" i="7" s="1"/>
  <c r="C50" i="7"/>
  <c r="B51" i="7"/>
  <c r="D51" i="7" s="1"/>
  <c r="C51" i="7"/>
  <c r="B52" i="7"/>
  <c r="D52" i="7" s="1"/>
  <c r="C52" i="7"/>
  <c r="C53" i="7"/>
  <c r="B53" i="7"/>
  <c r="D53" i="7" s="1"/>
  <c r="C13" i="7"/>
  <c r="E80" i="7"/>
  <c r="G29" i="7"/>
  <c r="H65" i="7" s="1"/>
  <c r="G30" i="7"/>
  <c r="B30" i="7"/>
  <c r="B35" i="7" s="1"/>
  <c r="G35" i="7" l="1"/>
  <c r="H66" i="7"/>
  <c r="D7" i="6"/>
  <c r="F7" i="6"/>
  <c r="E7" i="6"/>
  <c r="E17" i="7"/>
  <c r="E6" i="6"/>
  <c r="C6" i="6"/>
  <c r="F6" i="6"/>
  <c r="D6" i="6"/>
  <c r="E8" i="6"/>
  <c r="F8" i="6"/>
  <c r="H80" i="7"/>
  <c r="G34" i="7"/>
  <c r="E15" i="7"/>
  <c r="B66" i="7"/>
  <c r="E66" i="7" s="1"/>
  <c r="E52" i="7"/>
  <c r="H81" i="7"/>
  <c r="E45" i="7"/>
  <c r="E51" i="7"/>
  <c r="E46" i="7"/>
  <c r="G36" i="7"/>
  <c r="H82" i="7"/>
  <c r="K82" i="7" s="1"/>
  <c r="G37" i="7"/>
  <c r="H83" i="7"/>
  <c r="K83" i="7" s="1"/>
  <c r="H67" i="7"/>
  <c r="K67" i="7" s="1"/>
  <c r="H68" i="7"/>
  <c r="K68" i="7" s="1"/>
  <c r="E16" i="7"/>
  <c r="B34" i="7"/>
  <c r="E48" i="7"/>
  <c r="E81" i="7"/>
  <c r="E53" i="7"/>
  <c r="G53" i="7" s="1"/>
  <c r="E50" i="7"/>
  <c r="E49" i="7"/>
  <c r="E44" i="7"/>
  <c r="E43" i="7"/>
  <c r="E19" i="7"/>
  <c r="E18" i="7"/>
  <c r="E47" i="7"/>
  <c r="G4" i="6"/>
  <c r="G7" i="6" s="1"/>
  <c r="B9" i="6"/>
  <c r="E5" i="6"/>
  <c r="K81" i="7" l="1"/>
  <c r="K84" i="7" s="1"/>
  <c r="F9" i="6"/>
  <c r="G9" i="6"/>
  <c r="G8" i="6"/>
  <c r="E22" i="7"/>
  <c r="B36" i="7"/>
  <c r="E55" i="7"/>
  <c r="G45" i="7"/>
  <c r="G52" i="7"/>
  <c r="G48" i="7"/>
  <c r="K69" i="7"/>
  <c r="B68" i="7"/>
  <c r="E68" i="7" s="1"/>
  <c r="B67" i="7"/>
  <c r="B82" i="7"/>
  <c r="E82" i="7" s="1"/>
  <c r="B83" i="7"/>
  <c r="E83" i="7" s="1"/>
  <c r="B10" i="6"/>
  <c r="H4" i="6"/>
  <c r="H9" i="6" s="1"/>
  <c r="E84" i="7" l="1"/>
  <c r="G10" i="6"/>
  <c r="H10" i="6"/>
  <c r="H7" i="6"/>
  <c r="H8" i="6"/>
  <c r="E67" i="7"/>
  <c r="E69" i="7" s="1"/>
  <c r="B11" i="6"/>
  <c r="I4" i="6"/>
  <c r="I9" i="6" s="1"/>
  <c r="I11" i="6" l="1"/>
  <c r="H11" i="6"/>
  <c r="I10" i="6"/>
  <c r="J4" i="6"/>
  <c r="I8" i="6"/>
  <c r="B12" i="6"/>
  <c r="J9" i="6" l="1"/>
  <c r="J10" i="6"/>
  <c r="J12" i="6"/>
  <c r="I12" i="6"/>
  <c r="J11" i="6"/>
  <c r="K4" i="6"/>
  <c r="K12" i="6" s="1"/>
  <c r="J8" i="6"/>
  <c r="B13" i="6"/>
  <c r="K13" i="6" l="1"/>
  <c r="I13" i="6"/>
  <c r="J13" i="6"/>
  <c r="K9" i="6"/>
  <c r="K10" i="6"/>
  <c r="K11" i="6"/>
  <c r="B14" i="6"/>
  <c r="L4" i="6"/>
  <c r="L10" i="6" l="1"/>
  <c r="L11" i="6"/>
  <c r="L12" i="6"/>
  <c r="L14" i="6"/>
  <c r="I14" i="6"/>
  <c r="J14" i="6"/>
  <c r="K14" i="6"/>
  <c r="L13" i="6"/>
  <c r="M4" i="6"/>
  <c r="B15" i="6"/>
  <c r="M10" i="6" l="1"/>
  <c r="M11" i="6"/>
  <c r="M12" i="6"/>
  <c r="M13" i="6"/>
  <c r="M14" i="6"/>
  <c r="M15" i="6"/>
  <c r="B16" i="6"/>
  <c r="N4" i="6"/>
  <c r="N12" i="6" l="1"/>
  <c r="N13" i="6"/>
  <c r="N14" i="6"/>
  <c r="N15" i="6"/>
  <c r="N16" i="6"/>
  <c r="O4" i="6"/>
  <c r="N11" i="6"/>
  <c r="B17" i="6"/>
  <c r="O12" i="6" l="1"/>
  <c r="O13" i="6"/>
  <c r="O14" i="6"/>
  <c r="O15" i="6"/>
  <c r="O17" i="6"/>
  <c r="O16" i="6"/>
  <c r="P4" i="6"/>
  <c r="P17" i="6" s="1"/>
  <c r="P13" i="6" l="1"/>
  <c r="P14" i="6"/>
  <c r="P15" i="6"/>
  <c r="P16" i="6"/>
</calcChain>
</file>

<file path=xl/sharedStrings.xml><?xml version="1.0" encoding="utf-8"?>
<sst xmlns="http://schemas.openxmlformats.org/spreadsheetml/2006/main" count="129" uniqueCount="58">
  <si>
    <t>bicada</t>
  </si>
  <si>
    <t>m</t>
  </si>
  <si>
    <t>m3</t>
  </si>
  <si>
    <t>cm</t>
  </si>
  <si>
    <t>di</t>
  </si>
  <si>
    <t>d=</t>
  </si>
  <si>
    <t>h=</t>
  </si>
  <si>
    <t>v=</t>
  </si>
  <si>
    <t>v25=</t>
  </si>
  <si>
    <t>v18=</t>
  </si>
  <si>
    <t>v5=</t>
  </si>
  <si>
    <t>&gt;25</t>
  </si>
  <si>
    <t>v(25;18)=</t>
  </si>
  <si>
    <t>v(18;5)=</t>
  </si>
  <si>
    <t>v(di&lt;5)=</t>
  </si>
  <si>
    <t>hi</t>
  </si>
  <si>
    <t>htoro</t>
  </si>
  <si>
    <t>gi</t>
  </si>
  <si>
    <t>vi</t>
  </si>
  <si>
    <r>
      <t>a) Volume total com uma EVT - v = 0.00005126 d</t>
    </r>
    <r>
      <rPr>
        <b/>
        <vertAlign val="superscript"/>
        <sz val="10"/>
        <rFont val="Arial"/>
        <family val="2"/>
      </rPr>
      <t>2.0507</t>
    </r>
    <r>
      <rPr>
        <b/>
        <sz val="10"/>
        <rFont val="Arial"/>
        <family val="2"/>
      </rPr>
      <t xml:space="preserve"> h</t>
    </r>
    <r>
      <rPr>
        <b/>
        <vertAlign val="superscript"/>
        <sz val="10"/>
        <rFont val="Arial"/>
        <family val="2"/>
      </rPr>
      <t>0.8428</t>
    </r>
  </si>
  <si>
    <r>
      <t>b) Volume total com uma EPT - 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d (-2.1823 (h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/h-1)+0.8591 (h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-1))</t>
    </r>
    <r>
      <rPr>
        <b/>
        <vertAlign val="superscript"/>
        <sz val="10"/>
        <rFont val="Arial"/>
        <family val="2"/>
      </rPr>
      <t>0.5</t>
    </r>
  </si>
  <si>
    <t>volume total=</t>
  </si>
  <si>
    <r>
      <t>d) Volume por cat. aprov. com uma EPT - 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d (-2.1823 (h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/h-1)+0.8591 (h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-1))</t>
    </r>
    <r>
      <rPr>
        <b/>
        <vertAlign val="superscript"/>
        <sz val="10"/>
        <rFont val="Arial"/>
        <family val="2"/>
      </rPr>
      <t>0.5</t>
    </r>
  </si>
  <si>
    <t>Árvore com d=25.5 cm e h=12.9 m</t>
  </si>
  <si>
    <t>Árvore com d=22.5 cm e h=11.9 m</t>
  </si>
  <si>
    <t>&lt; 25</t>
  </si>
  <si>
    <t>categoria 1</t>
  </si>
  <si>
    <t>categoria 2</t>
  </si>
  <si>
    <t>categoria 3</t>
  </si>
  <si>
    <t>não há madeira</t>
  </si>
  <si>
    <t>v25.29=</t>
  </si>
  <si>
    <t>v(25.29;18)=</t>
  </si>
  <si>
    <t>total</t>
  </si>
  <si>
    <t>altura (h)</t>
  </si>
  <si>
    <t>Diâmetro (d)</t>
  </si>
  <si>
    <t>Árvore com d=22.5 cm e h=10.9 m</t>
  </si>
  <si>
    <t>&lt;25</t>
  </si>
  <si>
    <r>
      <t>ELABORAÇÃO DE UMA TABELA DE VOLUME - Azevedo Gomes (1952) - v = 0.0052 + 0.00003374 d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h</t>
    </r>
  </si>
  <si>
    <t>Na aplicação da EPT: d (cm), h (m), hi (m)</t>
  </si>
  <si>
    <t>Independentemente do</t>
  </si>
  <si>
    <t>comprimento do toro</t>
  </si>
  <si>
    <t>d&gt;=25</t>
  </si>
  <si>
    <t>18&lt;=d&lt;25</t>
  </si>
  <si>
    <t>5&lt;=d&lt;18</t>
  </si>
  <si>
    <t xml:space="preserve">RESOLUÇÃO: </t>
  </si>
  <si>
    <t>data - what-if-analysis - goal seek</t>
  </si>
  <si>
    <t>dados - análise de hipóteses - atingir objetivo</t>
  </si>
  <si>
    <t>di(hi=2.15)</t>
  </si>
  <si>
    <t>EPT</t>
  </si>
  <si>
    <t>EVP</t>
  </si>
  <si>
    <t>Categorias de aproveitamento:</t>
  </si>
  <si>
    <r>
      <t>No cálculo do volume total: g (m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), htoro (m)</t>
    </r>
  </si>
  <si>
    <t>e) igual a c), mas com toros de madeira (d&gt;25 cm) com comp. &gt; 2 m</t>
  </si>
  <si>
    <t>f) igual a c), mas com toros de madeira (d&gt;25 cm) com comp. = 2 m</t>
  </si>
  <si>
    <r>
      <t>m</t>
    </r>
    <r>
      <rPr>
        <vertAlign val="superscript"/>
        <sz val="10"/>
        <rFont val="Arial"/>
        <family val="2"/>
      </rPr>
      <t>3</t>
    </r>
  </si>
  <si>
    <r>
      <t>c) Volume por categorias de aproveitamento com uma EVP - P</t>
    </r>
    <r>
      <rPr>
        <b/>
        <vertAlign val="subscript"/>
        <sz val="10"/>
        <rFont val="Arial"/>
        <family val="2"/>
      </rPr>
      <t>di</t>
    </r>
    <r>
      <rPr>
        <b/>
        <sz val="10"/>
        <rFont val="Arial"/>
        <family val="2"/>
      </rPr>
      <t xml:space="preserve"> = v</t>
    </r>
    <r>
      <rPr>
        <b/>
        <vertAlign val="subscript"/>
        <sz val="10"/>
        <rFont val="Arial"/>
        <family val="2"/>
      </rPr>
      <t>di</t>
    </r>
    <r>
      <rPr>
        <b/>
        <sz val="10"/>
        <rFont val="Arial"/>
        <family val="2"/>
      </rPr>
      <t>/v = exp(-0.7084 d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4.5317</t>
    </r>
    <r>
      <rPr>
        <b/>
        <sz val="10"/>
        <rFont val="Arial"/>
        <family val="2"/>
      </rPr>
      <t>/d</t>
    </r>
    <r>
      <rPr>
        <b/>
        <vertAlign val="superscript"/>
        <sz val="10"/>
        <rFont val="Arial"/>
        <family val="2"/>
      </rPr>
      <t>4.3164</t>
    </r>
    <r>
      <rPr>
        <b/>
        <sz val="10"/>
        <rFont val="Arial"/>
        <family val="2"/>
      </rPr>
      <t>)</t>
    </r>
  </si>
  <si>
    <t>di(hi=4.15)</t>
  </si>
  <si>
    <t>&lt; 25 cm   logo, o 2º toro já não é madeira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</si>
</sst>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"/>
    <numFmt numFmtId="166" formatCode="0.0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5" tint="0.3999755851924192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2" borderId="0" xfId="0" applyFont="1" applyFill="1"/>
    <xf numFmtId="2" fontId="2" fillId="0" borderId="0" xfId="0" applyNumberFormat="1" applyFont="1"/>
    <xf numFmtId="0" fontId="2" fillId="0" borderId="2" xfId="0" applyFon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4" xfId="0" applyNumberFormat="1" applyBorder="1"/>
    <xf numFmtId="164" fontId="0" fillId="2" borderId="0" xfId="0" applyNumberFormat="1" applyFill="1" applyBorder="1"/>
    <xf numFmtId="164" fontId="0" fillId="0" borderId="3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2" xfId="0" applyNumberFormat="1" applyBorder="1"/>
    <xf numFmtId="2" fontId="0" fillId="0" borderId="5" xfId="0" applyNumberFormat="1" applyBorder="1"/>
    <xf numFmtId="0" fontId="0" fillId="0" borderId="5" xfId="0" applyBorder="1"/>
    <xf numFmtId="0" fontId="0" fillId="0" borderId="1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0" borderId="16" xfId="0" applyNumberFormat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64" fontId="0" fillId="0" borderId="19" xfId="0" applyNumberFormat="1" applyBorder="1"/>
    <xf numFmtId="0" fontId="5" fillId="0" borderId="1" xfId="0" applyFont="1" applyBorder="1"/>
    <xf numFmtId="0" fontId="1" fillId="0" borderId="0" xfId="0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66" fontId="0" fillId="0" borderId="0" xfId="0" applyNumberFormat="1"/>
    <xf numFmtId="164" fontId="0" fillId="0" borderId="28" xfId="0" applyNumberFormat="1" applyBorder="1"/>
    <xf numFmtId="0" fontId="2" fillId="0" borderId="0" xfId="0" applyFont="1"/>
    <xf numFmtId="166" fontId="0" fillId="0" borderId="0" xfId="0" applyNumberFormat="1" applyBorder="1"/>
    <xf numFmtId="166" fontId="0" fillId="0" borderId="1" xfId="0" applyNumberFormat="1" applyBorder="1"/>
    <xf numFmtId="166" fontId="0" fillId="0" borderId="1" xfId="0" applyNumberFormat="1" applyFill="1" applyBorder="1"/>
    <xf numFmtId="2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4" fillId="3" borderId="0" xfId="0" applyFont="1" applyFill="1"/>
    <xf numFmtId="2" fontId="0" fillId="0" borderId="0" xfId="0" applyNumberForma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166" fontId="0" fillId="0" borderId="2" xfId="0" applyNumberFormat="1" applyBorder="1"/>
    <xf numFmtId="166" fontId="0" fillId="0" borderId="5" xfId="0" applyNumberForma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283633</xdr:colOff>
      <xdr:row>25</xdr:row>
      <xdr:rowOff>61386</xdr:rowOff>
    </xdr:from>
    <xdr:to>
      <xdr:col>12</xdr:col>
      <xdr:colOff>102658</xdr:colOff>
      <xdr:row>37</xdr:row>
      <xdr:rowOff>13761</xdr:rowOff>
    </xdr:to>
    <xdr:sp macro="" textlink="">
      <xdr:nvSpPr>
        <xdr:cNvPr id="2" name="Triângulo isósceles 1"/>
        <xdr:cNvSpPr/>
      </xdr:nvSpPr>
      <xdr:spPr bwMode="auto">
        <a:xfrm>
          <a:off x="6337300" y="3917953"/>
          <a:ext cx="428625" cy="1895475"/>
        </a:xfrm>
        <a:prstGeom prst="triangle">
          <a:avLst>
            <a:gd name="adj" fmla="val 515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169333</xdr:colOff>
      <xdr:row>35</xdr:row>
      <xdr:rowOff>13763</xdr:rowOff>
    </xdr:from>
    <xdr:to>
      <xdr:col>12</xdr:col>
      <xdr:colOff>245533</xdr:colOff>
      <xdr:row>35</xdr:row>
      <xdr:rowOff>13763</xdr:rowOff>
    </xdr:to>
    <xdr:cxnSp macro="">
      <xdr:nvCxnSpPr>
        <xdr:cNvPr id="4" name="Conexão recta 3"/>
        <xdr:cNvCxnSpPr/>
      </xdr:nvCxnSpPr>
      <xdr:spPr bwMode="auto">
        <a:xfrm>
          <a:off x="6223000" y="5491696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169333</xdr:colOff>
      <xdr:row>27</xdr:row>
      <xdr:rowOff>17996</xdr:rowOff>
    </xdr:from>
    <xdr:to>
      <xdr:col>12</xdr:col>
      <xdr:colOff>245533</xdr:colOff>
      <xdr:row>27</xdr:row>
      <xdr:rowOff>17996</xdr:rowOff>
    </xdr:to>
    <xdr:cxnSp macro="">
      <xdr:nvCxnSpPr>
        <xdr:cNvPr id="5" name="Conexão recta 4"/>
        <xdr:cNvCxnSpPr/>
      </xdr:nvCxnSpPr>
      <xdr:spPr bwMode="auto">
        <a:xfrm>
          <a:off x="6223000" y="4196296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159808</xdr:colOff>
      <xdr:row>31</xdr:row>
      <xdr:rowOff>109012</xdr:rowOff>
    </xdr:from>
    <xdr:to>
      <xdr:col>12</xdr:col>
      <xdr:colOff>236008</xdr:colOff>
      <xdr:row>31</xdr:row>
      <xdr:rowOff>109012</xdr:rowOff>
    </xdr:to>
    <xdr:cxnSp macro="">
      <xdr:nvCxnSpPr>
        <xdr:cNvPr id="6" name="Conexão recta 5"/>
        <xdr:cNvCxnSpPr/>
      </xdr:nvCxnSpPr>
      <xdr:spPr bwMode="auto">
        <a:xfrm>
          <a:off x="6213475" y="4943479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274108</xdr:colOff>
      <xdr:row>34</xdr:row>
      <xdr:rowOff>42336</xdr:rowOff>
    </xdr:from>
    <xdr:to>
      <xdr:col>13</xdr:col>
      <xdr:colOff>83608</xdr:colOff>
      <xdr:row>35</xdr:row>
      <xdr:rowOff>99487</xdr:rowOff>
    </xdr:to>
    <xdr:sp macro="" textlink="">
      <xdr:nvSpPr>
        <xdr:cNvPr id="7" name="CaixaDeTexto 6"/>
        <xdr:cNvSpPr txBox="1"/>
      </xdr:nvSpPr>
      <xdr:spPr>
        <a:xfrm>
          <a:off x="6937375" y="5359403"/>
          <a:ext cx="419100" cy="218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25</a:t>
          </a:r>
        </a:p>
      </xdr:txBody>
    </xdr:sp>
    <xdr:clientData/>
  </xdr:twoCellAnchor>
  <xdr:twoCellAnchor>
    <xdr:from>
      <xdr:col>12</xdr:col>
      <xdr:colOff>226483</xdr:colOff>
      <xdr:row>30</xdr:row>
      <xdr:rowOff>151345</xdr:rowOff>
    </xdr:from>
    <xdr:to>
      <xdr:col>13</xdr:col>
      <xdr:colOff>35983</xdr:colOff>
      <xdr:row>32</xdr:row>
      <xdr:rowOff>61388</xdr:rowOff>
    </xdr:to>
    <xdr:sp macro="" textlink="">
      <xdr:nvSpPr>
        <xdr:cNvPr id="8" name="CaixaDeTexto 7"/>
        <xdr:cNvSpPr txBox="1"/>
      </xdr:nvSpPr>
      <xdr:spPr>
        <a:xfrm>
          <a:off x="6889750" y="4820712"/>
          <a:ext cx="419100" cy="236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18</a:t>
          </a:r>
        </a:p>
      </xdr:txBody>
    </xdr:sp>
    <xdr:clientData/>
  </xdr:twoCellAnchor>
  <xdr:twoCellAnchor>
    <xdr:from>
      <xdr:col>12</xdr:col>
      <xdr:colOff>236008</xdr:colOff>
      <xdr:row>26</xdr:row>
      <xdr:rowOff>42338</xdr:rowOff>
    </xdr:from>
    <xdr:to>
      <xdr:col>13</xdr:col>
      <xdr:colOff>45508</xdr:colOff>
      <xdr:row>27</xdr:row>
      <xdr:rowOff>103721</xdr:rowOff>
    </xdr:to>
    <xdr:sp macro="" textlink="">
      <xdr:nvSpPr>
        <xdr:cNvPr id="10" name="CaixaDeTexto 9"/>
        <xdr:cNvSpPr txBox="1"/>
      </xdr:nvSpPr>
      <xdr:spPr>
        <a:xfrm>
          <a:off x="6899275" y="4059771"/>
          <a:ext cx="41910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7"/>
  <sheetViews>
    <sheetView zoomScale="112" zoomScaleNormal="112" workbookViewId="0">
      <selection activeCell="K13" sqref="K13"/>
    </sheetView>
  </sheetViews>
  <sheetFormatPr defaultRowHeight="13.2" x14ac:dyDescent="0.25"/>
  <cols>
    <col min="1" max="1" width="3.77734375" customWidth="1"/>
    <col min="2" max="2" width="3" bestFit="1" customWidth="1"/>
    <col min="3" max="8" width="7.5546875" bestFit="1" customWidth="1"/>
    <col min="10" max="16" width="7.5546875" bestFit="1" customWidth="1"/>
  </cols>
  <sheetData>
    <row r="1" spans="1:16" ht="15.6" x14ac:dyDescent="0.25">
      <c r="I1" s="8" t="s">
        <v>37</v>
      </c>
    </row>
    <row r="2" spans="1:16" ht="13.8" thickBot="1" x14ac:dyDescent="0.3"/>
    <row r="3" spans="1:16" ht="16.2" thickBot="1" x14ac:dyDescent="0.35">
      <c r="C3" s="63" t="s">
        <v>33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ht="13.8" thickBot="1" x14ac:dyDescent="0.3">
      <c r="B4" s="33"/>
      <c r="C4" s="34">
        <v>8</v>
      </c>
      <c r="D4" s="20">
        <f>C4+2</f>
        <v>10</v>
      </c>
      <c r="E4" s="20">
        <f t="shared" ref="E4:O4" si="0">D4+2</f>
        <v>12</v>
      </c>
      <c r="F4" s="20">
        <f t="shared" si="0"/>
        <v>14</v>
      </c>
      <c r="G4" s="20">
        <f t="shared" si="0"/>
        <v>16</v>
      </c>
      <c r="H4" s="20">
        <f t="shared" si="0"/>
        <v>18</v>
      </c>
      <c r="I4" s="20">
        <f t="shared" si="0"/>
        <v>20</v>
      </c>
      <c r="J4" s="20">
        <f t="shared" si="0"/>
        <v>22</v>
      </c>
      <c r="K4" s="20">
        <f t="shared" si="0"/>
        <v>24</v>
      </c>
      <c r="L4" s="20">
        <f t="shared" si="0"/>
        <v>26</v>
      </c>
      <c r="M4" s="20">
        <f t="shared" si="0"/>
        <v>28</v>
      </c>
      <c r="N4" s="20">
        <f t="shared" si="0"/>
        <v>30</v>
      </c>
      <c r="O4" s="20">
        <f t="shared" si="0"/>
        <v>32</v>
      </c>
      <c r="P4" s="21">
        <f>O4+2</f>
        <v>34</v>
      </c>
    </row>
    <row r="5" spans="1:16" ht="13.8" thickBot="1" x14ac:dyDescent="0.3">
      <c r="A5" s="66" t="s">
        <v>34</v>
      </c>
      <c r="B5" s="35">
        <v>10</v>
      </c>
      <c r="C5" s="22">
        <f>0.0052+0.00003374*$B5^2*C$4</f>
        <v>3.2191999999999998E-2</v>
      </c>
      <c r="D5" s="23">
        <f t="shared" ref="D5:H11" si="1">0.0052+0.00003374*$B5^2*D$4</f>
        <v>3.8940000000000002E-2</v>
      </c>
      <c r="E5" s="23">
        <f t="shared" si="1"/>
        <v>4.5687999999999993E-2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3.8" thickBot="1" x14ac:dyDescent="0.3">
      <c r="A6" s="67"/>
      <c r="B6" s="18">
        <f>B5+5</f>
        <v>15</v>
      </c>
      <c r="C6" s="22">
        <f>0.0052+0.00003374*$B6^2*C$4</f>
        <v>6.5932000000000004E-2</v>
      </c>
      <c r="D6" s="23">
        <f t="shared" si="1"/>
        <v>8.1114999999999993E-2</v>
      </c>
      <c r="E6" s="23">
        <f t="shared" si="1"/>
        <v>9.6297999999999995E-2</v>
      </c>
      <c r="F6" s="23">
        <f t="shared" si="1"/>
        <v>0.111481</v>
      </c>
      <c r="G6" s="10"/>
      <c r="H6" s="10"/>
      <c r="I6" s="10"/>
      <c r="J6" s="10"/>
      <c r="K6" s="10"/>
      <c r="L6" s="10"/>
      <c r="M6" s="10"/>
      <c r="N6" s="10"/>
      <c r="O6" s="10"/>
      <c r="P6" s="26"/>
    </row>
    <row r="7" spans="1:16" ht="13.8" thickBot="1" x14ac:dyDescent="0.3">
      <c r="A7" s="67"/>
      <c r="B7" s="18">
        <f t="shared" ref="B7:B17" si="2">B6+5</f>
        <v>20</v>
      </c>
      <c r="C7" s="27"/>
      <c r="D7" s="23">
        <f t="shared" si="1"/>
        <v>0.14016000000000001</v>
      </c>
      <c r="E7" s="23">
        <f t="shared" si="1"/>
        <v>0.167152</v>
      </c>
      <c r="F7" s="23">
        <f t="shared" si="1"/>
        <v>0.19414400000000001</v>
      </c>
      <c r="G7" s="23">
        <f t="shared" si="1"/>
        <v>0.221136</v>
      </c>
      <c r="H7" s="23">
        <f t="shared" si="1"/>
        <v>0.24812799999999999</v>
      </c>
      <c r="I7" s="10"/>
      <c r="J7" s="10"/>
      <c r="K7" s="10"/>
      <c r="L7" s="10"/>
      <c r="M7" s="10"/>
      <c r="N7" s="10"/>
      <c r="O7" s="10"/>
      <c r="P7" s="26"/>
    </row>
    <row r="8" spans="1:16" ht="13.8" thickBot="1" x14ac:dyDescent="0.3">
      <c r="A8" s="67"/>
      <c r="B8" s="18">
        <f t="shared" si="2"/>
        <v>25</v>
      </c>
      <c r="C8" s="27"/>
      <c r="D8" s="10"/>
      <c r="E8" s="23">
        <f t="shared" si="1"/>
        <v>0.25824999999999998</v>
      </c>
      <c r="F8" s="23">
        <f t="shared" si="1"/>
        <v>0.30042499999999994</v>
      </c>
      <c r="G8" s="23">
        <f t="shared" si="1"/>
        <v>0.34259999999999996</v>
      </c>
      <c r="H8" s="23">
        <f t="shared" si="1"/>
        <v>0.38477499999999998</v>
      </c>
      <c r="I8" s="9">
        <f t="shared" ref="I8:P17" si="3">0.0052+0.00003374*$B8^2*I$4</f>
        <v>0.42694999999999994</v>
      </c>
      <c r="J8" s="11">
        <f t="shared" si="3"/>
        <v>0.46912499999999996</v>
      </c>
      <c r="K8" s="10"/>
      <c r="L8" s="10"/>
      <c r="M8" s="10"/>
      <c r="N8" s="10"/>
      <c r="O8" s="10"/>
      <c r="P8" s="26"/>
    </row>
    <row r="9" spans="1:16" ht="13.8" thickBot="1" x14ac:dyDescent="0.3">
      <c r="A9" s="67"/>
      <c r="B9" s="18">
        <f t="shared" si="2"/>
        <v>30</v>
      </c>
      <c r="C9" s="27"/>
      <c r="D9" s="10"/>
      <c r="E9" s="10"/>
      <c r="F9" s="23">
        <f t="shared" si="1"/>
        <v>0.43032399999999998</v>
      </c>
      <c r="G9" s="23">
        <f t="shared" si="1"/>
        <v>0.49105599999999999</v>
      </c>
      <c r="H9" s="23">
        <f t="shared" si="1"/>
        <v>0.55178799999999995</v>
      </c>
      <c r="I9" s="9">
        <f t="shared" si="3"/>
        <v>0.61251999999999995</v>
      </c>
      <c r="J9" s="9">
        <f t="shared" si="3"/>
        <v>0.67325199999999996</v>
      </c>
      <c r="K9" s="9">
        <f t="shared" si="3"/>
        <v>0.73398399999999997</v>
      </c>
      <c r="L9" s="10"/>
      <c r="M9" s="10"/>
      <c r="N9" s="10"/>
      <c r="O9" s="10"/>
      <c r="P9" s="26"/>
    </row>
    <row r="10" spans="1:16" ht="13.8" thickBot="1" x14ac:dyDescent="0.3">
      <c r="A10" s="67"/>
      <c r="B10" s="18">
        <f t="shared" si="2"/>
        <v>35</v>
      </c>
      <c r="C10" s="27"/>
      <c r="D10" s="10"/>
      <c r="E10" s="10"/>
      <c r="F10" s="10"/>
      <c r="G10" s="23">
        <f t="shared" si="1"/>
        <v>0.66650399999999999</v>
      </c>
      <c r="H10" s="23">
        <f t="shared" si="1"/>
        <v>0.74916700000000003</v>
      </c>
      <c r="I10" s="9">
        <f t="shared" si="3"/>
        <v>0.83182999999999996</v>
      </c>
      <c r="J10" s="9">
        <f t="shared" si="3"/>
        <v>0.914493</v>
      </c>
      <c r="K10" s="9">
        <f t="shared" si="3"/>
        <v>0.99715600000000004</v>
      </c>
      <c r="L10" s="9">
        <f t="shared" si="3"/>
        <v>1.0798190000000001</v>
      </c>
      <c r="M10" s="9">
        <f t="shared" si="3"/>
        <v>1.162482</v>
      </c>
      <c r="N10" s="10"/>
      <c r="O10" s="10"/>
      <c r="P10" s="26"/>
    </row>
    <row r="11" spans="1:16" x14ac:dyDescent="0.25">
      <c r="A11" s="67"/>
      <c r="B11" s="18">
        <f t="shared" si="2"/>
        <v>40</v>
      </c>
      <c r="C11" s="27"/>
      <c r="D11" s="10"/>
      <c r="E11" s="10"/>
      <c r="F11" s="10"/>
      <c r="G11" s="10"/>
      <c r="H11" s="23">
        <f t="shared" si="1"/>
        <v>0.97691199999999989</v>
      </c>
      <c r="I11" s="9">
        <f t="shared" si="3"/>
        <v>1.0848800000000001</v>
      </c>
      <c r="J11" s="11">
        <f t="shared" si="3"/>
        <v>1.1928480000000001</v>
      </c>
      <c r="K11" s="9">
        <f t="shared" si="3"/>
        <v>1.300816</v>
      </c>
      <c r="L11" s="9">
        <f t="shared" si="3"/>
        <v>1.408784</v>
      </c>
      <c r="M11" s="9">
        <f t="shared" si="3"/>
        <v>1.5167520000000001</v>
      </c>
      <c r="N11" s="11">
        <f t="shared" ref="N11:N16" si="4">0.0052+0.00003374*$B11^2*N$4</f>
        <v>1.6247199999999999</v>
      </c>
      <c r="O11" s="10"/>
      <c r="P11" s="26"/>
    </row>
    <row r="12" spans="1:16" x14ac:dyDescent="0.25">
      <c r="A12" s="67"/>
      <c r="B12" s="18">
        <f t="shared" si="2"/>
        <v>45</v>
      </c>
      <c r="C12" s="27"/>
      <c r="D12" s="10"/>
      <c r="E12" s="10"/>
      <c r="F12" s="10"/>
      <c r="G12" s="10"/>
      <c r="H12" s="10"/>
      <c r="I12" s="9">
        <f t="shared" si="3"/>
        <v>1.3716699999999999</v>
      </c>
      <c r="J12" s="11">
        <f t="shared" si="3"/>
        <v>1.5083169999999999</v>
      </c>
      <c r="K12" s="9">
        <f t="shared" si="3"/>
        <v>1.6449640000000001</v>
      </c>
      <c r="L12" s="9">
        <f t="shared" si="3"/>
        <v>1.7816110000000001</v>
      </c>
      <c r="M12" s="9">
        <f t="shared" si="3"/>
        <v>1.918258</v>
      </c>
      <c r="N12" s="11">
        <f t="shared" si="4"/>
        <v>2.0549049999999998</v>
      </c>
      <c r="O12" s="9">
        <f t="shared" si="3"/>
        <v>2.1915519999999997</v>
      </c>
      <c r="P12" s="26"/>
    </row>
    <row r="13" spans="1:16" x14ac:dyDescent="0.25">
      <c r="A13" s="67"/>
      <c r="B13" s="18">
        <f t="shared" si="2"/>
        <v>50</v>
      </c>
      <c r="C13" s="27"/>
      <c r="D13" s="10"/>
      <c r="E13" s="10"/>
      <c r="F13" s="10"/>
      <c r="G13" s="10"/>
      <c r="H13" s="10"/>
      <c r="I13" s="9">
        <f t="shared" si="3"/>
        <v>1.6921999999999999</v>
      </c>
      <c r="J13" s="11">
        <f t="shared" si="3"/>
        <v>1.8609</v>
      </c>
      <c r="K13" s="9">
        <f t="shared" si="3"/>
        <v>2.0295999999999998</v>
      </c>
      <c r="L13" s="9">
        <f t="shared" si="3"/>
        <v>2.1982999999999997</v>
      </c>
      <c r="M13" s="9">
        <f t="shared" si="3"/>
        <v>2.3669999999999995</v>
      </c>
      <c r="N13" s="11">
        <f t="shared" si="4"/>
        <v>2.5356999999999998</v>
      </c>
      <c r="O13" s="9">
        <f t="shared" si="3"/>
        <v>2.7043999999999997</v>
      </c>
      <c r="P13" s="28">
        <f t="shared" si="3"/>
        <v>2.8730999999999995</v>
      </c>
    </row>
    <row r="14" spans="1:16" x14ac:dyDescent="0.25">
      <c r="A14" s="67"/>
      <c r="B14" s="18">
        <f t="shared" si="2"/>
        <v>55</v>
      </c>
      <c r="C14" s="27"/>
      <c r="D14" s="10"/>
      <c r="E14" s="10"/>
      <c r="F14" s="10"/>
      <c r="G14" s="10"/>
      <c r="H14" s="10"/>
      <c r="I14" s="9">
        <f t="shared" si="3"/>
        <v>2.0464699999999998</v>
      </c>
      <c r="J14" s="11">
        <f t="shared" si="3"/>
        <v>2.250597</v>
      </c>
      <c r="K14" s="9">
        <f t="shared" si="3"/>
        <v>2.4547240000000001</v>
      </c>
      <c r="L14" s="9">
        <f t="shared" si="3"/>
        <v>2.6588509999999999</v>
      </c>
      <c r="M14" s="9">
        <f t="shared" si="3"/>
        <v>2.862978</v>
      </c>
      <c r="N14" s="11">
        <f t="shared" si="4"/>
        <v>3.0671049999999997</v>
      </c>
      <c r="O14" s="9">
        <f t="shared" si="3"/>
        <v>3.2712319999999999</v>
      </c>
      <c r="P14" s="28">
        <f t="shared" si="3"/>
        <v>3.4753590000000001</v>
      </c>
    </row>
    <row r="15" spans="1:16" x14ac:dyDescent="0.25">
      <c r="A15" s="67"/>
      <c r="B15" s="18">
        <f t="shared" si="2"/>
        <v>60</v>
      </c>
      <c r="C15" s="27"/>
      <c r="D15" s="10"/>
      <c r="E15" s="10"/>
      <c r="F15" s="10"/>
      <c r="G15" s="10"/>
      <c r="H15" s="10"/>
      <c r="I15" s="10"/>
      <c r="J15" s="10"/>
      <c r="K15" s="10"/>
      <c r="L15" s="10"/>
      <c r="M15" s="9">
        <f t="shared" si="3"/>
        <v>3.4061919999999999</v>
      </c>
      <c r="N15" s="11">
        <f t="shared" si="4"/>
        <v>3.6491199999999999</v>
      </c>
      <c r="O15" s="9">
        <f t="shared" si="3"/>
        <v>3.892048</v>
      </c>
      <c r="P15" s="28">
        <f t="shared" si="3"/>
        <v>4.134976</v>
      </c>
    </row>
    <row r="16" spans="1:16" x14ac:dyDescent="0.25">
      <c r="A16" s="67"/>
      <c r="B16" s="18">
        <f t="shared" si="2"/>
        <v>65</v>
      </c>
      <c r="C16" s="2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4"/>
        <v>4.2817449999999999</v>
      </c>
      <c r="O16" s="9">
        <f t="shared" si="3"/>
        <v>4.5668480000000002</v>
      </c>
      <c r="P16" s="28">
        <f t="shared" si="3"/>
        <v>4.8519510000000006</v>
      </c>
    </row>
    <row r="17" spans="1:16" ht="13.8" thickBot="1" x14ac:dyDescent="0.3">
      <c r="A17" s="68"/>
      <c r="B17" s="19">
        <f t="shared" si="2"/>
        <v>70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46">
        <f t="shared" si="3"/>
        <v>5.2956320000000003</v>
      </c>
      <c r="P17" s="31">
        <f t="shared" si="3"/>
        <v>5.6262840000000001</v>
      </c>
    </row>
  </sheetData>
  <mergeCells count="2">
    <mergeCell ref="C3:P3"/>
    <mergeCell ref="A5:A17"/>
  </mergeCells>
  <phoneticPr fontId="0" type="noConversion"/>
  <printOptions gridLines="1"/>
  <pageMargins left="0.57999999999999996" right="0.57999999999999996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4"/>
  <sheetViews>
    <sheetView tabSelected="1" topLeftCell="A22" zoomScale="150" zoomScaleNormal="150" workbookViewId="0">
      <selection activeCell="B29" sqref="B29"/>
    </sheetView>
  </sheetViews>
  <sheetFormatPr defaultRowHeight="13.2" x14ac:dyDescent="0.25"/>
  <cols>
    <col min="1" max="1" width="11.6640625" customWidth="1"/>
    <col min="2" max="2" width="9.88671875" customWidth="1"/>
    <col min="3" max="3" width="6.44140625" customWidth="1"/>
    <col min="4" max="4" width="8.77734375" customWidth="1"/>
    <col min="5" max="5" width="9.21875" customWidth="1"/>
    <col min="7" max="7" width="9.21875" bestFit="1" customWidth="1"/>
    <col min="8" max="8" width="9.77734375" customWidth="1"/>
    <col min="9" max="9" width="6.5546875" customWidth="1"/>
  </cols>
  <sheetData>
    <row r="1" spans="1:10" ht="15.6" x14ac:dyDescent="0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6.45" customHeight="1" x14ac:dyDescent="0.25"/>
    <row r="3" spans="1:10" x14ac:dyDescent="0.25">
      <c r="A3" t="s">
        <v>23</v>
      </c>
      <c r="D3" s="12"/>
      <c r="E3" s="12"/>
      <c r="F3" t="s">
        <v>35</v>
      </c>
    </row>
    <row r="4" spans="1:10" ht="6.45" customHeight="1" x14ac:dyDescent="0.25"/>
    <row r="5" spans="1:10" x14ac:dyDescent="0.25">
      <c r="A5" s="5" t="s">
        <v>5</v>
      </c>
      <c r="B5">
        <v>25.5</v>
      </c>
      <c r="C5" t="s">
        <v>3</v>
      </c>
      <c r="D5" s="12"/>
      <c r="E5" s="12"/>
      <c r="F5" s="5" t="s">
        <v>5</v>
      </c>
      <c r="G5">
        <v>22.5</v>
      </c>
      <c r="H5" t="s">
        <v>3</v>
      </c>
    </row>
    <row r="6" spans="1:10" x14ac:dyDescent="0.25">
      <c r="A6" s="5" t="s">
        <v>6</v>
      </c>
      <c r="B6">
        <v>12.9</v>
      </c>
      <c r="C6" t="s">
        <v>1</v>
      </c>
      <c r="D6" s="12"/>
      <c r="E6" s="12"/>
      <c r="F6" s="5" t="s">
        <v>6</v>
      </c>
      <c r="G6">
        <v>10.9</v>
      </c>
      <c r="H6" t="s">
        <v>1</v>
      </c>
      <c r="I6" s="47"/>
    </row>
    <row r="7" spans="1:10" ht="4.5" customHeight="1" x14ac:dyDescent="0.25">
      <c r="A7" s="5"/>
      <c r="D7" s="12"/>
      <c r="E7" s="12"/>
      <c r="F7" s="5"/>
    </row>
    <row r="8" spans="1:10" ht="15.6" x14ac:dyDescent="0.25">
      <c r="A8" s="5" t="s">
        <v>7</v>
      </c>
      <c r="B8" s="45">
        <f>0.00005126*B5^2.0507*B6^0.8428</f>
        <v>0.33898115702139525</v>
      </c>
      <c r="C8" s="47" t="s">
        <v>54</v>
      </c>
      <c r="D8" s="12"/>
      <c r="E8" s="12"/>
      <c r="F8" s="5" t="s">
        <v>7</v>
      </c>
      <c r="G8" s="45">
        <f>0.00005126*G5^2.0507*G6^0.8428</f>
        <v>0.2275319266161126</v>
      </c>
      <c r="H8" s="47" t="s">
        <v>54</v>
      </c>
    </row>
    <row r="9" spans="1:10" x14ac:dyDescent="0.25">
      <c r="A9" s="5"/>
      <c r="D9" s="12"/>
      <c r="E9" s="12"/>
      <c r="F9" s="12"/>
    </row>
    <row r="10" spans="1:10" ht="16.8" x14ac:dyDescent="0.35">
      <c r="A10" s="2" t="s">
        <v>20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D11" s="12"/>
      <c r="E11" s="12"/>
      <c r="F11" s="12"/>
    </row>
    <row r="12" spans="1:10" x14ac:dyDescent="0.25">
      <c r="A12" s="51" t="s">
        <v>15</v>
      </c>
      <c r="B12" s="51" t="s">
        <v>4</v>
      </c>
      <c r="C12" s="51" t="s">
        <v>16</v>
      </c>
      <c r="D12" s="36" t="s">
        <v>17</v>
      </c>
      <c r="E12" s="36" t="s">
        <v>18</v>
      </c>
      <c r="G12" s="44" t="s">
        <v>38</v>
      </c>
    </row>
    <row r="13" spans="1:10" ht="15.6" x14ac:dyDescent="0.25">
      <c r="A13" s="51">
        <v>0.15</v>
      </c>
      <c r="B13" s="51">
        <f>B$5*(-2.1823*(A13/B$6-1)+0.8591*(A13^2/B$6^2-1))^0.5</f>
        <v>29.051434724219042</v>
      </c>
      <c r="C13" s="51">
        <f>A13</f>
        <v>0.15</v>
      </c>
      <c r="D13" s="38">
        <f>PI()*(B13/100)^2/4</f>
        <v>6.6286494401264565E-2</v>
      </c>
      <c r="E13" s="52">
        <f>C13*D13</f>
        <v>9.9429741601896847E-3</v>
      </c>
      <c r="G13" s="44" t="s">
        <v>51</v>
      </c>
    </row>
    <row r="14" spans="1:10" x14ac:dyDescent="0.25">
      <c r="A14" s="53">
        <v>1.3</v>
      </c>
      <c r="B14" s="51">
        <f>B$5*(-2.1823*(A14/B$6-1)+0.8591*(A14^2/B$6^2-1))^0.5</f>
        <v>26.890146034538166</v>
      </c>
      <c r="C14" s="53">
        <f t="shared" ref="C14:C19" si="0">A14-A13</f>
        <v>1.1500000000000001</v>
      </c>
      <c r="D14" s="38">
        <f>PI()*(B14/100)^2/4</f>
        <v>5.6790566767166435E-2</v>
      </c>
      <c r="E14" s="54">
        <f>(D13+D14)/2*C14</f>
        <v>7.0769310171847843E-2</v>
      </c>
    </row>
    <row r="15" spans="1:10" x14ac:dyDescent="0.25">
      <c r="A15" s="51">
        <v>3.3</v>
      </c>
      <c r="B15" s="51">
        <f t="shared" ref="B15:B20" si="1">B$5*(-2.1823*(A15/B$6-1)+0.8591*(A15^2/B$6^2-1))^0.5</f>
        <v>23.107522322510984</v>
      </c>
      <c r="C15" s="53">
        <f t="shared" si="0"/>
        <v>1.9999999999999998</v>
      </c>
      <c r="D15" s="38">
        <f t="shared" ref="D15:D20" si="2">PI()*(B15/100)^2/4</f>
        <v>4.193693088572803E-2</v>
      </c>
      <c r="E15" s="54">
        <f>(D14+D15)/2*C15</f>
        <v>9.8727497652894444E-2</v>
      </c>
      <c r="F15" s="7"/>
      <c r="G15" s="7"/>
    </row>
    <row r="16" spans="1:10" x14ac:dyDescent="0.25">
      <c r="A16" s="51">
        <v>5.3</v>
      </c>
      <c r="B16" s="51">
        <f t="shared" si="1"/>
        <v>19.279284447706456</v>
      </c>
      <c r="C16" s="53">
        <f t="shared" si="0"/>
        <v>2</v>
      </c>
      <c r="D16" s="38">
        <f t="shared" si="2"/>
        <v>2.9192527859546544E-2</v>
      </c>
      <c r="E16" s="55">
        <f t="shared" ref="E16:E19" si="3">(D15+D16)/2*C16</f>
        <v>7.1129458745274571E-2</v>
      </c>
      <c r="F16" s="7"/>
      <c r="G16" s="7"/>
    </row>
    <row r="17" spans="1:11" x14ac:dyDescent="0.25">
      <c r="A17" s="51">
        <v>7.3</v>
      </c>
      <c r="B17" s="51">
        <f t="shared" si="1"/>
        <v>15.371389545174056</v>
      </c>
      <c r="C17" s="53">
        <f t="shared" si="0"/>
        <v>2</v>
      </c>
      <c r="D17" s="38">
        <f t="shared" si="2"/>
        <v>1.8557357688621982E-2</v>
      </c>
      <c r="E17" s="55">
        <f t="shared" si="3"/>
        <v>4.774988554816853E-2</v>
      </c>
      <c r="F17" s="7"/>
      <c r="G17" s="7"/>
    </row>
    <row r="18" spans="1:11" x14ac:dyDescent="0.25">
      <c r="A18" s="51">
        <v>9.3000000000000007</v>
      </c>
      <c r="B18" s="51">
        <f t="shared" si="1"/>
        <v>11.301504815159529</v>
      </c>
      <c r="C18" s="53">
        <f t="shared" si="0"/>
        <v>2.0000000000000009</v>
      </c>
      <c r="D18" s="38">
        <f t="shared" si="2"/>
        <v>1.0031420372954325E-2</v>
      </c>
      <c r="E18" s="55">
        <f t="shared" si="3"/>
        <v>2.8588778061576323E-2</v>
      </c>
      <c r="F18" s="7"/>
      <c r="G18" s="7"/>
    </row>
    <row r="19" spans="1:11" x14ac:dyDescent="0.25">
      <c r="A19" s="53">
        <v>11.3</v>
      </c>
      <c r="B19" s="51">
        <f t="shared" si="1"/>
        <v>6.7840984978359291</v>
      </c>
      <c r="C19" s="53">
        <f t="shared" si="0"/>
        <v>2</v>
      </c>
      <c r="D19" s="38">
        <f t="shared" si="2"/>
        <v>3.6147159125436072E-3</v>
      </c>
      <c r="E19" s="55">
        <f t="shared" si="3"/>
        <v>1.3646136285497932E-2</v>
      </c>
      <c r="F19" s="7"/>
      <c r="G19" s="7"/>
    </row>
    <row r="20" spans="1:11" x14ac:dyDescent="0.25">
      <c r="A20" s="53">
        <v>12.9</v>
      </c>
      <c r="B20" s="51">
        <f t="shared" si="1"/>
        <v>0</v>
      </c>
      <c r="C20" s="56">
        <f>A20-A19</f>
        <v>1.5999999999999996</v>
      </c>
      <c r="D20" s="38">
        <f t="shared" si="2"/>
        <v>0</v>
      </c>
      <c r="E20" s="55">
        <f>1/3*D19*C20</f>
        <v>1.9278484866899234E-3</v>
      </c>
      <c r="F20" s="7"/>
      <c r="G20" s="7"/>
    </row>
    <row r="21" spans="1:11" ht="7.05" customHeight="1" x14ac:dyDescent="0.25">
      <c r="A21" s="12"/>
      <c r="B21" s="12"/>
      <c r="C21" s="12"/>
    </row>
    <row r="22" spans="1:11" ht="15.6" x14ac:dyDescent="0.25">
      <c r="A22" s="12"/>
      <c r="B22" s="12"/>
      <c r="C22" s="12"/>
      <c r="D22" s="5" t="s">
        <v>21</v>
      </c>
      <c r="E22">
        <f>SUM(E13:E20)</f>
        <v>0.34248188911213928</v>
      </c>
      <c r="F22" s="47" t="s">
        <v>54</v>
      </c>
    </row>
    <row r="24" spans="1:11" ht="16.8" x14ac:dyDescent="0.35">
      <c r="A24" s="2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57"/>
    </row>
    <row r="26" spans="1:11" x14ac:dyDescent="0.25">
      <c r="A26" t="s">
        <v>23</v>
      </c>
      <c r="D26" s="12"/>
      <c r="E26" s="12"/>
      <c r="F26" t="s">
        <v>35</v>
      </c>
    </row>
    <row r="27" spans="1:11" x14ac:dyDescent="0.25">
      <c r="D27" s="12"/>
      <c r="E27" s="12"/>
      <c r="F27" s="12"/>
    </row>
    <row r="28" spans="1:11" x14ac:dyDescent="0.25">
      <c r="D28" s="12"/>
      <c r="E28" s="12"/>
      <c r="F28" s="12"/>
    </row>
    <row r="29" spans="1:11" x14ac:dyDescent="0.25">
      <c r="A29" s="5" t="s">
        <v>8</v>
      </c>
      <c r="B29">
        <f>B$8*EXP(-0.7084*25^4.5317/B$5^4.3164)</f>
        <v>9.2330631033767194E-2</v>
      </c>
      <c r="D29" s="12"/>
      <c r="E29" s="12"/>
      <c r="F29" s="5" t="s">
        <v>8</v>
      </c>
      <c r="G29" s="45">
        <f>G$8*EXP(-0.7084*25^4.5317/G$5^4.3164)</f>
        <v>2.4408674999202677E-2</v>
      </c>
      <c r="I29" s="1" t="s">
        <v>50</v>
      </c>
    </row>
    <row r="30" spans="1:11" x14ac:dyDescent="0.25">
      <c r="A30" s="5" t="s">
        <v>9</v>
      </c>
      <c r="B30">
        <f>B$8*EXP(-0.7084*18^4.5317/B$5^4.3164)</f>
        <v>0.2527612372682983</v>
      </c>
      <c r="D30" s="12"/>
      <c r="E30" s="12"/>
      <c r="F30" s="5" t="s">
        <v>9</v>
      </c>
      <c r="G30" s="45">
        <f>G$8*EXP(-0.7084*18^4.5317/G$5^4.3164)</f>
        <v>0.13748514533203482</v>
      </c>
      <c r="I30" s="44" t="s">
        <v>39</v>
      </c>
    </row>
    <row r="31" spans="1:11" x14ac:dyDescent="0.25">
      <c r="A31" s="5" t="s">
        <v>10</v>
      </c>
      <c r="B31">
        <f>B$8*EXP(-0.7084*5^4.5317/B$5^4.3164)</f>
        <v>0.33868152071844121</v>
      </c>
      <c r="F31" s="5" t="s">
        <v>10</v>
      </c>
      <c r="G31" s="45">
        <f>G$8*EXP(-0.7084*5^4.5317/G$5^4.3164)</f>
        <v>0.2271868201629498</v>
      </c>
      <c r="I31" s="44" t="s">
        <v>40</v>
      </c>
    </row>
    <row r="32" spans="1:11" x14ac:dyDescent="0.25">
      <c r="A32" s="5"/>
      <c r="G32" s="45"/>
    </row>
    <row r="33" spans="1:15" x14ac:dyDescent="0.25">
      <c r="A33" s="5"/>
      <c r="G33" s="45"/>
    </row>
    <row r="34" spans="1:15" x14ac:dyDescent="0.25">
      <c r="A34" s="5" t="s">
        <v>8</v>
      </c>
      <c r="B34" s="45">
        <f>B29</f>
        <v>9.2330631033767194E-2</v>
      </c>
      <c r="F34" s="5" t="s">
        <v>8</v>
      </c>
      <c r="G34" s="45">
        <f>G29</f>
        <v>2.4408674999202677E-2</v>
      </c>
    </row>
    <row r="35" spans="1:15" x14ac:dyDescent="0.25">
      <c r="A35" s="5" t="s">
        <v>12</v>
      </c>
      <c r="B35" s="45">
        <f>B30-B29</f>
        <v>0.16043060623453109</v>
      </c>
      <c r="D35" s="12"/>
      <c r="E35" s="12"/>
      <c r="F35" s="5" t="s">
        <v>12</v>
      </c>
      <c r="G35" s="45">
        <f>G30-G29</f>
        <v>0.11307647033283214</v>
      </c>
    </row>
    <row r="36" spans="1:15" x14ac:dyDescent="0.25">
      <c r="A36" s="5" t="s">
        <v>13</v>
      </c>
      <c r="B36" s="45">
        <f>B31-B30</f>
        <v>8.5920283450142909E-2</v>
      </c>
      <c r="D36" s="12"/>
      <c r="E36" s="12"/>
      <c r="F36" s="5" t="s">
        <v>13</v>
      </c>
      <c r="G36" s="45">
        <f>G31-G30</f>
        <v>8.9701674830914985E-2</v>
      </c>
    </row>
    <row r="37" spans="1:15" x14ac:dyDescent="0.25">
      <c r="A37" s="5" t="s">
        <v>14</v>
      </c>
      <c r="B37" s="45">
        <f>B8-B31</f>
        <v>2.9963630295404275E-4</v>
      </c>
      <c r="D37" s="12"/>
      <c r="E37" s="12"/>
      <c r="F37" s="5" t="s">
        <v>14</v>
      </c>
      <c r="G37" s="45">
        <f>G8-G31</f>
        <v>3.4510645316279676E-4</v>
      </c>
    </row>
    <row r="39" spans="1:15" ht="9" customHeight="1" x14ac:dyDescent="0.25"/>
    <row r="40" spans="1:15" ht="16.8" x14ac:dyDescent="0.3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5" x14ac:dyDescent="0.25">
      <c r="D41" s="12"/>
      <c r="E41" s="12"/>
      <c r="F41" s="12"/>
    </row>
    <row r="42" spans="1:15" x14ac:dyDescent="0.25">
      <c r="A42" s="12" t="s">
        <v>15</v>
      </c>
      <c r="B42" s="12" t="s">
        <v>4</v>
      </c>
      <c r="C42" s="12" t="s">
        <v>16</v>
      </c>
      <c r="D42" t="s">
        <v>17</v>
      </c>
      <c r="E42" t="s">
        <v>18</v>
      </c>
      <c r="G42" s="45"/>
      <c r="K42" s="36" t="s">
        <v>15</v>
      </c>
      <c r="L42" s="36" t="s">
        <v>4</v>
      </c>
      <c r="M42" s="36" t="s">
        <v>16</v>
      </c>
      <c r="N42" s="36" t="s">
        <v>17</v>
      </c>
      <c r="O42" s="36" t="s">
        <v>18</v>
      </c>
    </row>
    <row r="43" spans="1:15" x14ac:dyDescent="0.25">
      <c r="A43" s="12">
        <v>0.15</v>
      </c>
      <c r="B43" s="12">
        <f>$B$5*(-2.1823*(A43/$B$6-1)+0.8591*(A43^2/$B$6^2-1))^0.5</f>
        <v>29.051434724219042</v>
      </c>
      <c r="C43" s="12">
        <f>A43</f>
        <v>0.15</v>
      </c>
      <c r="D43" s="45">
        <f t="shared" ref="D43:D53" si="4">PI()*(B43/100)^2/4</f>
        <v>6.6286494401264565E-2</v>
      </c>
      <c r="E43" s="45">
        <f>C43*D43</f>
        <v>9.9429741601896847E-3</v>
      </c>
      <c r="G43" s="45"/>
      <c r="K43" s="36">
        <v>0.15</v>
      </c>
      <c r="L43" s="37">
        <v>29.051434724219042</v>
      </c>
      <c r="M43" s="37">
        <v>0.15</v>
      </c>
      <c r="N43" s="38">
        <v>6.6286494401264565E-2</v>
      </c>
      <c r="O43" s="38">
        <v>9.9429741601896847E-3</v>
      </c>
    </row>
    <row r="44" spans="1:15" x14ac:dyDescent="0.25">
      <c r="A44" s="13">
        <v>1.3</v>
      </c>
      <c r="B44" s="13">
        <f t="shared" ref="B44:B53" si="5">$B$5*(-2.1823*(A44/$B$6-1)+0.8591*(A44^2/$B$6^2-1))^0.5</f>
        <v>26.890146034538166</v>
      </c>
      <c r="C44" s="13">
        <f>A44-A43</f>
        <v>1.1500000000000001</v>
      </c>
      <c r="D44" s="48">
        <f t="shared" si="4"/>
        <v>5.6790566767166435E-2</v>
      </c>
      <c r="E44" s="48">
        <f t="shared" ref="E44:E52" si="6">(D43+D44)/2*C44</f>
        <v>7.0769310171847843E-2</v>
      </c>
      <c r="G44" s="45"/>
      <c r="K44" s="36">
        <v>1.3</v>
      </c>
      <c r="L44" s="39">
        <v>26.890146034538166</v>
      </c>
      <c r="M44" s="37">
        <v>1.1500000000000001</v>
      </c>
      <c r="N44" s="38">
        <v>5.6790566767166435E-2</v>
      </c>
      <c r="O44" s="38">
        <v>7.0769310171847843E-2</v>
      </c>
    </row>
    <row r="45" spans="1:15" x14ac:dyDescent="0.25">
      <c r="A45" s="14"/>
      <c r="B45" s="14">
        <f>$B$5*(-2.1823*(A45/$B$6-1)+0.8591*(A45^2/$B$6^2-1))^0.5</f>
        <v>29.332759842878751</v>
      </c>
      <c r="C45" s="14">
        <f>A45-A44</f>
        <v>-1.3</v>
      </c>
      <c r="D45" s="61">
        <f t="shared" si="4"/>
        <v>6.7576506208732942E-2</v>
      </c>
      <c r="E45" s="61">
        <f t="shared" si="6"/>
        <v>-8.0838597434334608E-2</v>
      </c>
      <c r="F45" s="4" t="s">
        <v>41</v>
      </c>
      <c r="G45" s="61">
        <f>SUM(E43:E45)</f>
        <v>-1.2631310229707648E-4</v>
      </c>
      <c r="K45" s="36">
        <v>3.3</v>
      </c>
      <c r="L45" s="39">
        <v>23.107522322510984</v>
      </c>
      <c r="M45" s="37">
        <v>1.9999999999999998</v>
      </c>
      <c r="N45" s="38">
        <v>4.193693088572803E-2</v>
      </c>
      <c r="O45" s="38">
        <v>9.8727497652894444E-2</v>
      </c>
    </row>
    <row r="46" spans="1:15" x14ac:dyDescent="0.25">
      <c r="A46" s="12">
        <v>3.3</v>
      </c>
      <c r="B46" s="12">
        <f t="shared" si="5"/>
        <v>23.107522322510984</v>
      </c>
      <c r="C46" s="12">
        <f>A46-A45</f>
        <v>3.3</v>
      </c>
      <c r="D46" s="45">
        <f t="shared" si="4"/>
        <v>4.193693088572803E-2</v>
      </c>
      <c r="E46" s="45">
        <f t="shared" si="6"/>
        <v>0.1806971712058606</v>
      </c>
      <c r="G46" s="45"/>
      <c r="K46" s="36">
        <v>5.3</v>
      </c>
      <c r="L46" s="41">
        <v>19.279284447706456</v>
      </c>
      <c r="M46" s="37">
        <v>2</v>
      </c>
      <c r="N46" s="38">
        <v>2.9192527859546544E-2</v>
      </c>
      <c r="O46" s="38">
        <v>7.1129458745274571E-2</v>
      </c>
    </row>
    <row r="47" spans="1:15" x14ac:dyDescent="0.25">
      <c r="A47" s="12">
        <v>5.3</v>
      </c>
      <c r="B47" s="12">
        <f t="shared" si="5"/>
        <v>19.279284447706456</v>
      </c>
      <c r="C47" s="12">
        <f t="shared" ref="C47:C53" si="7">A47-A46</f>
        <v>2</v>
      </c>
      <c r="D47" s="45">
        <f t="shared" si="4"/>
        <v>2.9192527859546544E-2</v>
      </c>
      <c r="E47" s="45">
        <f t="shared" si="6"/>
        <v>7.1129458745274571E-2</v>
      </c>
      <c r="G47" s="45"/>
      <c r="K47" s="36">
        <v>7.3</v>
      </c>
      <c r="L47" s="41">
        <v>15.371389545174056</v>
      </c>
      <c r="M47" s="37">
        <v>2</v>
      </c>
      <c r="N47" s="38">
        <v>1.8557357688621982E-2</v>
      </c>
      <c r="O47" s="38">
        <v>4.774988554816853E-2</v>
      </c>
    </row>
    <row r="48" spans="1:15" x14ac:dyDescent="0.25">
      <c r="A48" s="14"/>
      <c r="B48" s="14">
        <f t="shared" si="5"/>
        <v>29.332759842878751</v>
      </c>
      <c r="C48" s="14">
        <f t="shared" si="7"/>
        <v>-5.3</v>
      </c>
      <c r="D48" s="61">
        <f t="shared" si="4"/>
        <v>6.7576506208732942E-2</v>
      </c>
      <c r="E48" s="61">
        <f t="shared" si="6"/>
        <v>-0.25643794028094063</v>
      </c>
      <c r="F48" s="4" t="s">
        <v>42</v>
      </c>
      <c r="G48" s="61">
        <f>SUM(E46:E48)</f>
        <v>-4.6113103298054958E-3</v>
      </c>
      <c r="K48" s="36">
        <v>9.3000000000000007</v>
      </c>
      <c r="L48" s="37">
        <v>11.301504815159529</v>
      </c>
      <c r="M48" s="37">
        <v>2.0000000000000009</v>
      </c>
      <c r="N48" s="38">
        <v>1.0031420372954325E-2</v>
      </c>
      <c r="O48" s="38">
        <v>2.8588778061576323E-2</v>
      </c>
    </row>
    <row r="49" spans="1:16" x14ac:dyDescent="0.25">
      <c r="A49" s="12">
        <v>7.3</v>
      </c>
      <c r="B49" s="12">
        <f t="shared" si="5"/>
        <v>15.371389545174056</v>
      </c>
      <c r="C49" s="12">
        <f t="shared" si="7"/>
        <v>7.3</v>
      </c>
      <c r="D49" s="45">
        <f t="shared" si="4"/>
        <v>1.8557357688621982E-2</v>
      </c>
      <c r="E49" s="45">
        <f t="shared" si="6"/>
        <v>0.31438860322534545</v>
      </c>
      <c r="G49" s="45"/>
      <c r="K49" s="36">
        <v>11.3</v>
      </c>
      <c r="L49" s="40">
        <v>6.7840984978359291</v>
      </c>
      <c r="M49" s="37">
        <v>2</v>
      </c>
      <c r="N49" s="38">
        <v>3.6147159125436072E-3</v>
      </c>
      <c r="O49" s="38">
        <v>1.3646136285497932E-2</v>
      </c>
    </row>
    <row r="50" spans="1:16" x14ac:dyDescent="0.25">
      <c r="A50" s="12">
        <v>9.3000000000000007</v>
      </c>
      <c r="B50" s="12">
        <f t="shared" si="5"/>
        <v>11.301504815159529</v>
      </c>
      <c r="C50" s="12">
        <f t="shared" si="7"/>
        <v>2.0000000000000009</v>
      </c>
      <c r="D50" s="45">
        <f t="shared" si="4"/>
        <v>1.0031420372954325E-2</v>
      </c>
      <c r="E50" s="45">
        <f t="shared" si="6"/>
        <v>2.8588778061576323E-2</v>
      </c>
      <c r="G50" s="45"/>
      <c r="K50" s="36">
        <v>12.9</v>
      </c>
      <c r="L50" s="42">
        <v>0</v>
      </c>
      <c r="M50" s="37">
        <v>1.5999999999999996</v>
      </c>
      <c r="N50" s="38">
        <v>0</v>
      </c>
      <c r="O50" s="38">
        <v>1.9278484866899234E-3</v>
      </c>
    </row>
    <row r="51" spans="1:16" x14ac:dyDescent="0.25">
      <c r="A51" s="12">
        <v>11.3</v>
      </c>
      <c r="B51" s="12">
        <f t="shared" si="5"/>
        <v>6.7840984978359291</v>
      </c>
      <c r="C51" s="12">
        <f t="shared" si="7"/>
        <v>2</v>
      </c>
      <c r="D51" s="45">
        <f t="shared" si="4"/>
        <v>3.6147159125436072E-3</v>
      </c>
      <c r="E51" s="45">
        <f t="shared" si="6"/>
        <v>1.3646136285497932E-2</v>
      </c>
      <c r="G51" s="45"/>
    </row>
    <row r="52" spans="1:16" x14ac:dyDescent="0.25">
      <c r="A52" s="14"/>
      <c r="B52" s="14">
        <f t="shared" si="5"/>
        <v>29.332759842878751</v>
      </c>
      <c r="C52" s="14">
        <f t="shared" si="7"/>
        <v>-11.3</v>
      </c>
      <c r="D52" s="61">
        <f t="shared" si="4"/>
        <v>6.7576506208732942E-2</v>
      </c>
      <c r="E52" s="61">
        <f t="shared" si="6"/>
        <v>-0.40223040498521251</v>
      </c>
      <c r="F52" s="4" t="s">
        <v>43</v>
      </c>
      <c r="G52" s="61">
        <f>SUM(E49:E52)</f>
        <v>-4.5606887412792785E-2</v>
      </c>
      <c r="N52" t="s">
        <v>21</v>
      </c>
      <c r="O52" s="45">
        <f>SUM(O43:O50)</f>
        <v>0.34248188911213928</v>
      </c>
      <c r="P52" t="s">
        <v>2</v>
      </c>
    </row>
    <row r="53" spans="1:16" x14ac:dyDescent="0.25">
      <c r="A53" s="15">
        <v>12.9</v>
      </c>
      <c r="B53" s="15">
        <f t="shared" si="5"/>
        <v>0</v>
      </c>
      <c r="C53" s="15">
        <f t="shared" si="7"/>
        <v>12.9</v>
      </c>
      <c r="D53" s="62">
        <f t="shared" si="4"/>
        <v>0</v>
      </c>
      <c r="E53" s="62">
        <f>1/3*D52*C53</f>
        <v>0.29057897669755162</v>
      </c>
      <c r="F53" s="16"/>
      <c r="G53" s="62">
        <f>E53</f>
        <v>0.29057897669755162</v>
      </c>
      <c r="K53" s="44" t="s">
        <v>44</v>
      </c>
    </row>
    <row r="54" spans="1:16" x14ac:dyDescent="0.25">
      <c r="A54" s="12"/>
      <c r="B54" s="12"/>
      <c r="C54" s="12"/>
      <c r="K54" s="43" t="s">
        <v>45</v>
      </c>
    </row>
    <row r="55" spans="1:16" x14ac:dyDescent="0.25">
      <c r="A55" s="12"/>
      <c r="B55" s="12"/>
      <c r="C55" s="12"/>
      <c r="D55" s="5" t="s">
        <v>21</v>
      </c>
      <c r="E55">
        <f>SUM(E43:E53)</f>
        <v>0.24023446585265629</v>
      </c>
      <c r="F55" t="s">
        <v>2</v>
      </c>
      <c r="K55" s="43" t="s">
        <v>46</v>
      </c>
    </row>
    <row r="56" spans="1:16" ht="6" customHeight="1" x14ac:dyDescent="0.25"/>
    <row r="57" spans="1:16" x14ac:dyDescent="0.25">
      <c r="A57" s="2" t="s">
        <v>52</v>
      </c>
      <c r="B57" s="2"/>
      <c r="C57" s="2"/>
      <c r="D57" s="2"/>
      <c r="E57" s="2"/>
      <c r="F57" s="2"/>
      <c r="G57" s="2"/>
      <c r="H57" s="2"/>
      <c r="I57" s="2"/>
      <c r="J57" s="2"/>
    </row>
    <row r="59" spans="1:16" x14ac:dyDescent="0.25">
      <c r="A59" t="s">
        <v>23</v>
      </c>
      <c r="D59" s="12"/>
      <c r="E59" s="12"/>
      <c r="G59" t="s">
        <v>24</v>
      </c>
    </row>
    <row r="60" spans="1:16" x14ac:dyDescent="0.25">
      <c r="D60" s="12"/>
      <c r="E60" s="12"/>
    </row>
    <row r="61" spans="1:16" ht="12" customHeight="1" x14ac:dyDescent="0.25">
      <c r="C61" s="8" t="s">
        <v>48</v>
      </c>
    </row>
    <row r="62" spans="1:16" x14ac:dyDescent="0.25">
      <c r="A62" s="3" t="s">
        <v>47</v>
      </c>
      <c r="C62" s="12">
        <f>$B$5*(-2.1823*(2.15/$B$6-1)+0.8591*(2.15^2/$B$6^2-1))^0.5</f>
        <v>25.286785704197364</v>
      </c>
      <c r="D62" s="12" t="s">
        <v>11</v>
      </c>
      <c r="G62" s="3" t="s">
        <v>47</v>
      </c>
      <c r="H62" s="59"/>
      <c r="I62" s="58">
        <f>$G$5*(-2.1823*(2.15/$G$6-1)+0.8591*(2.15^2/$G$6^2-1))^0.5</f>
        <v>21.653500616462999</v>
      </c>
      <c r="J62" s="12" t="s">
        <v>25</v>
      </c>
      <c r="K62" t="s">
        <v>29</v>
      </c>
    </row>
    <row r="63" spans="1:16" x14ac:dyDescent="0.25">
      <c r="A63" s="3" t="s">
        <v>56</v>
      </c>
      <c r="C63" s="12">
        <f>$B$5*(-2.1823*(4.15/$B$6-1)+0.8591*(4.15^2/$B$6^2-1))^0.5</f>
        <v>21.487503106878613</v>
      </c>
      <c r="D63" s="3" t="s">
        <v>36</v>
      </c>
      <c r="G63" s="12"/>
      <c r="I63" s="12"/>
      <c r="J63" s="12"/>
    </row>
    <row r="64" spans="1:16" ht="12" customHeight="1" x14ac:dyDescent="0.25">
      <c r="B64" s="8" t="s">
        <v>49</v>
      </c>
    </row>
    <row r="65" spans="1:11" x14ac:dyDescent="0.25">
      <c r="A65" s="5" t="s">
        <v>8</v>
      </c>
      <c r="B65" s="48">
        <f>$B$8*EXP(-0.7084*25^4.5317/$B$5^4.3164)</f>
        <v>9.2330631033767194E-2</v>
      </c>
      <c r="D65" s="32" t="s">
        <v>26</v>
      </c>
      <c r="E65" s="49">
        <f>B65</f>
        <v>9.2330631033767194E-2</v>
      </c>
      <c r="G65" s="5" t="s">
        <v>8</v>
      </c>
      <c r="H65" s="45">
        <f>G29</f>
        <v>2.4408674999202677E-2</v>
      </c>
      <c r="I65" s="7"/>
      <c r="J65" s="32" t="s">
        <v>26</v>
      </c>
      <c r="K65" s="49">
        <v>0</v>
      </c>
    </row>
    <row r="66" spans="1:11" x14ac:dyDescent="0.25">
      <c r="A66" s="5" t="s">
        <v>12</v>
      </c>
      <c r="B66" s="48">
        <f>B30-B29</f>
        <v>0.16043060623453109</v>
      </c>
      <c r="D66" s="32" t="s">
        <v>27</v>
      </c>
      <c r="E66" s="49">
        <f>B66</f>
        <v>0.16043060623453109</v>
      </c>
      <c r="G66" s="5" t="s">
        <v>12</v>
      </c>
      <c r="H66" s="45">
        <f>G30-G29</f>
        <v>0.11307647033283214</v>
      </c>
      <c r="I66" s="7"/>
      <c r="J66" s="32" t="s">
        <v>27</v>
      </c>
      <c r="K66" s="49">
        <f>H66+H65</f>
        <v>0.13748514533203482</v>
      </c>
    </row>
    <row r="67" spans="1:11" x14ac:dyDescent="0.25">
      <c r="A67" s="5" t="s">
        <v>13</v>
      </c>
      <c r="B67" s="48">
        <f>B31-B30</f>
        <v>8.5920283450142909E-2</v>
      </c>
      <c r="D67" s="32" t="s">
        <v>28</v>
      </c>
      <c r="E67" s="49">
        <f>B67</f>
        <v>8.5920283450142909E-2</v>
      </c>
      <c r="G67" s="5" t="s">
        <v>13</v>
      </c>
      <c r="H67" s="45">
        <f>G31-G30</f>
        <v>8.9701674830914985E-2</v>
      </c>
      <c r="I67" s="7"/>
      <c r="J67" s="32" t="s">
        <v>28</v>
      </c>
      <c r="K67" s="49">
        <f>H67</f>
        <v>8.9701674830914985E-2</v>
      </c>
    </row>
    <row r="68" spans="1:11" x14ac:dyDescent="0.25">
      <c r="A68" s="5" t="s">
        <v>14</v>
      </c>
      <c r="B68" s="48">
        <f>B8-B31</f>
        <v>2.9963630295404275E-4</v>
      </c>
      <c r="D68" s="32" t="s">
        <v>0</v>
      </c>
      <c r="E68" s="49">
        <f>B68</f>
        <v>2.9963630295404275E-4</v>
      </c>
      <c r="G68" s="5" t="s">
        <v>14</v>
      </c>
      <c r="H68" s="45">
        <f>G8-G31</f>
        <v>3.4510645316279676E-4</v>
      </c>
      <c r="I68" s="7"/>
      <c r="J68" s="32" t="s">
        <v>0</v>
      </c>
      <c r="K68" s="49">
        <f>H68</f>
        <v>3.4510645316279676E-4</v>
      </c>
    </row>
    <row r="69" spans="1:11" x14ac:dyDescent="0.25">
      <c r="D69" s="17" t="s">
        <v>32</v>
      </c>
      <c r="E69" s="50">
        <f>SUM(E65:E68)</f>
        <v>0.33898115702139525</v>
      </c>
      <c r="J69" s="17" t="s">
        <v>32</v>
      </c>
      <c r="K69" s="50">
        <f>SUM(K65:K68)</f>
        <v>0.2275319266161126</v>
      </c>
    </row>
    <row r="71" spans="1:11" x14ac:dyDescent="0.2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</row>
    <row r="73" spans="1:11" x14ac:dyDescent="0.25">
      <c r="A73" t="s">
        <v>23</v>
      </c>
      <c r="D73" s="12"/>
      <c r="E73" s="12"/>
      <c r="H73" t="s">
        <v>24</v>
      </c>
    </row>
    <row r="74" spans="1:11" x14ac:dyDescent="0.25">
      <c r="D74" s="12"/>
      <c r="E74" s="12"/>
    </row>
    <row r="75" spans="1:11" x14ac:dyDescent="0.25">
      <c r="C75" s="8" t="s">
        <v>48</v>
      </c>
    </row>
    <row r="76" spans="1:11" x14ac:dyDescent="0.25">
      <c r="B76" s="3" t="s">
        <v>47</v>
      </c>
      <c r="C76" s="12">
        <f>$B$5*(-2.1823*(2.15/$B$6-1)+0.8591*(2.15^2/$B$6^2-1))^0.5</f>
        <v>25.286785704197364</v>
      </c>
      <c r="D76" s="12" t="s">
        <v>11</v>
      </c>
      <c r="H76" s="3" t="s">
        <v>47</v>
      </c>
      <c r="I76" s="12">
        <f>$G$5*(-2.1823*(2.15/$G$6-1)+0.8591*(2.15^2/$G$6^2-1))^0.5</f>
        <v>21.653500616462999</v>
      </c>
      <c r="J76" s="12" t="s">
        <v>25</v>
      </c>
      <c r="K76" t="s">
        <v>29</v>
      </c>
    </row>
    <row r="77" spans="1:11" x14ac:dyDescent="0.25">
      <c r="B77" s="60" t="s">
        <v>56</v>
      </c>
      <c r="C77" s="12">
        <f>$B$5*(-2.1823*(4.15/$B$6-1)+0.8591*(4.15^2/$B$6^2-1))^0.5</f>
        <v>21.487503106878613</v>
      </c>
      <c r="D77" s="47" t="s">
        <v>57</v>
      </c>
    </row>
    <row r="78" spans="1:11" x14ac:dyDescent="0.25">
      <c r="B78" s="60"/>
      <c r="C78" s="12"/>
      <c r="D78" s="47"/>
    </row>
    <row r="79" spans="1:11" x14ac:dyDescent="0.25">
      <c r="B79" s="8" t="s">
        <v>49</v>
      </c>
    </row>
    <row r="80" spans="1:11" x14ac:dyDescent="0.25">
      <c r="A80" s="5" t="s">
        <v>30</v>
      </c>
      <c r="B80" s="45">
        <f>$B$8*EXP(-0.7084*25.29^4.5317/$B$5^4.3164)</f>
        <v>8.6107267591713749E-2</v>
      </c>
      <c r="D80" s="32" t="s">
        <v>26</v>
      </c>
      <c r="E80" s="49">
        <f>B80</f>
        <v>8.6107267591713749E-2</v>
      </c>
      <c r="G80" s="5" t="s">
        <v>8</v>
      </c>
      <c r="H80">
        <f>G29</f>
        <v>2.4408674999202677E-2</v>
      </c>
      <c r="J80" s="32" t="s">
        <v>26</v>
      </c>
      <c r="K80" s="49">
        <v>0</v>
      </c>
    </row>
    <row r="81" spans="1:11" x14ac:dyDescent="0.25">
      <c r="A81" s="5" t="s">
        <v>31</v>
      </c>
      <c r="B81" s="45">
        <f>B30-B80</f>
        <v>0.16665396967658455</v>
      </c>
      <c r="D81" s="32" t="s">
        <v>27</v>
      </c>
      <c r="E81" s="49">
        <f>B81</f>
        <v>0.16665396967658455</v>
      </c>
      <c r="G81" s="5" t="s">
        <v>12</v>
      </c>
      <c r="H81">
        <f>G30-G29</f>
        <v>0.11307647033283214</v>
      </c>
      <c r="J81" s="32" t="s">
        <v>27</v>
      </c>
      <c r="K81" s="49">
        <f>H81+H80</f>
        <v>0.13748514533203482</v>
      </c>
    </row>
    <row r="82" spans="1:11" x14ac:dyDescent="0.25">
      <c r="A82" s="5" t="s">
        <v>13</v>
      </c>
      <c r="B82" s="45">
        <f>B31-B30</f>
        <v>8.5920283450142909E-2</v>
      </c>
      <c r="D82" s="32" t="s">
        <v>28</v>
      </c>
      <c r="E82" s="49">
        <f>B82</f>
        <v>8.5920283450142909E-2</v>
      </c>
      <c r="G82" s="5" t="s">
        <v>13</v>
      </c>
      <c r="H82">
        <f>G31-G30</f>
        <v>8.9701674830914985E-2</v>
      </c>
      <c r="J82" s="32" t="s">
        <v>28</v>
      </c>
      <c r="K82" s="49">
        <f>H82</f>
        <v>8.9701674830914985E-2</v>
      </c>
    </row>
    <row r="83" spans="1:11" x14ac:dyDescent="0.25">
      <c r="A83" s="5" t="s">
        <v>14</v>
      </c>
      <c r="B83" s="45">
        <f>B8-B31</f>
        <v>2.9963630295404275E-4</v>
      </c>
      <c r="D83" s="32" t="s">
        <v>0</v>
      </c>
      <c r="E83" s="49">
        <f>B83</f>
        <v>2.9963630295404275E-4</v>
      </c>
      <c r="G83" s="5" t="s">
        <v>14</v>
      </c>
      <c r="H83">
        <f>G8-G31</f>
        <v>3.4510645316279676E-4</v>
      </c>
      <c r="J83" s="32" t="s">
        <v>0</v>
      </c>
      <c r="K83" s="49">
        <f>H83</f>
        <v>3.4510645316279676E-4</v>
      </c>
    </row>
    <row r="84" spans="1:11" x14ac:dyDescent="0.25">
      <c r="D84" s="17" t="s">
        <v>32</v>
      </c>
      <c r="E84" s="50">
        <f>SUM(E80:E83)</f>
        <v>0.33898115702139525</v>
      </c>
      <c r="J84" s="17" t="s">
        <v>32</v>
      </c>
      <c r="K84" s="50">
        <f>SUM(K80:K83)</f>
        <v>0.2275319266161126</v>
      </c>
    </row>
  </sheetData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3.2.4-pag27</vt:lpstr>
      <vt:lpstr>3.2.5-pag27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magatome</cp:lastModifiedBy>
  <cp:lastPrinted>2008-03-11T20:47:15Z</cp:lastPrinted>
  <dcterms:created xsi:type="dcterms:W3CDTF">2002-03-09T22:27:34Z</dcterms:created>
  <dcterms:modified xsi:type="dcterms:W3CDTF">2020-03-18T11:22:25Z</dcterms:modified>
</cp:coreProperties>
</file>