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Paulo Matias\Desktop\ISA\Recursos Hídricos\Trabalhos Práticos\Módulo 1 - Hidrologia\5&amp;6. Evapotranspiração\"/>
    </mc:Choice>
  </mc:AlternateContent>
  <xr:revisionPtr revIDLastSave="0" documentId="13_ncr:1_{A6B187EB-4F21-4407-A96D-09F5C4A2947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AO-PM, conhecendo Rs" sheetId="1" r:id="rId1"/>
    <sheet name="FAO-PM, conhecendo insolação, 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2" l="1"/>
  <c r="D41" i="2"/>
  <c r="E41" i="2"/>
  <c r="F41" i="2"/>
  <c r="G41" i="2"/>
  <c r="H41" i="2"/>
  <c r="I41" i="2"/>
  <c r="J41" i="2"/>
  <c r="J42" i="2" s="1"/>
  <c r="B41" i="2"/>
  <c r="B42" i="2" s="1"/>
  <c r="B38" i="1"/>
  <c r="B39" i="2"/>
  <c r="B36" i="2"/>
  <c r="B37" i="2" s="1"/>
  <c r="J46" i="2"/>
  <c r="D35" i="2"/>
  <c r="E35" i="2"/>
  <c r="E36" i="2" s="1"/>
  <c r="E37" i="2" s="1"/>
  <c r="F35" i="2"/>
  <c r="G35" i="2"/>
  <c r="H35" i="2"/>
  <c r="I35" i="2"/>
  <c r="I36" i="2" s="1"/>
  <c r="I37" i="2" s="1"/>
  <c r="J35" i="2"/>
  <c r="D36" i="2"/>
  <c r="D37" i="2" s="1"/>
  <c r="F36" i="2"/>
  <c r="F37" i="2" s="1"/>
  <c r="G36" i="2"/>
  <c r="G37" i="2" s="1"/>
  <c r="H36" i="2"/>
  <c r="H37" i="2" s="1"/>
  <c r="J36" i="2"/>
  <c r="J37" i="2" s="1"/>
  <c r="D38" i="2"/>
  <c r="E38" i="2"/>
  <c r="F38" i="2"/>
  <c r="G38" i="2"/>
  <c r="H38" i="2"/>
  <c r="I38" i="2"/>
  <c r="J38" i="2"/>
  <c r="D39" i="2"/>
  <c r="E39" i="2"/>
  <c r="F39" i="2"/>
  <c r="G39" i="2"/>
  <c r="H39" i="2"/>
  <c r="I39" i="2"/>
  <c r="J39" i="2"/>
  <c r="D40" i="2"/>
  <c r="E40" i="2"/>
  <c r="F40" i="2"/>
  <c r="G40" i="2"/>
  <c r="H40" i="2"/>
  <c r="I40" i="2"/>
  <c r="J40" i="2"/>
  <c r="D43" i="2"/>
  <c r="E43" i="2"/>
  <c r="F43" i="2"/>
  <c r="G43" i="2"/>
  <c r="H43" i="2"/>
  <c r="I43" i="2"/>
  <c r="J43" i="2"/>
  <c r="D46" i="2"/>
  <c r="E46" i="2"/>
  <c r="F46" i="2"/>
  <c r="G46" i="2"/>
  <c r="H46" i="2"/>
  <c r="I46" i="2"/>
  <c r="C35" i="2"/>
  <c r="C36" i="2"/>
  <c r="C37" i="2" s="1"/>
  <c r="C38" i="2"/>
  <c r="C39" i="2"/>
  <c r="C40" i="2"/>
  <c r="C43" i="2"/>
  <c r="C46" i="2"/>
  <c r="B40" i="2"/>
  <c r="B38" i="2"/>
  <c r="B41" i="1"/>
  <c r="B35" i="2"/>
  <c r="B34" i="2"/>
  <c r="B43" i="2"/>
  <c r="J29" i="2"/>
  <c r="I29" i="2"/>
  <c r="H29" i="2"/>
  <c r="G29" i="2"/>
  <c r="F29" i="2"/>
  <c r="E29" i="2"/>
  <c r="D29" i="2"/>
  <c r="C29" i="2"/>
  <c r="B29" i="2"/>
  <c r="B28" i="2"/>
  <c r="B27" i="2"/>
  <c r="J26" i="2"/>
  <c r="I26" i="2"/>
  <c r="H26" i="2"/>
  <c r="G26" i="2"/>
  <c r="F26" i="2"/>
  <c r="F28" i="2" s="1"/>
  <c r="E26" i="2"/>
  <c r="D26" i="2"/>
  <c r="C26" i="2"/>
  <c r="B26" i="2"/>
  <c r="J25" i="2"/>
  <c r="J27" i="2" s="1"/>
  <c r="I25" i="2"/>
  <c r="H25" i="2"/>
  <c r="H27" i="2" s="1"/>
  <c r="G25" i="2"/>
  <c r="G27" i="2" s="1"/>
  <c r="F25" i="2"/>
  <c r="E25" i="2"/>
  <c r="E27" i="2" s="1"/>
  <c r="D25" i="2"/>
  <c r="C25" i="2"/>
  <c r="B25" i="2"/>
  <c r="E24" i="2"/>
  <c r="C24" i="2"/>
  <c r="J23" i="2"/>
  <c r="J24" i="2" s="1"/>
  <c r="I23" i="2"/>
  <c r="I24" i="2" s="1"/>
  <c r="H23" i="2"/>
  <c r="H24" i="2" s="1"/>
  <c r="G23" i="2"/>
  <c r="G24" i="2" s="1"/>
  <c r="F23" i="2"/>
  <c r="F24" i="2" s="1"/>
  <c r="E23" i="2"/>
  <c r="D23" i="2"/>
  <c r="D24" i="2" s="1"/>
  <c r="C23" i="2"/>
  <c r="B23" i="2"/>
  <c r="B24" i="2" s="1"/>
  <c r="G22" i="2"/>
  <c r="E22" i="2"/>
  <c r="J20" i="2"/>
  <c r="J22" i="2" s="1"/>
  <c r="I20" i="2"/>
  <c r="I22" i="2" s="1"/>
  <c r="H20" i="2"/>
  <c r="H22" i="2" s="1"/>
  <c r="G20" i="2"/>
  <c r="F20" i="2"/>
  <c r="F22" i="2" s="1"/>
  <c r="E20" i="2"/>
  <c r="D20" i="2"/>
  <c r="D22" i="2" s="1"/>
  <c r="C20" i="2"/>
  <c r="C22" i="2" s="1"/>
  <c r="B20" i="2"/>
  <c r="B22" i="2" s="1"/>
  <c r="B8" i="2"/>
  <c r="H19" i="2" s="1"/>
  <c r="B6" i="2"/>
  <c r="B28" i="1"/>
  <c r="B27" i="1"/>
  <c r="J44" i="2" l="1"/>
  <c r="J45" i="2" s="1"/>
  <c r="J47" i="2" s="1"/>
  <c r="I42" i="2"/>
  <c r="I44" i="2" s="1"/>
  <c r="I45" i="2" s="1"/>
  <c r="I47" i="2" s="1"/>
  <c r="C42" i="2"/>
  <c r="C44" i="2" s="1"/>
  <c r="C45" i="2" s="1"/>
  <c r="C47" i="2" s="1"/>
  <c r="F42" i="2"/>
  <c r="F44" i="2" s="1"/>
  <c r="F45" i="2" s="1"/>
  <c r="F47" i="2" s="1"/>
  <c r="B44" i="2"/>
  <c r="H42" i="2"/>
  <c r="H44" i="2" s="1"/>
  <c r="H45" i="2" s="1"/>
  <c r="H47" i="2" s="1"/>
  <c r="G42" i="2"/>
  <c r="G44" i="2" s="1"/>
  <c r="G45" i="2" s="1"/>
  <c r="G47" i="2" s="1"/>
  <c r="E42" i="2"/>
  <c r="E44" i="2" s="1"/>
  <c r="E45" i="2" s="1"/>
  <c r="E47" i="2" s="1"/>
  <c r="D42" i="2"/>
  <c r="D44" i="2" s="1"/>
  <c r="D45" i="2" s="1"/>
  <c r="D47" i="2" s="1"/>
  <c r="D28" i="2"/>
  <c r="I28" i="2"/>
  <c r="J28" i="2"/>
  <c r="G28" i="2"/>
  <c r="I27" i="2"/>
  <c r="H28" i="2"/>
  <c r="D27" i="2"/>
  <c r="C28" i="2"/>
  <c r="F27" i="2"/>
  <c r="E28" i="2"/>
  <c r="B46" i="2"/>
  <c r="H31" i="2"/>
  <c r="H30" i="2"/>
  <c r="J19" i="2"/>
  <c r="D19" i="2"/>
  <c r="C19" i="2"/>
  <c r="F19" i="2"/>
  <c r="B19" i="2"/>
  <c r="E19" i="2"/>
  <c r="G19" i="2"/>
  <c r="I19" i="2"/>
  <c r="C27" i="2"/>
  <c r="F31" i="2" l="1"/>
  <c r="F30" i="2"/>
  <c r="I30" i="2"/>
  <c r="I31" i="2"/>
  <c r="C31" i="2"/>
  <c r="C30" i="2"/>
  <c r="G30" i="2"/>
  <c r="G31" i="2"/>
  <c r="E31" i="2"/>
  <c r="E30" i="2"/>
  <c r="D31" i="2"/>
  <c r="D30" i="2"/>
  <c r="B30" i="2"/>
  <c r="B31" i="2"/>
  <c r="J31" i="2"/>
  <c r="J30" i="2"/>
  <c r="H32" i="2"/>
  <c r="H33" i="2" s="1"/>
  <c r="H34" i="2" s="1"/>
  <c r="G34" i="2" l="1"/>
  <c r="C32" i="2"/>
  <c r="C33" i="2"/>
  <c r="J32" i="2"/>
  <c r="J33" i="2" s="1"/>
  <c r="J34" i="2" s="1"/>
  <c r="C34" i="2"/>
  <c r="G32" i="2"/>
  <c r="G33" i="2"/>
  <c r="B32" i="2"/>
  <c r="B33" i="2" s="1"/>
  <c r="B45" i="2" s="1"/>
  <c r="B47" i="2" s="1"/>
  <c r="D32" i="2"/>
  <c r="D33" i="2" s="1"/>
  <c r="D34" i="2" s="1"/>
  <c r="I32" i="2"/>
  <c r="I33" i="2" s="1"/>
  <c r="I34" i="2" s="1"/>
  <c r="E32" i="2"/>
  <c r="E33" i="2"/>
  <c r="E34" i="2" s="1"/>
  <c r="F32" i="2"/>
  <c r="F33" i="2" s="1"/>
  <c r="F34" i="2" s="1"/>
  <c r="C23" i="1" l="1"/>
  <c r="D23" i="1"/>
  <c r="E23" i="1"/>
  <c r="F23" i="1"/>
  <c r="G23" i="1"/>
  <c r="H23" i="1"/>
  <c r="I23" i="1"/>
  <c r="J23" i="1"/>
  <c r="J24" i="1" s="1"/>
  <c r="C24" i="1"/>
  <c r="D24" i="1"/>
  <c r="E24" i="1"/>
  <c r="F24" i="1"/>
  <c r="G24" i="1"/>
  <c r="H24" i="1"/>
  <c r="I24" i="1"/>
  <c r="C25" i="1"/>
  <c r="D25" i="1"/>
  <c r="E25" i="1"/>
  <c r="F25" i="1"/>
  <c r="G25" i="1"/>
  <c r="G27" i="1" s="1"/>
  <c r="H25" i="1"/>
  <c r="I25" i="1"/>
  <c r="J25" i="1"/>
  <c r="J27" i="1" s="1"/>
  <c r="C26" i="1"/>
  <c r="D26" i="1"/>
  <c r="E26" i="1"/>
  <c r="E28" i="1" s="1"/>
  <c r="E37" i="1" s="1"/>
  <c r="F26" i="1"/>
  <c r="G26" i="1"/>
  <c r="G28" i="1" s="1"/>
  <c r="G37" i="1" s="1"/>
  <c r="H26" i="1"/>
  <c r="I26" i="1"/>
  <c r="J26" i="1"/>
  <c r="J28" i="1" s="1"/>
  <c r="J37" i="1" s="1"/>
  <c r="C27" i="1"/>
  <c r="D27" i="1"/>
  <c r="F27" i="1"/>
  <c r="H27" i="1"/>
  <c r="I27" i="1"/>
  <c r="C28" i="1"/>
  <c r="C37" i="1" s="1"/>
  <c r="D28" i="1"/>
  <c r="F28" i="1"/>
  <c r="H28" i="1"/>
  <c r="I28" i="1"/>
  <c r="I37" i="1" s="1"/>
  <c r="C29" i="1"/>
  <c r="D29" i="1"/>
  <c r="D43" i="1" s="1"/>
  <c r="E29" i="1"/>
  <c r="F29" i="1"/>
  <c r="G29" i="1"/>
  <c r="H29" i="1"/>
  <c r="I29" i="1"/>
  <c r="J29" i="1"/>
  <c r="C36" i="1"/>
  <c r="D36" i="1"/>
  <c r="E36" i="1"/>
  <c r="F36" i="1"/>
  <c r="G36" i="1"/>
  <c r="H36" i="1"/>
  <c r="I36" i="1"/>
  <c r="J36" i="1"/>
  <c r="D37" i="1"/>
  <c r="F37" i="1"/>
  <c r="H37" i="1"/>
  <c r="C40" i="1"/>
  <c r="D40" i="1"/>
  <c r="E40" i="1"/>
  <c r="F40" i="1"/>
  <c r="G40" i="1"/>
  <c r="H40" i="1"/>
  <c r="I40" i="1"/>
  <c r="J40" i="1"/>
  <c r="B40" i="1"/>
  <c r="B36" i="1"/>
  <c r="B8" i="1"/>
  <c r="B19" i="1" s="1"/>
  <c r="B6" i="1"/>
  <c r="B29" i="1"/>
  <c r="B26" i="1"/>
  <c r="B25" i="1"/>
  <c r="B37" i="1" s="1"/>
  <c r="B23" i="1"/>
  <c r="B24" i="1" s="1"/>
  <c r="B20" i="1"/>
  <c r="B22" i="1"/>
  <c r="C20" i="1"/>
  <c r="C22" i="1" s="1"/>
  <c r="C43" i="1" s="1"/>
  <c r="D20" i="1"/>
  <c r="D22" i="1"/>
  <c r="E20" i="1"/>
  <c r="E22" i="1" s="1"/>
  <c r="E43" i="1" s="1"/>
  <c r="F20" i="1"/>
  <c r="F22" i="1"/>
  <c r="F43" i="1" s="1"/>
  <c r="G20" i="1"/>
  <c r="G22" i="1" s="1"/>
  <c r="G43" i="1" s="1"/>
  <c r="H20" i="1"/>
  <c r="H22" i="1"/>
  <c r="H43" i="1" s="1"/>
  <c r="I20" i="1"/>
  <c r="I22" i="1" s="1"/>
  <c r="I43" i="1" s="1"/>
  <c r="J20" i="1"/>
  <c r="J22" i="1"/>
  <c r="J43" i="1" s="1"/>
  <c r="B30" i="1" l="1"/>
  <c r="B31" i="1"/>
  <c r="F19" i="1"/>
  <c r="J19" i="1"/>
  <c r="J30" i="1" s="1"/>
  <c r="J32" i="1" s="1"/>
  <c r="J33" i="1" s="1"/>
  <c r="B43" i="1"/>
  <c r="D19" i="1"/>
  <c r="H19" i="1"/>
  <c r="C19" i="1"/>
  <c r="I19" i="1"/>
  <c r="I31" i="1" s="1"/>
  <c r="G19" i="1"/>
  <c r="E19" i="1"/>
  <c r="E27" i="1"/>
  <c r="J31" i="1"/>
  <c r="B32" i="1" l="1"/>
  <c r="B33" i="1" s="1"/>
  <c r="B34" i="1" s="1"/>
  <c r="B35" i="1" s="1"/>
  <c r="B39" i="1" s="1"/>
  <c r="B42" i="1" s="1"/>
  <c r="B44" i="1" s="1"/>
  <c r="I30" i="1"/>
  <c r="C30" i="1"/>
  <c r="C32" i="1" s="1"/>
  <c r="C33" i="1" s="1"/>
  <c r="C34" i="1" s="1"/>
  <c r="C35" i="1" s="1"/>
  <c r="C38" i="1" s="1"/>
  <c r="C39" i="1" s="1"/>
  <c r="C41" i="1" s="1"/>
  <c r="C42" i="1" s="1"/>
  <c r="C44" i="1" s="1"/>
  <c r="C31" i="1"/>
  <c r="H30" i="1"/>
  <c r="H31" i="1"/>
  <c r="D31" i="1"/>
  <c r="D30" i="1"/>
  <c r="E30" i="1"/>
  <c r="E31" i="1"/>
  <c r="G30" i="1"/>
  <c r="G32" i="1" s="1"/>
  <c r="G33" i="1" s="1"/>
  <c r="G34" i="1" s="1"/>
  <c r="G35" i="1" s="1"/>
  <c r="G38" i="1" s="1"/>
  <c r="G39" i="1" s="1"/>
  <c r="G41" i="1" s="1"/>
  <c r="G42" i="1" s="1"/>
  <c r="G44" i="1" s="1"/>
  <c r="G31" i="1"/>
  <c r="F31" i="1"/>
  <c r="F30" i="1"/>
  <c r="F32" i="1" s="1"/>
  <c r="F33" i="1" s="1"/>
  <c r="F34" i="1" s="1"/>
  <c r="F35" i="1" s="1"/>
  <c r="F38" i="1" s="1"/>
  <c r="F39" i="1" s="1"/>
  <c r="F41" i="1" s="1"/>
  <c r="F42" i="1" s="1"/>
  <c r="F44" i="1" s="1"/>
  <c r="J34" i="1"/>
  <c r="J35" i="1" s="1"/>
  <c r="J38" i="1" s="1"/>
  <c r="J39" i="1" s="1"/>
  <c r="J41" i="1" s="1"/>
  <c r="J42" i="1" s="1"/>
  <c r="J44" i="1" s="1"/>
  <c r="I32" i="1"/>
  <c r="I33" i="1" s="1"/>
  <c r="I34" i="1" s="1"/>
  <c r="I35" i="1" s="1"/>
  <c r="I38" i="1" s="1"/>
  <c r="I39" i="1" s="1"/>
  <c r="I41" i="1" s="1"/>
  <c r="I42" i="1" s="1"/>
  <c r="I44" i="1" s="1"/>
  <c r="E32" i="1" l="1"/>
  <c r="E33" i="1" s="1"/>
  <c r="E34" i="1" s="1"/>
  <c r="E35" i="1" s="1"/>
  <c r="E38" i="1" s="1"/>
  <c r="E39" i="1" s="1"/>
  <c r="E41" i="1" s="1"/>
  <c r="E42" i="1" s="1"/>
  <c r="E44" i="1" s="1"/>
  <c r="H32" i="1"/>
  <c r="H33" i="1" s="1"/>
  <c r="H34" i="1" s="1"/>
  <c r="H35" i="1" s="1"/>
  <c r="H38" i="1" s="1"/>
  <c r="H39" i="1" s="1"/>
  <c r="H41" i="1" s="1"/>
  <c r="H42" i="1" s="1"/>
  <c r="H44" i="1" s="1"/>
  <c r="D32" i="1"/>
  <c r="D33" i="1" s="1"/>
  <c r="D34" i="1" s="1"/>
  <c r="D35" i="1" s="1"/>
  <c r="D38" i="1" s="1"/>
  <c r="D39" i="1" s="1"/>
  <c r="D41" i="1" s="1"/>
  <c r="D42" i="1" s="1"/>
  <c r="D44" i="1" s="1"/>
</calcChain>
</file>

<file path=xl/sharedStrings.xml><?xml version="1.0" encoding="utf-8"?>
<sst xmlns="http://schemas.openxmlformats.org/spreadsheetml/2006/main" count="95" uniqueCount="50">
  <si>
    <t xml:space="preserve"> </t>
  </si>
  <si>
    <t>m</t>
  </si>
  <si>
    <t>Dia Juliano</t>
  </si>
  <si>
    <t>Dia Juliano inicial</t>
  </si>
  <si>
    <t>Dia após início</t>
  </si>
  <si>
    <t>º</t>
  </si>
  <si>
    <t>rad</t>
  </si>
  <si>
    <t>Cálculo da evapotranspiração de referência com o método da FAO / Penman Monteith</t>
  </si>
  <si>
    <r>
      <t xml:space="preserve"> - Caso em que a estação meteorológica mede a radiação global de curto comprimento de onda, R</t>
    </r>
    <r>
      <rPr>
        <i/>
        <vertAlign val="subscript"/>
        <sz val="10"/>
        <rFont val="Arial"/>
        <family val="2"/>
      </rPr>
      <t>s</t>
    </r>
    <r>
      <rPr>
        <i/>
        <sz val="10"/>
        <rFont val="Arial"/>
        <family val="2"/>
      </rPr>
      <t xml:space="preserve"> (com piranómetro, p.e.)</t>
    </r>
  </si>
  <si>
    <r>
      <t xml:space="preserve">Radiação global, </t>
    </r>
    <r>
      <rPr>
        <i/>
        <sz val="10"/>
        <rFont val="Arial"/>
        <family val="2"/>
      </rPr>
      <t>R</t>
    </r>
    <r>
      <rPr>
        <vertAlign val="subscript"/>
        <sz val="10"/>
        <rFont val="Arial"/>
        <family val="2"/>
      </rPr>
      <t>s</t>
    </r>
    <r>
      <rPr>
        <sz val="10"/>
        <rFont val="Arial"/>
      </rPr>
      <t xml:space="preserve"> (MJm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</si>
  <si>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t xml:space="preserve"> - Caso em que a estação meteorológica mede o número de horas real de sol, n (com heliógrafo, p.e.)</t>
  </si>
  <si>
    <t>Latitude =</t>
  </si>
  <si>
    <t>Latitude (radianos) =</t>
  </si>
  <si>
    <t>Data =</t>
  </si>
  <si>
    <r>
      <rPr>
        <i/>
        <sz val="10"/>
        <rFont val="Arial"/>
        <family val="2"/>
      </rPr>
      <t>T</t>
    </r>
    <r>
      <rPr>
        <vertAlign val="subscript"/>
        <sz val="10"/>
        <rFont val="Arial"/>
        <family val="2"/>
      </rPr>
      <t>max</t>
    </r>
    <r>
      <rPr>
        <sz val="10"/>
        <rFont val="Arial"/>
      </rPr>
      <t xml:space="preserve"> (ºC)</t>
    </r>
  </si>
  <si>
    <r>
      <rPr>
        <i/>
        <sz val="10"/>
        <rFont val="Arial"/>
        <family val="2"/>
      </rPr>
      <t>T</t>
    </r>
    <r>
      <rPr>
        <vertAlign val="subscript"/>
        <sz val="10"/>
        <rFont val="Arial"/>
        <family val="2"/>
      </rPr>
      <t>min</t>
    </r>
    <r>
      <rPr>
        <sz val="10"/>
        <rFont val="Arial"/>
      </rPr>
      <t xml:space="preserve"> (ºC)</t>
    </r>
  </si>
  <si>
    <r>
      <rPr>
        <i/>
        <sz val="10"/>
        <rFont val="Arial"/>
        <family val="2"/>
      </rPr>
      <t>H</t>
    </r>
    <r>
      <rPr>
        <vertAlign val="subscript"/>
        <sz val="10"/>
        <rFont val="Arial"/>
        <family val="2"/>
      </rPr>
      <t>rmax</t>
    </r>
    <r>
      <rPr>
        <sz val="10"/>
        <rFont val="Arial"/>
      </rPr>
      <t xml:space="preserve"> (%)</t>
    </r>
  </si>
  <si>
    <r>
      <rPr>
        <i/>
        <sz val="10"/>
        <rFont val="Arial"/>
        <family val="2"/>
      </rPr>
      <t>H</t>
    </r>
    <r>
      <rPr>
        <vertAlign val="subscript"/>
        <sz val="10"/>
        <rFont val="Arial"/>
        <family val="2"/>
      </rPr>
      <t>rmin</t>
    </r>
    <r>
      <rPr>
        <sz val="10"/>
        <rFont val="Arial"/>
      </rPr>
      <t xml:space="preserve"> (%)</t>
    </r>
  </si>
  <si>
    <r>
      <t xml:space="preserve">Altura da medição do vento, </t>
    </r>
    <r>
      <rPr>
        <i/>
        <sz val="10"/>
        <rFont val="Arial"/>
        <family val="2"/>
      </rPr>
      <t>z</t>
    </r>
    <r>
      <rPr>
        <vertAlign val="subscript"/>
        <sz val="10"/>
        <rFont val="Arial"/>
        <family val="2"/>
      </rPr>
      <t>m</t>
    </r>
    <r>
      <rPr>
        <sz val="10"/>
        <rFont val="Arial"/>
      </rPr>
      <t xml:space="preserve"> =</t>
    </r>
  </si>
  <si>
    <r>
      <t>Altitude,</t>
    </r>
    <r>
      <rPr>
        <i/>
        <sz val="10"/>
        <rFont val="Arial"/>
        <family val="2"/>
      </rPr>
      <t xml:space="preserve"> z</t>
    </r>
    <r>
      <rPr>
        <sz val="10"/>
        <rFont val="Arial"/>
        <family val="2"/>
      </rPr>
      <t xml:space="preserve"> =</t>
    </r>
  </si>
  <si>
    <r>
      <t xml:space="preserve">Vento, </t>
    </r>
    <r>
      <rPr>
        <i/>
        <sz val="10"/>
        <rFont val="Arial"/>
        <family val="2"/>
      </rPr>
      <t>U</t>
    </r>
    <r>
      <rPr>
        <vertAlign val="subscript"/>
        <sz val="10"/>
        <rFont val="Arial"/>
        <family val="2"/>
      </rPr>
      <t>zm</t>
    </r>
    <r>
      <rPr>
        <sz val="10"/>
        <rFont val="Arial"/>
        <family val="2"/>
      </rPr>
      <t xml:space="preserve"> (m/s)</t>
    </r>
  </si>
  <si>
    <r>
      <t>T</t>
    </r>
    <r>
      <rPr>
        <vertAlign val="subscript"/>
        <sz val="10"/>
        <rFont val="Arial"/>
        <family val="2"/>
      </rPr>
      <t>mean</t>
    </r>
  </si>
  <si>
    <r>
      <t xml:space="preserve">Distância relativa Terra-Sol, </t>
    </r>
    <r>
      <rPr>
        <i/>
        <sz val="10"/>
        <rFont val="Arial"/>
        <family val="2"/>
      </rPr>
      <t>d</t>
    </r>
    <r>
      <rPr>
        <vertAlign val="subscript"/>
        <sz val="10"/>
        <rFont val="Arial"/>
        <family val="2"/>
      </rPr>
      <t xml:space="preserve">r </t>
    </r>
    <r>
      <rPr>
        <sz val="10"/>
        <rFont val="Arial"/>
        <family val="2"/>
      </rPr>
      <t>=</t>
    </r>
  </si>
  <si>
    <r>
      <t xml:space="preserve">Rad. solar de curto comp. onda para céu limpo, </t>
    </r>
    <r>
      <rPr>
        <i/>
        <sz val="10"/>
        <rFont val="Arial"/>
        <family val="2"/>
      </rPr>
      <t>R</t>
    </r>
    <r>
      <rPr>
        <vertAlign val="subscript"/>
        <sz val="10"/>
        <rFont val="Arial"/>
        <family val="2"/>
      </rPr>
      <t xml:space="preserve">s0 </t>
    </r>
    <r>
      <rPr>
        <sz val="10"/>
        <rFont val="Arial"/>
        <family val="2"/>
      </rPr>
      <t>=</t>
    </r>
  </si>
  <si>
    <r>
      <t xml:space="preserve">Factor de nebulosidade, 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</si>
  <si>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t>Emissividade líquida da superfície, e' =</t>
  </si>
  <si>
    <t>Auxiliar para radiação líquida  de l.c.o =</t>
  </si>
  <si>
    <r>
      <t>Numerador para ET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=</t>
    </r>
  </si>
  <si>
    <r>
      <t>Denominador para ET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</si>
  <si>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ET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(mm/dia) =</t>
    </r>
  </si>
  <si>
    <r>
      <t xml:space="preserve">Insolação diária,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(h)</t>
    </r>
  </si>
  <si>
    <t>n/N =</t>
  </si>
  <si>
    <r>
      <t xml:space="preserve">Declive da curva de pressão de vapor, Δ (kPa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 =</t>
    </r>
  </si>
  <si>
    <r>
      <t xml:space="preserve">Pressão atmosférica, </t>
    </r>
    <r>
      <rPr>
        <i/>
        <sz val="10"/>
        <rFont val="Arial"/>
        <family val="2"/>
      </rPr>
      <t xml:space="preserve">P </t>
    </r>
    <r>
      <rPr>
        <sz val="10"/>
        <rFont val="Arial"/>
        <family val="2"/>
      </rPr>
      <t>(kPa)</t>
    </r>
    <r>
      <rPr>
        <i/>
        <sz val="10"/>
        <rFont val="Arial"/>
        <family val="2"/>
      </rPr>
      <t xml:space="preserve"> </t>
    </r>
    <r>
      <rPr>
        <sz val="10"/>
        <rFont val="Arial"/>
      </rPr>
      <t>=</t>
    </r>
  </si>
  <si>
    <r>
      <t xml:space="preserve">Constante psicrométrica, γ  (kPa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 =</t>
    </r>
  </si>
  <si>
    <r>
      <t xml:space="preserve">Pressão de saturação de vapor, </t>
    </r>
    <r>
      <rPr>
        <i/>
        <sz val="10"/>
        <rFont val="Arial"/>
        <family val="2"/>
      </rP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(Tmax) (kPa) =</t>
    </r>
  </si>
  <si>
    <r>
      <t xml:space="preserve">Pressão de saturação de vapor, </t>
    </r>
    <r>
      <rPr>
        <i/>
        <sz val="10"/>
        <rFont val="Arial"/>
        <family val="2"/>
      </rP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(Tmin) (kPa) =</t>
    </r>
  </si>
  <si>
    <r>
      <t xml:space="preserve">Pressão de saturação de vapor para 24 h, </t>
    </r>
    <r>
      <rPr>
        <i/>
        <sz val="10"/>
        <rFont val="Arial"/>
        <family val="2"/>
      </rPr>
      <t>e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(kPa) =</t>
    </r>
  </si>
  <si>
    <r>
      <t xml:space="preserve">Pressão de vapor real, </t>
    </r>
    <r>
      <rPr>
        <i/>
        <sz val="10"/>
        <rFont val="Arial"/>
        <family val="2"/>
      </rPr>
      <t>e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2"/>
      </rPr>
      <t>(kPa)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</t>
    </r>
  </si>
  <si>
    <r>
      <t xml:space="preserve">Velocidade média do vento a 2m de altura, </t>
    </r>
    <r>
      <rPr>
        <i/>
        <sz val="10"/>
        <rFont val="Arial"/>
        <family val="2"/>
      </rPr>
      <t>U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(m 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</rPr>
      <t>=</t>
    </r>
  </si>
  <si>
    <t>Inclinação solar, δ (rad) =</t>
  </si>
  <si>
    <r>
      <t xml:space="preserve">Auxiliar para ângulo solar, </t>
    </r>
    <r>
      <rPr>
        <i/>
        <sz val="10"/>
        <rFont val="Arial"/>
        <family val="2"/>
      </rPr>
      <t xml:space="preserve">X </t>
    </r>
    <r>
      <rPr>
        <sz val="10"/>
        <rFont val="Arial"/>
        <family val="2"/>
      </rPr>
      <t>=</t>
    </r>
  </si>
  <si>
    <r>
      <t xml:space="preserve">Ângulo solar ao pôr do sol, </t>
    </r>
    <r>
      <rPr>
        <i/>
        <sz val="10"/>
        <rFont val="Arial"/>
        <family val="2"/>
      </rPr>
      <t>ω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(rad) =</t>
    </r>
  </si>
  <si>
    <r>
      <t xml:space="preserve">Radiação no topo da atmosfera, </t>
    </r>
    <r>
      <rPr>
        <i/>
        <sz val="10"/>
        <rFont val="Arial"/>
        <family val="2"/>
      </rPr>
      <t>R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(MJ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 xml:space="preserve"> dia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 =</t>
    </r>
  </si>
  <si>
    <r>
      <t xml:space="preserve">Rad. solar de curto comp. onda para céu limpo, </t>
    </r>
    <r>
      <rPr>
        <i/>
        <sz val="10"/>
        <rFont val="Arial"/>
        <family val="2"/>
      </rPr>
      <t>R</t>
    </r>
    <r>
      <rPr>
        <vertAlign val="subscript"/>
        <sz val="10"/>
        <rFont val="Arial"/>
        <family val="2"/>
      </rPr>
      <t xml:space="preserve">s0 </t>
    </r>
    <r>
      <rPr>
        <sz val="10"/>
        <rFont val="Arial"/>
        <family val="2"/>
      </rPr>
      <t>(MJ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 xml:space="preserve"> dia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 =</t>
    </r>
  </si>
  <si>
    <r>
      <t xml:space="preserve">Radiação líquida de longo comp. onda, </t>
    </r>
    <r>
      <rPr>
        <i/>
        <sz val="10"/>
        <rFont val="Arial"/>
        <family val="2"/>
      </rPr>
      <t>R</t>
    </r>
    <r>
      <rPr>
        <vertAlign val="subscript"/>
        <sz val="10"/>
        <rFont val="Arial"/>
        <family val="2"/>
      </rPr>
      <t>nl</t>
    </r>
    <r>
      <rPr>
        <sz val="10"/>
        <rFont val="Arial"/>
        <family val="2"/>
      </rPr>
      <t xml:space="preserve"> (MJ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 xml:space="preserve"> dia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 =</t>
    </r>
  </si>
  <si>
    <r>
      <t xml:space="preserve">Densidade de fluxo de calor do solo, </t>
    </r>
    <r>
      <rPr>
        <i/>
        <sz val="10"/>
        <rFont val="Arial"/>
        <family val="2"/>
      </rPr>
      <t xml:space="preserve">G </t>
    </r>
    <r>
      <rPr>
        <sz val="10"/>
        <rFont val="Arial"/>
        <family val="2"/>
      </rPr>
      <t>(MJ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 xml:space="preserve"> dia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=</t>
    </r>
  </si>
  <si>
    <r>
      <t xml:space="preserve">Radiação líquida, </t>
    </r>
    <r>
      <rPr>
        <i/>
        <sz val="10"/>
        <rFont val="Arial"/>
        <family val="2"/>
      </rPr>
      <t>R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(MJ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 xml:space="preserve"> dia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 =</t>
    </r>
  </si>
  <si>
    <r>
      <t xml:space="preserve">Insolação diária máxima,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(h) =</t>
    </r>
  </si>
  <si>
    <r>
      <t xml:space="preserve">Radiação global, </t>
    </r>
    <r>
      <rPr>
        <i/>
        <sz val="10"/>
        <rFont val="Arial"/>
        <family val="2"/>
      </rP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(MJ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 xml:space="preserve"> dia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</si>
</sst>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2" fontId="0" fillId="0" borderId="0" xfId="0" applyNumberFormat="1"/>
    <xf numFmtId="0" fontId="2" fillId="0" borderId="0" xfId="0" applyFont="1"/>
    <xf numFmtId="14" fontId="2" fillId="0" borderId="0" xfId="0" applyNumberFormat="1" applyFont="1"/>
    <xf numFmtId="1" fontId="0" fillId="0" borderId="0" xfId="0" applyNumberFormat="1"/>
    <xf numFmtId="0" fontId="3" fillId="0" borderId="0" xfId="0" applyFont="1"/>
    <xf numFmtId="164" fontId="0" fillId="0" borderId="0" xfId="0" applyNumberFormat="1"/>
    <xf numFmtId="164" fontId="2" fillId="0" borderId="0" xfId="0" applyNumberFormat="1" applyFont="1"/>
    <xf numFmtId="2" fontId="2" fillId="0" borderId="0" xfId="0" applyNumberFormat="1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Normal="100" workbookViewId="0">
      <selection activeCell="A46" sqref="A46"/>
    </sheetView>
  </sheetViews>
  <sheetFormatPr defaultRowHeight="13.2" x14ac:dyDescent="0.25"/>
  <cols>
    <col min="1" max="1" width="56.33203125" customWidth="1"/>
    <col min="2" max="11" width="10.109375" style="2" bestFit="1" customWidth="1"/>
  </cols>
  <sheetData>
    <row r="1" spans="1:11" ht="15.6" x14ac:dyDescent="0.3">
      <c r="A1" s="10" t="s">
        <v>7</v>
      </c>
    </row>
    <row r="2" spans="1:11" ht="15.6" x14ac:dyDescent="0.35">
      <c r="A2" s="11" t="s">
        <v>8</v>
      </c>
    </row>
    <row r="4" spans="1:11" ht="15.6" x14ac:dyDescent="0.35">
      <c r="A4" s="6" t="s">
        <v>18</v>
      </c>
      <c r="B4" s="9">
        <v>2.5</v>
      </c>
      <c r="C4" s="2" t="s">
        <v>1</v>
      </c>
      <c r="F4" s="2" t="s">
        <v>0</v>
      </c>
    </row>
    <row r="5" spans="1:11" x14ac:dyDescent="0.25">
      <c r="A5" s="6" t="s">
        <v>11</v>
      </c>
      <c r="B5" s="9">
        <v>38.049999999999997</v>
      </c>
      <c r="C5" s="2" t="s">
        <v>5</v>
      </c>
    </row>
    <row r="6" spans="1:11" x14ac:dyDescent="0.25">
      <c r="A6" s="6" t="s">
        <v>12</v>
      </c>
      <c r="B6" s="9">
        <f>B5*PI()/180</f>
        <v>0.66409778038384226</v>
      </c>
      <c r="C6" s="2" t="s">
        <v>6</v>
      </c>
    </row>
    <row r="7" spans="1:11" x14ac:dyDescent="0.25">
      <c r="A7" s="6" t="s">
        <v>19</v>
      </c>
      <c r="B7" s="9">
        <v>74</v>
      </c>
      <c r="C7" s="2" t="s">
        <v>1</v>
      </c>
    </row>
    <row r="8" spans="1:11" x14ac:dyDescent="0.25">
      <c r="A8" t="s">
        <v>3</v>
      </c>
      <c r="B8" s="9">
        <f>31+28+31+30</f>
        <v>120</v>
      </c>
    </row>
    <row r="10" spans="1:11" x14ac:dyDescent="0.25">
      <c r="A10" s="3" t="s">
        <v>13</v>
      </c>
      <c r="B10" s="4">
        <v>37742</v>
      </c>
      <c r="C10" s="4">
        <v>37743</v>
      </c>
      <c r="D10" s="4">
        <v>37744</v>
      </c>
      <c r="E10" s="4">
        <v>37745</v>
      </c>
      <c r="F10" s="4">
        <v>37746</v>
      </c>
      <c r="G10" s="4">
        <v>37746</v>
      </c>
      <c r="H10" s="4">
        <v>37748</v>
      </c>
      <c r="I10" s="4">
        <v>37749</v>
      </c>
      <c r="J10" s="4">
        <v>37750</v>
      </c>
      <c r="K10" s="1" t="s">
        <v>0</v>
      </c>
    </row>
    <row r="11" spans="1:11" ht="15.6" x14ac:dyDescent="0.35">
      <c r="A11" s="6" t="s">
        <v>14</v>
      </c>
      <c r="B11" s="9">
        <v>24.6</v>
      </c>
      <c r="C11" s="9">
        <v>24.3</v>
      </c>
      <c r="D11" s="9">
        <v>29.3</v>
      </c>
      <c r="E11" s="9">
        <v>24.4</v>
      </c>
      <c r="F11" s="9">
        <v>20.100000000000001</v>
      </c>
      <c r="G11" s="9">
        <v>20.9</v>
      </c>
      <c r="H11" s="9">
        <v>22.7</v>
      </c>
      <c r="I11" s="9">
        <v>26.4</v>
      </c>
      <c r="J11" s="9">
        <v>29.5</v>
      </c>
    </row>
    <row r="12" spans="1:11" ht="15.6" x14ac:dyDescent="0.35">
      <c r="A12" s="6" t="s">
        <v>15</v>
      </c>
      <c r="B12" s="9">
        <v>8.9</v>
      </c>
      <c r="C12" s="9">
        <v>6.7</v>
      </c>
      <c r="D12" s="9">
        <v>4.9000000000000004</v>
      </c>
      <c r="E12" s="9">
        <v>10.6</v>
      </c>
      <c r="F12" s="9">
        <v>9.5</v>
      </c>
      <c r="G12" s="9">
        <v>7.8</v>
      </c>
      <c r="H12" s="9">
        <v>6.3</v>
      </c>
      <c r="I12" s="9">
        <v>10.1</v>
      </c>
      <c r="J12" s="9">
        <v>7.4</v>
      </c>
    </row>
    <row r="13" spans="1:11" ht="15.6" x14ac:dyDescent="0.35">
      <c r="A13" s="6" t="s">
        <v>16</v>
      </c>
      <c r="B13" s="9">
        <v>96.1</v>
      </c>
      <c r="C13" s="9">
        <v>95.9</v>
      </c>
      <c r="D13" s="9">
        <v>99.2</v>
      </c>
      <c r="E13" s="9">
        <v>94.1</v>
      </c>
      <c r="F13" s="9">
        <v>94.3</v>
      </c>
      <c r="G13" s="9">
        <v>89.4</v>
      </c>
      <c r="H13" s="9">
        <v>93.1</v>
      </c>
      <c r="I13" s="9">
        <v>89.8</v>
      </c>
      <c r="J13" s="9">
        <v>97</v>
      </c>
    </row>
    <row r="14" spans="1:11" ht="15.6" x14ac:dyDescent="0.35">
      <c r="A14" s="6" t="s">
        <v>17</v>
      </c>
      <c r="B14" s="9">
        <v>27.4</v>
      </c>
      <c r="C14" s="9">
        <v>32.200000000000003</v>
      </c>
      <c r="D14" s="9">
        <v>31.4</v>
      </c>
      <c r="E14" s="9">
        <v>36.1</v>
      </c>
      <c r="F14" s="9">
        <v>44.3</v>
      </c>
      <c r="G14" s="9">
        <v>32.799999999999997</v>
      </c>
      <c r="H14" s="9">
        <v>34.299999999999997</v>
      </c>
      <c r="I14" s="9">
        <v>31.6</v>
      </c>
      <c r="J14" s="9">
        <v>27.8</v>
      </c>
    </row>
    <row r="15" spans="1:11" ht="15.6" x14ac:dyDescent="0.35">
      <c r="A15" s="6" t="s">
        <v>20</v>
      </c>
      <c r="B15" s="9">
        <v>0.9</v>
      </c>
      <c r="C15" s="9">
        <v>1.2</v>
      </c>
      <c r="D15" s="9">
        <v>0.9</v>
      </c>
      <c r="E15" s="9">
        <v>0.8</v>
      </c>
      <c r="F15" s="9">
        <v>1.9</v>
      </c>
      <c r="G15" s="9">
        <v>2.8</v>
      </c>
      <c r="H15" s="9">
        <v>1.4</v>
      </c>
      <c r="I15" s="9">
        <v>0.9</v>
      </c>
      <c r="J15" s="9">
        <v>0.9</v>
      </c>
    </row>
    <row r="16" spans="1:11" ht="16.8" x14ac:dyDescent="0.35">
      <c r="A16" s="6" t="s">
        <v>9</v>
      </c>
      <c r="B16" s="9">
        <v>21.9</v>
      </c>
      <c r="C16" s="9">
        <v>23.8</v>
      </c>
      <c r="D16" s="9">
        <v>26.1</v>
      </c>
      <c r="E16" s="9">
        <v>12.1</v>
      </c>
      <c r="F16" s="9">
        <v>12.2</v>
      </c>
      <c r="G16" s="9">
        <v>18</v>
      </c>
      <c r="H16" s="9">
        <v>20.3</v>
      </c>
      <c r="I16" s="9">
        <v>24.2</v>
      </c>
      <c r="J16" s="9">
        <v>25.4</v>
      </c>
    </row>
    <row r="18" spans="1:10" x14ac:dyDescent="0.25">
      <c r="A18" t="s">
        <v>4</v>
      </c>
      <c r="B18" s="5">
        <v>1</v>
      </c>
      <c r="C18" s="5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  <c r="I18" s="5">
        <v>8</v>
      </c>
      <c r="J18" s="5">
        <v>9</v>
      </c>
    </row>
    <row r="19" spans="1:10" x14ac:dyDescent="0.25">
      <c r="A19" t="s">
        <v>2</v>
      </c>
      <c r="B19" s="5">
        <f>$B$8+B18</f>
        <v>121</v>
      </c>
      <c r="C19" s="5">
        <f t="shared" ref="C19:J19" si="0">$B$8+C18</f>
        <v>122</v>
      </c>
      <c r="D19" s="5">
        <f t="shared" si="0"/>
        <v>123</v>
      </c>
      <c r="E19" s="5">
        <f t="shared" si="0"/>
        <v>124</v>
      </c>
      <c r="F19" s="5">
        <f t="shared" si="0"/>
        <v>125</v>
      </c>
      <c r="G19" s="5">
        <f t="shared" si="0"/>
        <v>126</v>
      </c>
      <c r="H19" s="5">
        <f t="shared" si="0"/>
        <v>127</v>
      </c>
      <c r="I19" s="5">
        <f t="shared" si="0"/>
        <v>128</v>
      </c>
      <c r="J19" s="5">
        <f t="shared" si="0"/>
        <v>129</v>
      </c>
    </row>
    <row r="20" spans="1:10" ht="15.6" x14ac:dyDescent="0.35">
      <c r="A20" s="6" t="s">
        <v>21</v>
      </c>
      <c r="B20" s="2">
        <f>(B11+B12)/2</f>
        <v>16.75</v>
      </c>
      <c r="C20" s="2">
        <f t="shared" ref="C20:J20" si="1">(C11+C12)/2</f>
        <v>15.5</v>
      </c>
      <c r="D20" s="2">
        <f t="shared" si="1"/>
        <v>17.100000000000001</v>
      </c>
      <c r="E20" s="2">
        <f t="shared" si="1"/>
        <v>17.5</v>
      </c>
      <c r="F20" s="2">
        <f t="shared" si="1"/>
        <v>14.8</v>
      </c>
      <c r="G20" s="2">
        <f t="shared" si="1"/>
        <v>14.35</v>
      </c>
      <c r="H20" s="2">
        <f t="shared" si="1"/>
        <v>14.5</v>
      </c>
      <c r="I20" s="2">
        <f t="shared" si="1"/>
        <v>18.25</v>
      </c>
      <c r="J20" s="2">
        <f t="shared" si="1"/>
        <v>18.45</v>
      </c>
    </row>
    <row r="22" spans="1:10" ht="15.6" x14ac:dyDescent="0.25">
      <c r="A22" s="6" t="s">
        <v>32</v>
      </c>
      <c r="B22" s="7">
        <f>2504*EXP(17.27*B20/(B20+237.3))/(B20+237.3)^2</f>
        <v>0.12114422559349823</v>
      </c>
      <c r="C22" s="7">
        <f t="shared" ref="C22:J22" si="2">2504*EXP(17.27*C20/(C20+237.3))/(C20+237.3)^2</f>
        <v>0.11296558611025391</v>
      </c>
      <c r="D22" s="7">
        <f t="shared" si="2"/>
        <v>0.12352228837058685</v>
      </c>
      <c r="E22" s="7">
        <f t="shared" si="2"/>
        <v>0.12628844509860171</v>
      </c>
      <c r="F22" s="7">
        <f t="shared" si="2"/>
        <v>0.10859396724276579</v>
      </c>
      <c r="G22" s="7">
        <f t="shared" si="2"/>
        <v>0.10586025505334089</v>
      </c>
      <c r="H22" s="7">
        <f t="shared" si="2"/>
        <v>0.10676491601667339</v>
      </c>
      <c r="I22" s="7">
        <f t="shared" si="2"/>
        <v>0.13161670034618442</v>
      </c>
      <c r="J22" s="7">
        <f t="shared" si="2"/>
        <v>0.13306931651763287</v>
      </c>
    </row>
    <row r="23" spans="1:10" x14ac:dyDescent="0.25">
      <c r="A23" s="6" t="s">
        <v>33</v>
      </c>
      <c r="B23" s="7">
        <f>101.3*((293-0.0065*$B$7)/293)^5.26</f>
        <v>100.42832596946941</v>
      </c>
      <c r="C23" s="7">
        <f t="shared" ref="C23:J23" si="3">101.3*((293-0.0065*$B$7)/293)^5.26</f>
        <v>100.42832596946941</v>
      </c>
      <c r="D23" s="7">
        <f t="shared" si="3"/>
        <v>100.42832596946941</v>
      </c>
      <c r="E23" s="7">
        <f t="shared" si="3"/>
        <v>100.42832596946941</v>
      </c>
      <c r="F23" s="7">
        <f t="shared" si="3"/>
        <v>100.42832596946941</v>
      </c>
      <c r="G23" s="7">
        <f t="shared" si="3"/>
        <v>100.42832596946941</v>
      </c>
      <c r="H23" s="7">
        <f t="shared" si="3"/>
        <v>100.42832596946941</v>
      </c>
      <c r="I23" s="7">
        <f t="shared" si="3"/>
        <v>100.42832596946941</v>
      </c>
      <c r="J23" s="7">
        <f t="shared" si="3"/>
        <v>100.42832596946941</v>
      </c>
    </row>
    <row r="24" spans="1:10" ht="15.6" x14ac:dyDescent="0.25">
      <c r="A24" s="6" t="s">
        <v>34</v>
      </c>
      <c r="B24" s="7">
        <f>0.00163*B23/2.45</f>
        <v>6.6815580134789845E-2</v>
      </c>
      <c r="C24" s="7">
        <f t="shared" ref="C24:J24" si="4">0.00163*C23/2.45</f>
        <v>6.6815580134789845E-2</v>
      </c>
      <c r="D24" s="7">
        <f t="shared" si="4"/>
        <v>6.6815580134789845E-2</v>
      </c>
      <c r="E24" s="7">
        <f t="shared" si="4"/>
        <v>6.6815580134789845E-2</v>
      </c>
      <c r="F24" s="7">
        <f t="shared" si="4"/>
        <v>6.6815580134789845E-2</v>
      </c>
      <c r="G24" s="7">
        <f t="shared" si="4"/>
        <v>6.6815580134789845E-2</v>
      </c>
      <c r="H24" s="7">
        <f t="shared" si="4"/>
        <v>6.6815580134789845E-2</v>
      </c>
      <c r="I24" s="7">
        <f t="shared" si="4"/>
        <v>6.6815580134789845E-2</v>
      </c>
      <c r="J24" s="7">
        <f t="shared" si="4"/>
        <v>6.6815580134789845E-2</v>
      </c>
    </row>
    <row r="25" spans="1:10" ht="15.6" x14ac:dyDescent="0.35">
      <c r="A25" s="6" t="s">
        <v>35</v>
      </c>
      <c r="B25" s="7">
        <f>0.611*EXP(17.27*B11/(B11+237.3))</f>
        <v>3.0940941262905595</v>
      </c>
      <c r="C25" s="7">
        <f t="shared" ref="C25:J25" si="5">0.611*EXP(17.27*C11/(C11+237.3))</f>
        <v>3.0390664996731562</v>
      </c>
      <c r="D25" s="7">
        <f t="shared" si="5"/>
        <v>4.0769837339881478</v>
      </c>
      <c r="E25" s="7">
        <f t="shared" si="5"/>
        <v>3.0573134102705319</v>
      </c>
      <c r="F25" s="7">
        <f t="shared" si="5"/>
        <v>2.3535655268712463</v>
      </c>
      <c r="G25" s="7">
        <f t="shared" si="5"/>
        <v>2.4725793995815892</v>
      </c>
      <c r="H25" s="7">
        <f t="shared" si="5"/>
        <v>2.7597649866615508</v>
      </c>
      <c r="I25" s="7">
        <f t="shared" si="5"/>
        <v>3.4428733979974488</v>
      </c>
      <c r="J25" s="7">
        <f t="shared" si="5"/>
        <v>4.1242354646232844</v>
      </c>
    </row>
    <row r="26" spans="1:10" ht="15.6" x14ac:dyDescent="0.35">
      <c r="A26" s="6" t="s">
        <v>36</v>
      </c>
      <c r="B26" s="7">
        <f>0.611*EXP(17.27*B12/(B12+237.3))</f>
        <v>1.1407010860938473</v>
      </c>
      <c r="C26" s="7">
        <f t="shared" ref="C26:J26" si="6">0.611*EXP(17.27*C12/(C12+237.3))</f>
        <v>0.98172789008858663</v>
      </c>
      <c r="D26" s="7">
        <f t="shared" si="6"/>
        <v>0.86652418747176108</v>
      </c>
      <c r="E26" s="7">
        <f t="shared" si="6"/>
        <v>1.2786344448492586</v>
      </c>
      <c r="F26" s="7">
        <f t="shared" si="6"/>
        <v>1.1878093448750482</v>
      </c>
      <c r="G26" s="7">
        <f t="shared" si="6"/>
        <v>1.0585899253295545</v>
      </c>
      <c r="H26" s="7">
        <f t="shared" si="6"/>
        <v>0.95502249025252561</v>
      </c>
      <c r="I26" s="7">
        <f t="shared" si="6"/>
        <v>1.2366203081300822</v>
      </c>
      <c r="J26" s="7">
        <f t="shared" si="6"/>
        <v>1.0300482820505565</v>
      </c>
    </row>
    <row r="27" spans="1:10" ht="15.6" x14ac:dyDescent="0.35">
      <c r="A27" s="6" t="s">
        <v>37</v>
      </c>
      <c r="B27" s="7">
        <f>(B25+B26)/2</f>
        <v>2.1173976061922035</v>
      </c>
      <c r="C27" s="7">
        <f t="shared" ref="C27:J27" si="7">(C25+C26)/2</f>
        <v>2.0103971948808717</v>
      </c>
      <c r="D27" s="7">
        <f t="shared" si="7"/>
        <v>2.4717539607299543</v>
      </c>
      <c r="E27" s="7">
        <f t="shared" si="7"/>
        <v>2.1679739275598955</v>
      </c>
      <c r="F27" s="7">
        <f t="shared" si="7"/>
        <v>1.7706874358731473</v>
      </c>
      <c r="G27" s="7">
        <f t="shared" si="7"/>
        <v>1.7655846624555718</v>
      </c>
      <c r="H27" s="7">
        <f t="shared" si="7"/>
        <v>1.8573937384570383</v>
      </c>
      <c r="I27" s="7">
        <f t="shared" si="7"/>
        <v>2.3397468530637653</v>
      </c>
      <c r="J27" s="7">
        <f t="shared" si="7"/>
        <v>2.5771418733369202</v>
      </c>
    </row>
    <row r="28" spans="1:10" ht="15.6" x14ac:dyDescent="0.35">
      <c r="A28" s="6" t="s">
        <v>38</v>
      </c>
      <c r="B28" s="7">
        <f>(B26*B13/100+B25*B14/100)/2</f>
        <v>0.97199776716990027</v>
      </c>
      <c r="C28" s="7">
        <f t="shared" ref="C28:J28" si="8">(C26*C13/100+C25*C14/100)/2</f>
        <v>0.96002822974485547</v>
      </c>
      <c r="D28" s="7">
        <f t="shared" si="8"/>
        <v>1.0698824432221328</v>
      </c>
      <c r="E28" s="7">
        <f t="shared" si="8"/>
        <v>1.1534425768554071</v>
      </c>
      <c r="F28" s="7">
        <f t="shared" si="8"/>
        <v>1.0813668703105663</v>
      </c>
      <c r="G28" s="7">
        <f t="shared" si="8"/>
        <v>0.87869271815369154</v>
      </c>
      <c r="H28" s="7">
        <f t="shared" si="8"/>
        <v>0.91786266442500664</v>
      </c>
      <c r="I28" s="7">
        <f t="shared" si="8"/>
        <v>1.0992165152340037</v>
      </c>
      <c r="J28" s="7">
        <f t="shared" si="8"/>
        <v>1.0728421463771565</v>
      </c>
    </row>
    <row r="29" spans="1:10" ht="16.8" x14ac:dyDescent="0.35">
      <c r="A29" s="6" t="s">
        <v>39</v>
      </c>
      <c r="B29" s="7">
        <f>B15*4.87/(LN(67.8*$B$4-5.42))</f>
        <v>0.85935209639106624</v>
      </c>
      <c r="C29" s="7">
        <f t="shared" ref="C29:J29" si="9">C15*4.87/(LN(67.8*$B$4-5.42))</f>
        <v>1.1458027951880885</v>
      </c>
      <c r="D29" s="7">
        <f t="shared" si="9"/>
        <v>0.85935209639106624</v>
      </c>
      <c r="E29" s="7">
        <f t="shared" si="9"/>
        <v>0.76386853012539224</v>
      </c>
      <c r="F29" s="7">
        <f t="shared" si="9"/>
        <v>1.8141877590478066</v>
      </c>
      <c r="G29" s="7">
        <f t="shared" si="9"/>
        <v>2.6735398554388725</v>
      </c>
      <c r="H29" s="7">
        <f t="shared" si="9"/>
        <v>1.3367699277194363</v>
      </c>
      <c r="I29" s="7">
        <f t="shared" si="9"/>
        <v>0.85935209639106624</v>
      </c>
      <c r="J29" s="7">
        <f t="shared" si="9"/>
        <v>0.85935209639106624</v>
      </c>
    </row>
    <row r="30" spans="1:10" x14ac:dyDescent="0.25">
      <c r="A30" s="6" t="s">
        <v>40</v>
      </c>
      <c r="B30" s="7">
        <f>0.409*SIN(0.0172*B19-1.39)</f>
        <v>0.26072204753465189</v>
      </c>
      <c r="C30" s="7">
        <f t="shared" ref="C30:J30" si="10">0.409*SIN(0.0172*C19-1.39)</f>
        <v>0.26610339929995996</v>
      </c>
      <c r="D30" s="7">
        <f t="shared" si="10"/>
        <v>0.27140602897640986</v>
      </c>
      <c r="E30" s="7">
        <f t="shared" si="10"/>
        <v>0.27662836787271189</v>
      </c>
      <c r="F30" s="7">
        <f t="shared" si="10"/>
        <v>0.28176887105021547</v>
      </c>
      <c r="G30" s="7">
        <f t="shared" si="10"/>
        <v>0.28682601777995231</v>
      </c>
      <c r="H30" s="7">
        <f t="shared" si="10"/>
        <v>0.2917983119925176</v>
      </c>
      <c r="I30" s="7">
        <f t="shared" si="10"/>
        <v>0.296684282720656</v>
      </c>
      <c r="J30" s="7">
        <f t="shared" si="10"/>
        <v>0.30148248453442261</v>
      </c>
    </row>
    <row r="31" spans="1:10" ht="15.6" x14ac:dyDescent="0.35">
      <c r="A31" s="6" t="s">
        <v>22</v>
      </c>
      <c r="B31" s="7">
        <f>1+0.033*COS(0.0172*B19)</f>
        <v>0.98387852614784932</v>
      </c>
      <c r="C31" s="7">
        <f t="shared" ref="C31:J31" si="11">1+0.033*COS(0.0172*C19)</f>
        <v>0.9833856773080123</v>
      </c>
      <c r="D31" s="7">
        <f t="shared" si="11"/>
        <v>0.98289774352822612</v>
      </c>
      <c r="E31" s="7">
        <f t="shared" si="11"/>
        <v>0.98241486915526144</v>
      </c>
      <c r="F31" s="7">
        <f t="shared" si="11"/>
        <v>0.98193719703915106</v>
      </c>
      <c r="G31" s="7">
        <f t="shared" si="11"/>
        <v>0.98146486849092984</v>
      </c>
      <c r="H31" s="7">
        <f t="shared" si="11"/>
        <v>0.98099802324083074</v>
      </c>
      <c r="I31" s="7">
        <f t="shared" si="11"/>
        <v>0.9805367993969476</v>
      </c>
      <c r="J31" s="7">
        <f t="shared" si="11"/>
        <v>0.98008133340437853</v>
      </c>
    </row>
    <row r="32" spans="1:10" x14ac:dyDescent="0.25">
      <c r="A32" s="6" t="s">
        <v>41</v>
      </c>
      <c r="B32" s="7">
        <f>1-(TAN($B$6)^2*TAN(B30)^2)</f>
        <v>0.95639497399590823</v>
      </c>
      <c r="C32" s="7">
        <f t="shared" ref="C32:J32" si="12">1-(TAN($B$6)^2*TAN(C30)^2)</f>
        <v>0.95448756342283725</v>
      </c>
      <c r="D32" s="7">
        <f t="shared" si="12"/>
        <v>0.95256246248808851</v>
      </c>
      <c r="E32" s="7">
        <f t="shared" si="12"/>
        <v>0.95062180493948956</v>
      </c>
      <c r="F32" s="7">
        <f t="shared" si="12"/>
        <v>0.94866776822249699</v>
      </c>
      <c r="G32" s="7">
        <f t="shared" si="12"/>
        <v>0.94670257167408389</v>
      </c>
      <c r="H32" s="7">
        <f t="shared" si="12"/>
        <v>0.94472847455373721</v>
      </c>
      <c r="I32" s="7">
        <f t="shared" si="12"/>
        <v>0.94274777390857756</v>
      </c>
      <c r="J32" s="7">
        <f t="shared" si="12"/>
        <v>0.94076280227025211</v>
      </c>
    </row>
    <row r="33" spans="1:10" ht="15.6" x14ac:dyDescent="0.35">
      <c r="A33" s="6" t="s">
        <v>42</v>
      </c>
      <c r="B33" s="7">
        <f>PI()/2-ATAN((-TAN($B$6)*TAN(B30))/B32^0.5)</f>
        <v>1.7811626537403622</v>
      </c>
      <c r="C33" s="7">
        <f t="shared" ref="C33:J33" si="13">PI()/2-ATAN((-TAN($B$6)*TAN(C30))/C32^0.5)</f>
        <v>1.7857850794243564</v>
      </c>
      <c r="D33" s="7">
        <f t="shared" si="13"/>
        <v>1.7903577552563934</v>
      </c>
      <c r="E33" s="7">
        <f t="shared" si="13"/>
        <v>1.7948789857762883</v>
      </c>
      <c r="F33" s="7">
        <f t="shared" si="13"/>
        <v>1.7993470528518258</v>
      </c>
      <c r="G33" s="7">
        <f t="shared" si="13"/>
        <v>1.8037602167076252</v>
      </c>
      <c r="H33" s="7">
        <f t="shared" si="13"/>
        <v>1.8081167170710681</v>
      </c>
      <c r="I33" s="7">
        <f t="shared" si="13"/>
        <v>1.8124147744370054</v>
      </c>
      <c r="J33" s="7">
        <f t="shared" si="13"/>
        <v>1.8166525914526177</v>
      </c>
    </row>
    <row r="34" spans="1:10" ht="16.8" x14ac:dyDescent="0.35">
      <c r="A34" s="6" t="s">
        <v>43</v>
      </c>
      <c r="B34" s="7">
        <f>37.6*B31*(B33*SIN($B$6)*SIN(B30)+COS($B$6)*COS(B30)*SIN(B33))</f>
        <v>37.995618466033108</v>
      </c>
      <c r="C34" s="7">
        <f t="shared" ref="C34:J34" si="14">37.6*C31*(C33*SIN($B$6)*SIN(C30)+COS($B$6)*COS(C30)*SIN(C33))</f>
        <v>38.147885704145182</v>
      </c>
      <c r="D34" s="7">
        <f t="shared" si="14"/>
        <v>38.297163644813004</v>
      </c>
      <c r="E34" s="7">
        <f t="shared" si="14"/>
        <v>38.443436112103164</v>
      </c>
      <c r="F34" s="7">
        <f t="shared" si="14"/>
        <v>38.586688161378099</v>
      </c>
      <c r="G34" s="7">
        <f t="shared" si="14"/>
        <v>38.72690603446032</v>
      </c>
      <c r="H34" s="7">
        <f t="shared" si="14"/>
        <v>38.864077114362885</v>
      </c>
      <c r="I34" s="7">
        <f t="shared" si="14"/>
        <v>38.998189879718822</v>
      </c>
      <c r="J34" s="7">
        <f t="shared" si="14"/>
        <v>39.129233859039999</v>
      </c>
    </row>
    <row r="35" spans="1:10" ht="16.8" x14ac:dyDescent="0.35">
      <c r="A35" s="6" t="s">
        <v>44</v>
      </c>
      <c r="B35" s="7">
        <f>(0.75+0.00002*$B$7)*B34</f>
        <v>28.55294736485456</v>
      </c>
      <c r="C35" s="7">
        <f t="shared" ref="C35:J35" si="15">(0.75+0.00002*$B$7)*C34</f>
        <v>28.667373148951022</v>
      </c>
      <c r="D35" s="7">
        <f t="shared" si="15"/>
        <v>28.779552535804079</v>
      </c>
      <c r="E35" s="7">
        <f t="shared" si="15"/>
        <v>28.889473369523287</v>
      </c>
      <c r="F35" s="7">
        <f t="shared" si="15"/>
        <v>28.997124419512414</v>
      </c>
      <c r="G35" s="7">
        <f t="shared" si="15"/>
        <v>29.102495346776244</v>
      </c>
      <c r="H35" s="7">
        <f t="shared" si="15"/>
        <v>29.205576669901422</v>
      </c>
      <c r="I35" s="7">
        <f t="shared" si="15"/>
        <v>29.306359730811103</v>
      </c>
      <c r="J35" s="7">
        <f t="shared" si="15"/>
        <v>29.404836660391378</v>
      </c>
    </row>
    <row r="36" spans="1:10" x14ac:dyDescent="0.25">
      <c r="A36" s="6" t="s">
        <v>26</v>
      </c>
      <c r="B36" s="7">
        <f>0.0000000049/2*((B11+273)^4+(B12+273)^4)</f>
        <v>34.689537464549765</v>
      </c>
      <c r="C36" s="7">
        <f t="shared" ref="C36:J36" si="16">0.0000000049/2*((C11+273)^4+(C12+273)^4)</f>
        <v>34.134803701314894</v>
      </c>
      <c r="D36" s="7">
        <f t="shared" si="16"/>
        <v>35.072971421804887</v>
      </c>
      <c r="E36" s="7">
        <f t="shared" si="16"/>
        <v>35.014535054889031</v>
      </c>
      <c r="F36" s="7">
        <f t="shared" si="16"/>
        <v>33.685429737687777</v>
      </c>
      <c r="G36" s="7">
        <f t="shared" si="16"/>
        <v>33.511419571222568</v>
      </c>
      <c r="H36" s="7">
        <f t="shared" si="16"/>
        <v>33.640494411622491</v>
      </c>
      <c r="I36" s="7">
        <f t="shared" si="16"/>
        <v>35.423846710844167</v>
      </c>
      <c r="J36" s="7">
        <f t="shared" si="16"/>
        <v>35.660123195681841</v>
      </c>
    </row>
    <row r="37" spans="1:10" x14ac:dyDescent="0.25">
      <c r="A37" s="6" t="s">
        <v>25</v>
      </c>
      <c r="B37" s="7">
        <f>0.34-0.14*B28^0.5</f>
        <v>0.20197407404212048</v>
      </c>
      <c r="C37" s="7">
        <f t="shared" ref="C37:J37" si="17">0.34-0.14*C28^0.5</f>
        <v>0.20282655758857998</v>
      </c>
      <c r="D37" s="7">
        <f t="shared" si="17"/>
        <v>0.19519082940934371</v>
      </c>
      <c r="E37" s="7">
        <f t="shared" si="17"/>
        <v>0.18964217843302605</v>
      </c>
      <c r="F37" s="7">
        <f t="shared" si="17"/>
        <v>0.19441569226703348</v>
      </c>
      <c r="G37" s="7">
        <f t="shared" si="17"/>
        <v>0.208765944679697</v>
      </c>
      <c r="H37" s="7">
        <f t="shared" si="17"/>
        <v>0.20587279089338312</v>
      </c>
      <c r="I37" s="7">
        <f t="shared" si="17"/>
        <v>0.1932190622097458</v>
      </c>
      <c r="J37" s="7">
        <f t="shared" si="17"/>
        <v>0.19499066902784404</v>
      </c>
    </row>
    <row r="38" spans="1:10" x14ac:dyDescent="0.25">
      <c r="A38" s="6" t="s">
        <v>24</v>
      </c>
      <c r="B38" s="7">
        <f>1.35*B16/B35-0.35</f>
        <v>0.68544476940377652</v>
      </c>
      <c r="C38" s="7">
        <f t="shared" ref="C38:J38" si="18">1.35*C16/C35-0.35</f>
        <v>0.77078633201087998</v>
      </c>
      <c r="D38" s="7">
        <f t="shared" si="18"/>
        <v>0.87430673500447342</v>
      </c>
      <c r="E38" s="7">
        <f t="shared" si="18"/>
        <v>0.21543086788257193</v>
      </c>
      <c r="F38" s="7">
        <f t="shared" si="18"/>
        <v>0.21798735494327826</v>
      </c>
      <c r="G38" s="7">
        <f t="shared" si="18"/>
        <v>0.48497994623652685</v>
      </c>
      <c r="H38" s="7">
        <f t="shared" si="18"/>
        <v>0.58834818979085413</v>
      </c>
      <c r="I38" s="7">
        <f t="shared" si="18"/>
        <v>0.76477509660309517</v>
      </c>
      <c r="J38" s="7">
        <f t="shared" si="18"/>
        <v>0.81613468716148285</v>
      </c>
    </row>
    <row r="39" spans="1:10" ht="16.8" x14ac:dyDescent="0.35">
      <c r="A39" s="6" t="s">
        <v>45</v>
      </c>
      <c r="B39" s="7">
        <f>B36*B37*B38</f>
        <v>4.8024914643823289</v>
      </c>
      <c r="C39" s="7">
        <f t="shared" ref="C39:J39" si="19">C36*C37*C38</f>
        <v>5.3364965673144411</v>
      </c>
      <c r="D39" s="7">
        <f t="shared" si="19"/>
        <v>5.9854360456139615</v>
      </c>
      <c r="E39" s="7">
        <f t="shared" si="19"/>
        <v>1.4305110945004011</v>
      </c>
      <c r="F39" s="7">
        <f t="shared" si="19"/>
        <v>1.4275939867300065</v>
      </c>
      <c r="G39" s="7">
        <f t="shared" si="19"/>
        <v>3.3929406377119578</v>
      </c>
      <c r="H39" s="7">
        <f t="shared" si="19"/>
        <v>4.0747009782412373</v>
      </c>
      <c r="I39" s="7">
        <f t="shared" si="19"/>
        <v>5.2345509022749077</v>
      </c>
      <c r="J39" s="7">
        <f t="shared" si="19"/>
        <v>5.6749038166398558</v>
      </c>
    </row>
    <row r="40" spans="1:10" ht="15.6" x14ac:dyDescent="0.25">
      <c r="A40" s="6" t="s">
        <v>46</v>
      </c>
      <c r="B40" s="7">
        <f>0</f>
        <v>0</v>
      </c>
      <c r="C40" s="7">
        <f>0</f>
        <v>0</v>
      </c>
      <c r="D40" s="7">
        <f>0</f>
        <v>0</v>
      </c>
      <c r="E40" s="7">
        <f>0</f>
        <v>0</v>
      </c>
      <c r="F40" s="7">
        <f>0</f>
        <v>0</v>
      </c>
      <c r="G40" s="7">
        <f>0</f>
        <v>0</v>
      </c>
      <c r="H40" s="7">
        <f>0</f>
        <v>0</v>
      </c>
      <c r="I40" s="7">
        <f>0</f>
        <v>0</v>
      </c>
      <c r="J40" s="7">
        <f>0</f>
        <v>0</v>
      </c>
    </row>
    <row r="41" spans="1:10" ht="16.8" x14ac:dyDescent="0.35">
      <c r="A41" s="6" t="s">
        <v>47</v>
      </c>
      <c r="B41" s="7">
        <f>B16-0.23*B16-B39</f>
        <v>12.060508535617672</v>
      </c>
      <c r="C41" s="7">
        <f t="shared" ref="C41:J41" si="20">C16-0.23*C16-C39</f>
        <v>12.989503432685559</v>
      </c>
      <c r="D41" s="7">
        <f t="shared" si="20"/>
        <v>14.111563954386039</v>
      </c>
      <c r="E41" s="7">
        <f t="shared" si="20"/>
        <v>7.8864889054995988</v>
      </c>
      <c r="F41" s="7">
        <f t="shared" si="20"/>
        <v>7.9664060132699923</v>
      </c>
      <c r="G41" s="7">
        <f t="shared" si="20"/>
        <v>10.467059362288042</v>
      </c>
      <c r="H41" s="7">
        <f t="shared" si="20"/>
        <v>11.556299021758763</v>
      </c>
      <c r="I41" s="7">
        <f t="shared" si="20"/>
        <v>13.399449097725093</v>
      </c>
      <c r="J41" s="7">
        <f t="shared" si="20"/>
        <v>13.883096183360145</v>
      </c>
    </row>
    <row r="42" spans="1:10" ht="15.6" x14ac:dyDescent="0.35">
      <c r="A42" s="6" t="s">
        <v>27</v>
      </c>
      <c r="B42" s="7">
        <f>0.408*B22*(B41-B40)+B24*(900/(B20+273))*B29*(B27-B28)</f>
        <v>0.80039250649042903</v>
      </c>
      <c r="C42" s="7">
        <f t="shared" ref="C42:J42" si="21">0.408*C22*(C41-C40)+C24*(900/(C20+273))*C29*(C27-C28)</f>
        <v>0.84954266504107645</v>
      </c>
      <c r="D42" s="7">
        <f t="shared" si="21"/>
        <v>0.96090097693347265</v>
      </c>
      <c r="E42" s="7">
        <f t="shared" si="21"/>
        <v>0.56677663502774034</v>
      </c>
      <c r="F42" s="7">
        <f t="shared" si="21"/>
        <v>0.61425838474877281</v>
      </c>
      <c r="G42" s="7">
        <f t="shared" si="21"/>
        <v>0.94829363628599084</v>
      </c>
      <c r="H42" s="7">
        <f t="shared" si="21"/>
        <v>0.76608741609916575</v>
      </c>
      <c r="I42" s="7">
        <f t="shared" si="21"/>
        <v>0.93965173148193371</v>
      </c>
      <c r="J42" s="7">
        <f t="shared" si="21"/>
        <v>1.0204687247789983</v>
      </c>
    </row>
    <row r="43" spans="1:10" ht="15.6" x14ac:dyDescent="0.35">
      <c r="A43" s="6" t="s">
        <v>28</v>
      </c>
      <c r="B43" s="7">
        <f>B22+B24*(1+0.34*B29)</f>
        <v>0.20748196274082983</v>
      </c>
      <c r="C43" s="7">
        <f t="shared" ref="C43:J43" si="22">C22+C24*(1+0.34*C29)</f>
        <v>0.20581070892843278</v>
      </c>
      <c r="D43" s="7">
        <f t="shared" si="22"/>
        <v>0.20986002551791844</v>
      </c>
      <c r="E43" s="7">
        <f t="shared" si="22"/>
        <v>0.21045705368898421</v>
      </c>
      <c r="F43" s="7">
        <f t="shared" si="22"/>
        <v>0.21662298995958823</v>
      </c>
      <c r="G43" s="7">
        <f t="shared" si="22"/>
        <v>0.2334114347827051</v>
      </c>
      <c r="H43" s="7">
        <f t="shared" si="22"/>
        <v>0.20394829594875041</v>
      </c>
      <c r="I43" s="7">
        <f t="shared" si="22"/>
        <v>0.21795443749351601</v>
      </c>
      <c r="J43" s="7">
        <f t="shared" si="22"/>
        <v>0.21940705366496449</v>
      </c>
    </row>
    <row r="44" spans="1:10" ht="15.6" x14ac:dyDescent="0.35">
      <c r="A44" s="6" t="s">
        <v>29</v>
      </c>
      <c r="B44" s="8">
        <f>B42/B43</f>
        <v>3.8576486163773978</v>
      </c>
      <c r="C44" s="8">
        <f t="shared" ref="C44:J44" si="23">C42/C43</f>
        <v>4.1277864959713568</v>
      </c>
      <c r="D44" s="8">
        <f t="shared" si="23"/>
        <v>4.5787708953243609</v>
      </c>
      <c r="E44" s="8">
        <f t="shared" si="23"/>
        <v>2.6930750245383992</v>
      </c>
      <c r="F44" s="8">
        <f t="shared" si="23"/>
        <v>2.8356103147840628</v>
      </c>
      <c r="G44" s="8">
        <f t="shared" si="23"/>
        <v>4.0627556964756542</v>
      </c>
      <c r="H44" s="8">
        <f t="shared" si="23"/>
        <v>3.7562825055016575</v>
      </c>
      <c r="I44" s="8">
        <f t="shared" si="23"/>
        <v>4.311230100602506</v>
      </c>
      <c r="J44" s="8">
        <f t="shared" si="23"/>
        <v>4.6510297081754644</v>
      </c>
    </row>
  </sheetData>
  <phoneticPr fontId="1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workbookViewId="0">
      <selection activeCell="M37" sqref="M37"/>
    </sheetView>
  </sheetViews>
  <sheetFormatPr defaultRowHeight="13.2" x14ac:dyDescent="0.25"/>
  <cols>
    <col min="1" max="1" width="48.21875" customWidth="1"/>
    <col min="2" max="11" width="10.109375" style="2" bestFit="1" customWidth="1"/>
  </cols>
  <sheetData>
    <row r="1" spans="1:11" ht="15.6" x14ac:dyDescent="0.3">
      <c r="A1" s="10" t="s">
        <v>7</v>
      </c>
    </row>
    <row r="2" spans="1:11" ht="15.6" x14ac:dyDescent="0.35">
      <c r="A2" s="11" t="s">
        <v>10</v>
      </c>
    </row>
    <row r="4" spans="1:11" ht="15.6" x14ac:dyDescent="0.35">
      <c r="A4" s="6" t="s">
        <v>18</v>
      </c>
      <c r="B4" s="9">
        <v>2.5</v>
      </c>
      <c r="C4" s="2" t="s">
        <v>1</v>
      </c>
      <c r="F4" s="2" t="s">
        <v>0</v>
      </c>
    </row>
    <row r="5" spans="1:11" x14ac:dyDescent="0.25">
      <c r="A5" s="6" t="s">
        <v>11</v>
      </c>
      <c r="B5" s="9">
        <v>38.049999999999997</v>
      </c>
      <c r="C5" s="2" t="s">
        <v>5</v>
      </c>
    </row>
    <row r="6" spans="1:11" x14ac:dyDescent="0.25">
      <c r="A6" s="6" t="s">
        <v>12</v>
      </c>
      <c r="B6" s="9">
        <f>B5*PI()/180</f>
        <v>0.66409778038384226</v>
      </c>
      <c r="C6" s="2" t="s">
        <v>6</v>
      </c>
    </row>
    <row r="7" spans="1:11" x14ac:dyDescent="0.25">
      <c r="A7" s="6" t="s">
        <v>19</v>
      </c>
      <c r="B7" s="9">
        <v>74</v>
      </c>
      <c r="C7" s="2" t="s">
        <v>1</v>
      </c>
    </row>
    <row r="8" spans="1:11" x14ac:dyDescent="0.25">
      <c r="A8" t="s">
        <v>3</v>
      </c>
      <c r="B8" s="9">
        <f>31+28+31+30</f>
        <v>120</v>
      </c>
    </row>
    <row r="10" spans="1:11" x14ac:dyDescent="0.25">
      <c r="A10" s="3" t="s">
        <v>13</v>
      </c>
      <c r="B10" s="4">
        <v>37742</v>
      </c>
      <c r="C10" s="4">
        <v>37743</v>
      </c>
      <c r="D10" s="4">
        <v>37744</v>
      </c>
      <c r="E10" s="4">
        <v>37745</v>
      </c>
      <c r="F10" s="4">
        <v>37746</v>
      </c>
      <c r="G10" s="4">
        <v>37746</v>
      </c>
      <c r="H10" s="4">
        <v>37748</v>
      </c>
      <c r="I10" s="4">
        <v>37749</v>
      </c>
      <c r="J10" s="4">
        <v>37750</v>
      </c>
      <c r="K10" s="1" t="s">
        <v>0</v>
      </c>
    </row>
    <row r="11" spans="1:11" ht="15.6" x14ac:dyDescent="0.35">
      <c r="A11" s="6" t="s">
        <v>14</v>
      </c>
      <c r="B11" s="9">
        <v>24.6</v>
      </c>
      <c r="C11" s="9">
        <v>24.3</v>
      </c>
      <c r="D11" s="9">
        <v>29.3</v>
      </c>
      <c r="E11" s="9">
        <v>24.4</v>
      </c>
      <c r="F11" s="9">
        <v>20.100000000000001</v>
      </c>
      <c r="G11" s="9">
        <v>20.9</v>
      </c>
      <c r="H11" s="9">
        <v>22.7</v>
      </c>
      <c r="I11" s="9">
        <v>26.4</v>
      </c>
      <c r="J11" s="9">
        <v>29.5</v>
      </c>
    </row>
    <row r="12" spans="1:11" ht="15.6" x14ac:dyDescent="0.35">
      <c r="A12" s="6" t="s">
        <v>15</v>
      </c>
      <c r="B12" s="9">
        <v>8.9</v>
      </c>
      <c r="C12" s="9">
        <v>6.7</v>
      </c>
      <c r="D12" s="9">
        <v>4.9000000000000004</v>
      </c>
      <c r="E12" s="9">
        <v>10.6</v>
      </c>
      <c r="F12" s="9">
        <v>9.5</v>
      </c>
      <c r="G12" s="9">
        <v>7.8</v>
      </c>
      <c r="H12" s="9">
        <v>6.3</v>
      </c>
      <c r="I12" s="9">
        <v>10.1</v>
      </c>
      <c r="J12" s="9">
        <v>7.4</v>
      </c>
    </row>
    <row r="13" spans="1:11" ht="15.6" x14ac:dyDescent="0.35">
      <c r="A13" s="6" t="s">
        <v>16</v>
      </c>
      <c r="B13" s="9">
        <v>96.1</v>
      </c>
      <c r="C13" s="9">
        <v>95.9</v>
      </c>
      <c r="D13" s="9">
        <v>99.2</v>
      </c>
      <c r="E13" s="9">
        <v>94.1</v>
      </c>
      <c r="F13" s="9">
        <v>94.3</v>
      </c>
      <c r="G13" s="9">
        <v>89.4</v>
      </c>
      <c r="H13" s="9">
        <v>93.1</v>
      </c>
      <c r="I13" s="9">
        <v>89.8</v>
      </c>
      <c r="J13" s="9">
        <v>97</v>
      </c>
    </row>
    <row r="14" spans="1:11" ht="15.6" x14ac:dyDescent="0.35">
      <c r="A14" s="6" t="s">
        <v>17</v>
      </c>
      <c r="B14" s="9">
        <v>27.4</v>
      </c>
      <c r="C14" s="9">
        <v>32.200000000000003</v>
      </c>
      <c r="D14" s="9">
        <v>31.4</v>
      </c>
      <c r="E14" s="9">
        <v>36.1</v>
      </c>
      <c r="F14" s="9">
        <v>44.3</v>
      </c>
      <c r="G14" s="9">
        <v>32.799999999999997</v>
      </c>
      <c r="H14" s="9">
        <v>34.299999999999997</v>
      </c>
      <c r="I14" s="9">
        <v>31.6</v>
      </c>
      <c r="J14" s="9">
        <v>27.8</v>
      </c>
    </row>
    <row r="15" spans="1:11" ht="15.6" x14ac:dyDescent="0.35">
      <c r="A15" s="6" t="s">
        <v>20</v>
      </c>
      <c r="B15" s="9">
        <v>0.9</v>
      </c>
      <c r="C15" s="9">
        <v>1.2</v>
      </c>
      <c r="D15" s="9">
        <v>0.9</v>
      </c>
      <c r="E15" s="9">
        <v>0.8</v>
      </c>
      <c r="F15" s="9">
        <v>1.9</v>
      </c>
      <c r="G15" s="9">
        <v>2.8</v>
      </c>
      <c r="H15" s="9">
        <v>1.4</v>
      </c>
      <c r="I15" s="9">
        <v>0.9</v>
      </c>
      <c r="J15" s="9">
        <v>0.9</v>
      </c>
    </row>
    <row r="16" spans="1:11" x14ac:dyDescent="0.25">
      <c r="A16" s="6" t="s">
        <v>30</v>
      </c>
      <c r="B16" s="9">
        <v>8.8800000000000008</v>
      </c>
      <c r="C16" s="9">
        <v>10.199999999999999</v>
      </c>
      <c r="D16" s="9">
        <v>11.8</v>
      </c>
      <c r="E16" s="9">
        <v>1.78</v>
      </c>
      <c r="F16" s="9">
        <v>1.82</v>
      </c>
      <c r="G16" s="9">
        <v>5.92</v>
      </c>
      <c r="H16" s="9">
        <v>7.52</v>
      </c>
      <c r="I16" s="9">
        <v>10.26</v>
      </c>
      <c r="J16" s="9">
        <v>11.08</v>
      </c>
    </row>
    <row r="18" spans="1:10" x14ac:dyDescent="0.25">
      <c r="A18" t="s">
        <v>4</v>
      </c>
      <c r="B18" s="5">
        <v>1</v>
      </c>
      <c r="C18" s="5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  <c r="I18" s="5">
        <v>8</v>
      </c>
      <c r="J18" s="5">
        <v>9</v>
      </c>
    </row>
    <row r="19" spans="1:10" x14ac:dyDescent="0.25">
      <c r="A19" t="s">
        <v>2</v>
      </c>
      <c r="B19" s="5">
        <f>$B$8+B18</f>
        <v>121</v>
      </c>
      <c r="C19" s="5">
        <f t="shared" ref="C19:J19" si="0">$B$8+C18</f>
        <v>122</v>
      </c>
      <c r="D19" s="5">
        <f t="shared" si="0"/>
        <v>123</v>
      </c>
      <c r="E19" s="5">
        <f t="shared" si="0"/>
        <v>124</v>
      </c>
      <c r="F19" s="5">
        <f t="shared" si="0"/>
        <v>125</v>
      </c>
      <c r="G19" s="5">
        <f t="shared" si="0"/>
        <v>126</v>
      </c>
      <c r="H19" s="5">
        <f t="shared" si="0"/>
        <v>127</v>
      </c>
      <c r="I19" s="5">
        <f t="shared" si="0"/>
        <v>128</v>
      </c>
      <c r="J19" s="5">
        <f t="shared" si="0"/>
        <v>129</v>
      </c>
    </row>
    <row r="20" spans="1:10" ht="15.6" x14ac:dyDescent="0.35">
      <c r="A20" s="6" t="s">
        <v>21</v>
      </c>
      <c r="B20" s="2">
        <f>(B11+B12)/2</f>
        <v>16.75</v>
      </c>
      <c r="C20" s="2">
        <f t="shared" ref="C20:J20" si="1">(C11+C12)/2</f>
        <v>15.5</v>
      </c>
      <c r="D20" s="2">
        <f t="shared" si="1"/>
        <v>17.100000000000001</v>
      </c>
      <c r="E20" s="2">
        <f t="shared" si="1"/>
        <v>17.5</v>
      </c>
      <c r="F20" s="2">
        <f t="shared" si="1"/>
        <v>14.8</v>
      </c>
      <c r="G20" s="2">
        <f t="shared" si="1"/>
        <v>14.35</v>
      </c>
      <c r="H20" s="2">
        <f t="shared" si="1"/>
        <v>14.5</v>
      </c>
      <c r="I20" s="2">
        <f t="shared" si="1"/>
        <v>18.25</v>
      </c>
      <c r="J20" s="2">
        <f t="shared" si="1"/>
        <v>18.45</v>
      </c>
    </row>
    <row r="22" spans="1:10" ht="15.6" x14ac:dyDescent="0.25">
      <c r="A22" s="6" t="s">
        <v>32</v>
      </c>
      <c r="B22" s="7">
        <f>2504*EXP(17.27*B20/(B20+237.3))/(B20+237.3)^2</f>
        <v>0.12114422559349823</v>
      </c>
      <c r="C22" s="7">
        <f t="shared" ref="C22:J22" si="2">2504*EXP(17.27*C20/(C20+237.3))/(C20+237.3)^2</f>
        <v>0.11296558611025391</v>
      </c>
      <c r="D22" s="7">
        <f t="shared" si="2"/>
        <v>0.12352228837058685</v>
      </c>
      <c r="E22" s="7">
        <f t="shared" si="2"/>
        <v>0.12628844509860171</v>
      </c>
      <c r="F22" s="7">
        <f t="shared" si="2"/>
        <v>0.10859396724276579</v>
      </c>
      <c r="G22" s="7">
        <f t="shared" si="2"/>
        <v>0.10586025505334089</v>
      </c>
      <c r="H22" s="7">
        <f t="shared" si="2"/>
        <v>0.10676491601667339</v>
      </c>
      <c r="I22" s="7">
        <f t="shared" si="2"/>
        <v>0.13161670034618442</v>
      </c>
      <c r="J22" s="7">
        <f t="shared" si="2"/>
        <v>0.13306931651763287</v>
      </c>
    </row>
    <row r="23" spans="1:10" x14ac:dyDescent="0.25">
      <c r="A23" s="6" t="s">
        <v>33</v>
      </c>
      <c r="B23" s="7">
        <f>101.3*((293-0.0065*$B$7)/293)^5.26</f>
        <v>100.42832596946941</v>
      </c>
      <c r="C23" s="7">
        <f t="shared" ref="C23:J23" si="3">101.3*((293-0.0065*$B$7)/293)^5.26</f>
        <v>100.42832596946941</v>
      </c>
      <c r="D23" s="7">
        <f t="shared" si="3"/>
        <v>100.42832596946941</v>
      </c>
      <c r="E23" s="7">
        <f t="shared" si="3"/>
        <v>100.42832596946941</v>
      </c>
      <c r="F23" s="7">
        <f t="shared" si="3"/>
        <v>100.42832596946941</v>
      </c>
      <c r="G23" s="7">
        <f t="shared" si="3"/>
        <v>100.42832596946941</v>
      </c>
      <c r="H23" s="7">
        <f t="shared" si="3"/>
        <v>100.42832596946941</v>
      </c>
      <c r="I23" s="7">
        <f t="shared" si="3"/>
        <v>100.42832596946941</v>
      </c>
      <c r="J23" s="7">
        <f t="shared" si="3"/>
        <v>100.42832596946941</v>
      </c>
    </row>
    <row r="24" spans="1:10" ht="15.6" x14ac:dyDescent="0.25">
      <c r="A24" s="6" t="s">
        <v>34</v>
      </c>
      <c r="B24" s="7">
        <f>0.00163*B23/2.45</f>
        <v>6.6815580134789845E-2</v>
      </c>
      <c r="C24" s="7">
        <f t="shared" ref="C24:J24" si="4">0.00163*C23/2.45</f>
        <v>6.6815580134789845E-2</v>
      </c>
      <c r="D24" s="7">
        <f t="shared" si="4"/>
        <v>6.6815580134789845E-2</v>
      </c>
      <c r="E24" s="7">
        <f t="shared" si="4"/>
        <v>6.6815580134789845E-2</v>
      </c>
      <c r="F24" s="7">
        <f t="shared" si="4"/>
        <v>6.6815580134789845E-2</v>
      </c>
      <c r="G24" s="7">
        <f t="shared" si="4"/>
        <v>6.6815580134789845E-2</v>
      </c>
      <c r="H24" s="7">
        <f t="shared" si="4"/>
        <v>6.6815580134789845E-2</v>
      </c>
      <c r="I24" s="7">
        <f t="shared" si="4"/>
        <v>6.6815580134789845E-2</v>
      </c>
      <c r="J24" s="7">
        <f t="shared" si="4"/>
        <v>6.6815580134789845E-2</v>
      </c>
    </row>
    <row r="25" spans="1:10" ht="15.6" x14ac:dyDescent="0.35">
      <c r="A25" s="6" t="s">
        <v>35</v>
      </c>
      <c r="B25" s="7">
        <f>0.611*EXP(17.27*B11/(B11+237.3))</f>
        <v>3.0940941262905595</v>
      </c>
      <c r="C25" s="7">
        <f t="shared" ref="C25:J26" si="5">0.611*EXP(17.27*C11/(C11+237.3))</f>
        <v>3.0390664996731562</v>
      </c>
      <c r="D25" s="7">
        <f t="shared" si="5"/>
        <v>4.0769837339881478</v>
      </c>
      <c r="E25" s="7">
        <f t="shared" si="5"/>
        <v>3.0573134102705319</v>
      </c>
      <c r="F25" s="7">
        <f t="shared" si="5"/>
        <v>2.3535655268712463</v>
      </c>
      <c r="G25" s="7">
        <f t="shared" si="5"/>
        <v>2.4725793995815892</v>
      </c>
      <c r="H25" s="7">
        <f t="shared" si="5"/>
        <v>2.7597649866615508</v>
      </c>
      <c r="I25" s="7">
        <f t="shared" si="5"/>
        <v>3.4428733979974488</v>
      </c>
      <c r="J25" s="7">
        <f t="shared" si="5"/>
        <v>4.1242354646232844</v>
      </c>
    </row>
    <row r="26" spans="1:10" ht="15.6" x14ac:dyDescent="0.35">
      <c r="A26" s="6" t="s">
        <v>36</v>
      </c>
      <c r="B26" s="7">
        <f>0.611*EXP(17.27*B12/(B12+237.3))</f>
        <v>1.1407010860938473</v>
      </c>
      <c r="C26" s="7">
        <f t="shared" si="5"/>
        <v>0.98172789008858663</v>
      </c>
      <c r="D26" s="7">
        <f t="shared" si="5"/>
        <v>0.86652418747176108</v>
      </c>
      <c r="E26" s="7">
        <f t="shared" si="5"/>
        <v>1.2786344448492586</v>
      </c>
      <c r="F26" s="7">
        <f t="shared" si="5"/>
        <v>1.1878093448750482</v>
      </c>
      <c r="G26" s="7">
        <f t="shared" si="5"/>
        <v>1.0585899253295545</v>
      </c>
      <c r="H26" s="7">
        <f t="shared" si="5"/>
        <v>0.95502249025252561</v>
      </c>
      <c r="I26" s="7">
        <f t="shared" si="5"/>
        <v>1.2366203081300822</v>
      </c>
      <c r="J26" s="7">
        <f t="shared" si="5"/>
        <v>1.0300482820505565</v>
      </c>
    </row>
    <row r="27" spans="1:10" ht="15.6" x14ac:dyDescent="0.35">
      <c r="A27" s="6" t="s">
        <v>37</v>
      </c>
      <c r="B27" s="7">
        <f>(B25+B26)/2</f>
        <v>2.1173976061922035</v>
      </c>
      <c r="C27" s="7">
        <f t="shared" ref="C27:J27" si="6">(C25+C26)/2</f>
        <v>2.0103971948808717</v>
      </c>
      <c r="D27" s="7">
        <f t="shared" si="6"/>
        <v>2.4717539607299543</v>
      </c>
      <c r="E27" s="7">
        <f t="shared" si="6"/>
        <v>2.1679739275598955</v>
      </c>
      <c r="F27" s="7">
        <f t="shared" si="6"/>
        <v>1.7706874358731473</v>
      </c>
      <c r="G27" s="7">
        <f t="shared" si="6"/>
        <v>1.7655846624555718</v>
      </c>
      <c r="H27" s="7">
        <f t="shared" si="6"/>
        <v>1.8573937384570383</v>
      </c>
      <c r="I27" s="7">
        <f t="shared" si="6"/>
        <v>2.3397468530637653</v>
      </c>
      <c r="J27" s="7">
        <f t="shared" si="6"/>
        <v>2.5771418733369202</v>
      </c>
    </row>
    <row r="28" spans="1:10" ht="15.6" x14ac:dyDescent="0.35">
      <c r="A28" s="6" t="s">
        <v>38</v>
      </c>
      <c r="B28" s="7">
        <f>(B26*B13/100+B25*B14/100)/2</f>
        <v>0.97199776716990027</v>
      </c>
      <c r="C28" s="7">
        <f t="shared" ref="C28:J28" si="7">(C26*C13/100+C25*C14/100)/2</f>
        <v>0.96002822974485547</v>
      </c>
      <c r="D28" s="7">
        <f t="shared" si="7"/>
        <v>1.0698824432221328</v>
      </c>
      <c r="E28" s="7">
        <f t="shared" si="7"/>
        <v>1.1534425768554071</v>
      </c>
      <c r="F28" s="7">
        <f t="shared" si="7"/>
        <v>1.0813668703105663</v>
      </c>
      <c r="G28" s="7">
        <f t="shared" si="7"/>
        <v>0.87869271815369154</v>
      </c>
      <c r="H28" s="7">
        <f t="shared" si="7"/>
        <v>0.91786266442500664</v>
      </c>
      <c r="I28" s="7">
        <f t="shared" si="7"/>
        <v>1.0992165152340037</v>
      </c>
      <c r="J28" s="7">
        <f t="shared" si="7"/>
        <v>1.0728421463771565</v>
      </c>
    </row>
    <row r="29" spans="1:10" ht="16.8" x14ac:dyDescent="0.35">
      <c r="A29" s="6" t="s">
        <v>39</v>
      </c>
      <c r="B29" s="7">
        <f>B15*4.87/(LN(67.8*$B$4-5.42))</f>
        <v>0.85935209639106624</v>
      </c>
      <c r="C29" s="7">
        <f t="shared" ref="C29:J29" si="8">C15*4.87/(LN(67.8*$B$4-5.42))</f>
        <v>1.1458027951880885</v>
      </c>
      <c r="D29" s="7">
        <f t="shared" si="8"/>
        <v>0.85935209639106624</v>
      </c>
      <c r="E29" s="7">
        <f t="shared" si="8"/>
        <v>0.76386853012539224</v>
      </c>
      <c r="F29" s="7">
        <f t="shared" si="8"/>
        <v>1.8141877590478066</v>
      </c>
      <c r="G29" s="7">
        <f t="shared" si="8"/>
        <v>2.6735398554388725</v>
      </c>
      <c r="H29" s="7">
        <f t="shared" si="8"/>
        <v>1.3367699277194363</v>
      </c>
      <c r="I29" s="7">
        <f t="shared" si="8"/>
        <v>0.85935209639106624</v>
      </c>
      <c r="J29" s="7">
        <f t="shared" si="8"/>
        <v>0.85935209639106624</v>
      </c>
    </row>
    <row r="30" spans="1:10" x14ac:dyDescent="0.25">
      <c r="A30" s="6" t="s">
        <v>40</v>
      </c>
      <c r="B30" s="7">
        <f>0.409*SIN(0.0172*B19-1.39)</f>
        <v>0.26072204753465189</v>
      </c>
      <c r="C30" s="7">
        <f t="shared" ref="C30:J30" si="9">0.409*SIN(0.0172*C19-1.39)</f>
        <v>0.26610339929995996</v>
      </c>
      <c r="D30" s="7">
        <f t="shared" si="9"/>
        <v>0.27140602897640986</v>
      </c>
      <c r="E30" s="7">
        <f t="shared" si="9"/>
        <v>0.27662836787271189</v>
      </c>
      <c r="F30" s="7">
        <f t="shared" si="9"/>
        <v>0.28176887105021547</v>
      </c>
      <c r="G30" s="7">
        <f t="shared" si="9"/>
        <v>0.28682601777995231</v>
      </c>
      <c r="H30" s="7">
        <f t="shared" si="9"/>
        <v>0.2917983119925176</v>
      </c>
      <c r="I30" s="7">
        <f t="shared" si="9"/>
        <v>0.296684282720656</v>
      </c>
      <c r="J30" s="7">
        <f t="shared" si="9"/>
        <v>0.30148248453442261</v>
      </c>
    </row>
    <row r="31" spans="1:10" ht="15.6" x14ac:dyDescent="0.35">
      <c r="A31" s="6" t="s">
        <v>22</v>
      </c>
      <c r="B31" s="7">
        <f>1+0.033*COS(0.0172*B19)</f>
        <v>0.98387852614784932</v>
      </c>
      <c r="C31" s="7">
        <f t="shared" ref="C31:J31" si="10">1+0.033*COS(0.0172*C19)</f>
        <v>0.9833856773080123</v>
      </c>
      <c r="D31" s="7">
        <f t="shared" si="10"/>
        <v>0.98289774352822612</v>
      </c>
      <c r="E31" s="7">
        <f t="shared" si="10"/>
        <v>0.98241486915526144</v>
      </c>
      <c r="F31" s="7">
        <f t="shared" si="10"/>
        <v>0.98193719703915106</v>
      </c>
      <c r="G31" s="7">
        <f t="shared" si="10"/>
        <v>0.98146486849092984</v>
      </c>
      <c r="H31" s="7">
        <f t="shared" si="10"/>
        <v>0.98099802324083074</v>
      </c>
      <c r="I31" s="7">
        <f t="shared" si="10"/>
        <v>0.9805367993969476</v>
      </c>
      <c r="J31" s="7">
        <f t="shared" si="10"/>
        <v>0.98008133340437853</v>
      </c>
    </row>
    <row r="32" spans="1:10" x14ac:dyDescent="0.25">
      <c r="A32" s="6" t="s">
        <v>41</v>
      </c>
      <c r="B32" s="7">
        <f>1-(TAN($B$6)^2*TAN(B30)^2)</f>
        <v>0.95639497399590823</v>
      </c>
      <c r="C32" s="7">
        <f t="shared" ref="C32:J32" si="11">1-(TAN($B$6)^2*TAN(C30)^2)</f>
        <v>0.95448756342283725</v>
      </c>
      <c r="D32" s="7">
        <f t="shared" si="11"/>
        <v>0.95256246248808851</v>
      </c>
      <c r="E32" s="7">
        <f t="shared" si="11"/>
        <v>0.95062180493948956</v>
      </c>
      <c r="F32" s="7">
        <f t="shared" si="11"/>
        <v>0.94866776822249699</v>
      </c>
      <c r="G32" s="7">
        <f t="shared" si="11"/>
        <v>0.94670257167408389</v>
      </c>
      <c r="H32" s="7">
        <f t="shared" si="11"/>
        <v>0.94472847455373721</v>
      </c>
      <c r="I32" s="7">
        <f t="shared" si="11"/>
        <v>0.94274777390857756</v>
      </c>
      <c r="J32" s="7">
        <f t="shared" si="11"/>
        <v>0.94076280227025211</v>
      </c>
    </row>
    <row r="33" spans="1:10" ht="15.6" x14ac:dyDescent="0.35">
      <c r="A33" s="6" t="s">
        <v>42</v>
      </c>
      <c r="B33" s="7">
        <f>PI()/2-ATAN((-TAN($B$6)*TAN(B30))/B32^0.5)</f>
        <v>1.7811626537403622</v>
      </c>
      <c r="C33" s="7">
        <f t="shared" ref="C33:J33" si="12">PI()/2-ATAN((-TAN($B$6)*TAN(C30))/C32^0.5)</f>
        <v>1.7857850794243564</v>
      </c>
      <c r="D33" s="7">
        <f t="shared" si="12"/>
        <v>1.7903577552563934</v>
      </c>
      <c r="E33" s="7">
        <f t="shared" si="12"/>
        <v>1.7948789857762883</v>
      </c>
      <c r="F33" s="7">
        <f t="shared" si="12"/>
        <v>1.7993470528518258</v>
      </c>
      <c r="G33" s="7">
        <f t="shared" si="12"/>
        <v>1.8037602167076252</v>
      </c>
      <c r="H33" s="7">
        <f t="shared" si="12"/>
        <v>1.8081167170710681</v>
      </c>
      <c r="I33" s="7">
        <f t="shared" si="12"/>
        <v>1.8124147744370054</v>
      </c>
      <c r="J33" s="7">
        <f t="shared" si="12"/>
        <v>1.8166525914526177</v>
      </c>
    </row>
    <row r="34" spans="1:10" ht="16.8" x14ac:dyDescent="0.35">
      <c r="A34" s="6" t="s">
        <v>43</v>
      </c>
      <c r="B34" s="7">
        <f>37.6*B31*(B33*SIN($B$6)*SIN(B30)+COS($B$6)*COS(B30)*SIN(B33))</f>
        <v>37.995618466033108</v>
      </c>
      <c r="C34" s="7">
        <f t="shared" ref="C34:J34" si="13">37.6*C31*(C33*SIN($B$6)*SIN(C30)+COS($B$6)*COS(C30)*SIN(C33))</f>
        <v>38.147885704145182</v>
      </c>
      <c r="D34" s="7">
        <f t="shared" si="13"/>
        <v>38.297163644813004</v>
      </c>
      <c r="E34" s="7">
        <f t="shared" si="13"/>
        <v>38.443436112103164</v>
      </c>
      <c r="F34" s="7">
        <f t="shared" si="13"/>
        <v>38.586688161378099</v>
      </c>
      <c r="G34" s="7">
        <f t="shared" si="13"/>
        <v>38.72690603446032</v>
      </c>
      <c r="H34" s="7">
        <f t="shared" si="13"/>
        <v>38.864077114362885</v>
      </c>
      <c r="I34" s="7">
        <f t="shared" si="13"/>
        <v>38.998189879718822</v>
      </c>
      <c r="J34" s="7">
        <f t="shared" si="13"/>
        <v>39.129233859039999</v>
      </c>
    </row>
    <row r="35" spans="1:10" x14ac:dyDescent="0.25">
      <c r="A35" s="6" t="s">
        <v>48</v>
      </c>
      <c r="B35" s="7">
        <f>24/PI()*B33</f>
        <v>13.607080358085918</v>
      </c>
      <c r="C35" s="7">
        <f>24/PI()*C33</f>
        <v>13.642393089126683</v>
      </c>
      <c r="D35" s="7">
        <f t="shared" ref="D35:J35" si="14">24/PI()*D33</f>
        <v>13.677325759294309</v>
      </c>
      <c r="E35" s="7">
        <f t="shared" si="14"/>
        <v>13.711865416227072</v>
      </c>
      <c r="F35" s="7">
        <f t="shared" si="14"/>
        <v>13.745998934361692</v>
      </c>
      <c r="G35" s="7">
        <f t="shared" si="14"/>
        <v>13.77971302279329</v>
      </c>
      <c r="H35" s="7">
        <f t="shared" si="14"/>
        <v>13.812994234029622</v>
      </c>
      <c r="I35" s="7">
        <f t="shared" si="14"/>
        <v>13.845828973652733</v>
      </c>
      <c r="J35" s="7">
        <f t="shared" si="14"/>
        <v>13.878203510898507</v>
      </c>
    </row>
    <row r="36" spans="1:10" x14ac:dyDescent="0.25">
      <c r="A36" s="11" t="s">
        <v>31</v>
      </c>
      <c r="B36" s="7">
        <f>B16/B35</f>
        <v>0.65260142266471732</v>
      </c>
      <c r="C36" s="7">
        <f>C16/C35</f>
        <v>0.74766941059114078</v>
      </c>
      <c r="D36" s="7">
        <f t="shared" ref="D36:J36" si="15">D16/D35</f>
        <v>0.86274175285921029</v>
      </c>
      <c r="E36" s="7">
        <f t="shared" si="15"/>
        <v>0.12981457635176974</v>
      </c>
      <c r="F36" s="7">
        <f t="shared" si="15"/>
        <v>0.13240216361798471</v>
      </c>
      <c r="G36" s="7">
        <f t="shared" si="15"/>
        <v>0.42961707476836514</v>
      </c>
      <c r="H36" s="7">
        <f t="shared" si="15"/>
        <v>0.54441490907697376</v>
      </c>
      <c r="I36" s="7">
        <f t="shared" si="15"/>
        <v>0.74101738650129101</v>
      </c>
      <c r="J36" s="7">
        <f t="shared" si="15"/>
        <v>0.79837422698830673</v>
      </c>
    </row>
    <row r="37" spans="1:10" ht="16.8" x14ac:dyDescent="0.35">
      <c r="A37" s="6" t="s">
        <v>49</v>
      </c>
      <c r="B37" s="7">
        <f>(0.25+0.5*B36)*B34</f>
        <v>21.896901949487781</v>
      </c>
      <c r="C37" s="7">
        <f>(0.25+0.5*C36)*C34</f>
        <v>23.797975035894513</v>
      </c>
      <c r="D37" s="7">
        <f t="shared" ref="D37:J37" si="16">(0.25+0.5*D36)*D34</f>
        <v>26.094571957434248</v>
      </c>
      <c r="E37" s="7">
        <f t="shared" si="16"/>
        <v>12.10611821422529</v>
      </c>
      <c r="F37" s="7">
        <f t="shared" si="16"/>
        <v>12.201152540053993</v>
      </c>
      <c r="G37" s="7">
        <f t="shared" si="16"/>
        <v>18.000596551292176</v>
      </c>
      <c r="H37" s="7">
        <f t="shared" si="16"/>
        <v>20.295110782878908</v>
      </c>
      <c r="I37" s="7">
        <f t="shared" si="16"/>
        <v>24.198715841404873</v>
      </c>
      <c r="J37" s="7">
        <f t="shared" si="16"/>
        <v>25.402194382187869</v>
      </c>
    </row>
    <row r="38" spans="1:10" ht="15.6" x14ac:dyDescent="0.35">
      <c r="A38" s="6" t="s">
        <v>23</v>
      </c>
      <c r="B38" s="7">
        <f>(0.75+0.00002*$B$7)*B34</f>
        <v>28.55294736485456</v>
      </c>
      <c r="C38" s="7">
        <f>(0.75+0.00002*$B$7)*C34</f>
        <v>28.667373148951022</v>
      </c>
      <c r="D38" s="7">
        <f t="shared" ref="D38:J38" si="17">(0.75+0.00002*$B$7)*D34</f>
        <v>28.779552535804079</v>
      </c>
      <c r="E38" s="7">
        <f t="shared" si="17"/>
        <v>28.889473369523287</v>
      </c>
      <c r="F38" s="7">
        <f t="shared" si="17"/>
        <v>28.997124419512414</v>
      </c>
      <c r="G38" s="7">
        <f t="shared" si="17"/>
        <v>29.102495346776244</v>
      </c>
      <c r="H38" s="7">
        <f t="shared" si="17"/>
        <v>29.205576669901422</v>
      </c>
      <c r="I38" s="7">
        <f t="shared" si="17"/>
        <v>29.306359730811103</v>
      </c>
      <c r="J38" s="7">
        <f t="shared" si="17"/>
        <v>29.404836660391378</v>
      </c>
    </row>
    <row r="39" spans="1:10" x14ac:dyDescent="0.25">
      <c r="A39" s="6" t="s">
        <v>26</v>
      </c>
      <c r="B39" s="7">
        <f>0.0000000049/2*((B11+273)^4+(B12+273)^4)</f>
        <v>34.689537464549765</v>
      </c>
      <c r="C39" s="7">
        <f>0.0000000049/2*((C11+273)^4+(C12+273)^4)</f>
        <v>34.134803701314894</v>
      </c>
      <c r="D39" s="7">
        <f t="shared" ref="D39:J39" si="18">0.0000000049/2*((D11+273)^4+(D12+273)^4)</f>
        <v>35.072971421804887</v>
      </c>
      <c r="E39" s="7">
        <f t="shared" si="18"/>
        <v>35.014535054889031</v>
      </c>
      <c r="F39" s="7">
        <f t="shared" si="18"/>
        <v>33.685429737687777</v>
      </c>
      <c r="G39" s="7">
        <f t="shared" si="18"/>
        <v>33.511419571222568</v>
      </c>
      <c r="H39" s="7">
        <f t="shared" si="18"/>
        <v>33.640494411622491</v>
      </c>
      <c r="I39" s="7">
        <f t="shared" si="18"/>
        <v>35.423846710844167</v>
      </c>
      <c r="J39" s="7">
        <f t="shared" si="18"/>
        <v>35.660123195681841</v>
      </c>
    </row>
    <row r="40" spans="1:10" x14ac:dyDescent="0.25">
      <c r="A40" s="6" t="s">
        <v>25</v>
      </c>
      <c r="B40" s="7">
        <f>0.34-0.14*B28^0.5</f>
        <v>0.20197407404212048</v>
      </c>
      <c r="C40" s="7">
        <f>0.34-0.14*C28^0.5</f>
        <v>0.20282655758857998</v>
      </c>
      <c r="D40" s="7">
        <f t="shared" ref="D40:J40" si="19">0.34-0.14*D28^0.5</f>
        <v>0.19519082940934371</v>
      </c>
      <c r="E40" s="7">
        <f t="shared" si="19"/>
        <v>0.18964217843302605</v>
      </c>
      <c r="F40" s="7">
        <f t="shared" si="19"/>
        <v>0.19441569226703348</v>
      </c>
      <c r="G40" s="7">
        <f t="shared" si="19"/>
        <v>0.208765944679697</v>
      </c>
      <c r="H40" s="7">
        <f t="shared" si="19"/>
        <v>0.20587279089338312</v>
      </c>
      <c r="I40" s="7">
        <f t="shared" si="19"/>
        <v>0.1932190622097458</v>
      </c>
      <c r="J40" s="7">
        <f t="shared" si="19"/>
        <v>0.19499066902784404</v>
      </c>
    </row>
    <row r="41" spans="1:10" x14ac:dyDescent="0.25">
      <c r="A41" s="6" t="s">
        <v>24</v>
      </c>
      <c r="B41" s="7">
        <f>1.35*B37/B38-0.35</f>
        <v>0.68529829176915447</v>
      </c>
      <c r="C41" s="7">
        <f t="shared" ref="C41:J41" si="20">1.35*C37/C38-0.35</f>
        <v>0.77069097267927289</v>
      </c>
      <c r="D41" s="7">
        <f t="shared" si="20"/>
        <v>0.87405211473354838</v>
      </c>
      <c r="E41" s="7">
        <f t="shared" si="20"/>
        <v>0.21571677095524122</v>
      </c>
      <c r="F41" s="7">
        <f t="shared" si="20"/>
        <v>0.21804101299055167</v>
      </c>
      <c r="G41" s="7">
        <f t="shared" si="20"/>
        <v>0.48500761892351951</v>
      </c>
      <c r="H41" s="7">
        <f t="shared" si="20"/>
        <v>0.58812219038025948</v>
      </c>
      <c r="I41" s="7">
        <f t="shared" si="20"/>
        <v>0.76471594172615542</v>
      </c>
      <c r="J41" s="7">
        <f t="shared" si="20"/>
        <v>0.81623543303495383</v>
      </c>
    </row>
    <row r="42" spans="1:10" ht="16.8" x14ac:dyDescent="0.35">
      <c r="A42" s="6" t="s">
        <v>45</v>
      </c>
      <c r="B42" s="7">
        <f>B39*B40*B41</f>
        <v>4.8014651853568031</v>
      </c>
      <c r="C42" s="7">
        <f>C39*C40*C41</f>
        <v>5.3358363522526941</v>
      </c>
      <c r="D42" s="7">
        <f t="shared" ref="D42:J42" si="21">D39*D40*D41</f>
        <v>5.9836929350024084</v>
      </c>
      <c r="E42" s="7">
        <f t="shared" si="21"/>
        <v>1.4324095574338935</v>
      </c>
      <c r="F42" s="7">
        <f t="shared" si="21"/>
        <v>1.4279453920014138</v>
      </c>
      <c r="G42" s="7">
        <f t="shared" si="21"/>
        <v>3.3931342370246318</v>
      </c>
      <c r="H42" s="7">
        <f t="shared" si="21"/>
        <v>4.0731357826046883</v>
      </c>
      <c r="I42" s="7">
        <f t="shared" si="21"/>
        <v>5.2341460130259847</v>
      </c>
      <c r="J42" s="7">
        <f t="shared" si="21"/>
        <v>5.6756043421178992</v>
      </c>
    </row>
    <row r="43" spans="1:10" ht="15.6" x14ac:dyDescent="0.25">
      <c r="A43" s="6" t="s">
        <v>46</v>
      </c>
      <c r="B43" s="7">
        <f>0</f>
        <v>0</v>
      </c>
      <c r="C43" s="7">
        <f>0</f>
        <v>0</v>
      </c>
      <c r="D43" s="7">
        <f>0</f>
        <v>0</v>
      </c>
      <c r="E43" s="7">
        <f>0</f>
        <v>0</v>
      </c>
      <c r="F43" s="7">
        <f>0</f>
        <v>0</v>
      </c>
      <c r="G43" s="7">
        <f>0</f>
        <v>0</v>
      </c>
      <c r="H43" s="7">
        <f>0</f>
        <v>0</v>
      </c>
      <c r="I43" s="7">
        <f>0</f>
        <v>0</v>
      </c>
      <c r="J43" s="7">
        <f>0</f>
        <v>0</v>
      </c>
    </row>
    <row r="44" spans="1:10" ht="16.8" x14ac:dyDescent="0.35">
      <c r="A44" s="6" t="s">
        <v>47</v>
      </c>
      <c r="B44" s="7">
        <f>B37-0.23*B37-B42</f>
        <v>12.059149315748787</v>
      </c>
      <c r="C44" s="7">
        <f>C37-0.23*C37-C42</f>
        <v>12.988604425386079</v>
      </c>
      <c r="D44" s="7">
        <f t="shared" ref="D44:J44" si="22">D37-0.23*D37-D42</f>
        <v>14.10912747222196</v>
      </c>
      <c r="E44" s="7">
        <f t="shared" si="22"/>
        <v>7.8893014675195792</v>
      </c>
      <c r="F44" s="7">
        <f t="shared" si="22"/>
        <v>7.9669420638401611</v>
      </c>
      <c r="G44" s="7">
        <f t="shared" si="22"/>
        <v>10.467325107470344</v>
      </c>
      <c r="H44" s="7">
        <f t="shared" si="22"/>
        <v>11.55409952021207</v>
      </c>
      <c r="I44" s="7">
        <f t="shared" si="22"/>
        <v>13.398865184855765</v>
      </c>
      <c r="J44" s="7">
        <f t="shared" si="22"/>
        <v>13.884085332166759</v>
      </c>
    </row>
    <row r="45" spans="1:10" ht="15.6" x14ac:dyDescent="0.35">
      <c r="A45" s="6" t="s">
        <v>27</v>
      </c>
      <c r="B45" s="7">
        <f>0.408*B22*(B44-B43)+B24*(900/(B20+273))*B29*(B27-B28)</f>
        <v>0.80032532454195071</v>
      </c>
      <c r="C45" s="7">
        <f>0.408*C22*(C44-C43)+C24*(900/(C20+273))*C29*(C27-C28)</f>
        <v>0.8495012298313831</v>
      </c>
      <c r="D45" s="7">
        <f t="shared" ref="D45:J45" si="23">0.408*D22*(D44-D43)+D24*(900/(D20+273))*D29*(D27-D28)</f>
        <v>0.96077818531366044</v>
      </c>
      <c r="E45" s="7">
        <f t="shared" si="23"/>
        <v>0.56692155421411294</v>
      </c>
      <c r="F45" s="7">
        <f t="shared" si="23"/>
        <v>0.61428213518686015</v>
      </c>
      <c r="G45" s="7">
        <f t="shared" si="23"/>
        <v>0.94830511408192408</v>
      </c>
      <c r="H45" s="7">
        <f t="shared" si="23"/>
        <v>0.76599160562321789</v>
      </c>
      <c r="I45" s="7">
        <f t="shared" si="23"/>
        <v>0.93962037558639222</v>
      </c>
      <c r="J45" s="7">
        <f t="shared" si="23"/>
        <v>1.0205224279240956</v>
      </c>
    </row>
    <row r="46" spans="1:10" ht="15.6" x14ac:dyDescent="0.35">
      <c r="A46" s="6" t="s">
        <v>28</v>
      </c>
      <c r="B46" s="7">
        <f>B22+B24*(1+0.34*B29)</f>
        <v>0.20748196274082983</v>
      </c>
      <c r="C46" s="7">
        <f>C22+C24*(1+0.34*C29)</f>
        <v>0.20581070892843278</v>
      </c>
      <c r="D46" s="7">
        <f t="shared" ref="D46:J46" si="24">D22+D24*(1+0.34*D29)</f>
        <v>0.20986002551791844</v>
      </c>
      <c r="E46" s="7">
        <f t="shared" si="24"/>
        <v>0.21045705368898421</v>
      </c>
      <c r="F46" s="7">
        <f t="shared" si="24"/>
        <v>0.21662298995958823</v>
      </c>
      <c r="G46" s="7">
        <f t="shared" si="24"/>
        <v>0.2334114347827051</v>
      </c>
      <c r="H46" s="7">
        <f t="shared" si="24"/>
        <v>0.20394829594875041</v>
      </c>
      <c r="I46" s="7">
        <f t="shared" si="24"/>
        <v>0.21795443749351601</v>
      </c>
      <c r="J46" s="7">
        <f>J22+J24*(1+0.34*J29)</f>
        <v>0.21940705366496449</v>
      </c>
    </row>
    <row r="47" spans="1:10" ht="15.6" x14ac:dyDescent="0.35">
      <c r="A47" s="6" t="s">
        <v>29</v>
      </c>
      <c r="B47" s="8">
        <f>B45/B46</f>
        <v>3.8573248198044774</v>
      </c>
      <c r="C47" s="8">
        <f>C45/C46</f>
        <v>4.1275851691798158</v>
      </c>
      <c r="D47" s="8">
        <f t="shared" ref="D47:J47" si="25">D45/D46</f>
        <v>4.5781857833216861</v>
      </c>
      <c r="E47" s="8">
        <f t="shared" si="25"/>
        <v>2.6937636172172019</v>
      </c>
      <c r="F47" s="8">
        <f t="shared" si="25"/>
        <v>2.8357199542922782</v>
      </c>
      <c r="G47" s="8">
        <f t="shared" si="25"/>
        <v>4.0628048705700763</v>
      </c>
      <c r="H47" s="8">
        <f t="shared" si="25"/>
        <v>3.7558127272399555</v>
      </c>
      <c r="I47" s="8">
        <f t="shared" si="25"/>
        <v>4.3110862361512838</v>
      </c>
      <c r="J47" s="8">
        <f t="shared" si="25"/>
        <v>4.6512744730734035</v>
      </c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FAO-PM, conhecendo Rs</vt:lpstr>
      <vt:lpstr>FAO-PM, conhecendo insolação, n</vt:lpstr>
    </vt:vector>
  </TitlesOfParts>
  <Company>Rui Teixeira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Teixeira</dc:creator>
  <cp:lastModifiedBy>Paulo Matias</cp:lastModifiedBy>
  <dcterms:created xsi:type="dcterms:W3CDTF">2008-12-11T15:46:20Z</dcterms:created>
  <dcterms:modified xsi:type="dcterms:W3CDTF">2020-04-30T12:08:53Z</dcterms:modified>
</cp:coreProperties>
</file>