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LG_Backup\Susana\Aulas\2022-23_Inventario\Exercicios\"/>
    </mc:Choice>
  </mc:AlternateContent>
  <bookViews>
    <workbookView xWindow="0" yWindow="0" windowWidth="23040" windowHeight="8904" tabRatio="709" firstSheet="1" activeTab="1"/>
  </bookViews>
  <sheets>
    <sheet name="ficha de campo" sheetId="2" r:id="rId1"/>
    <sheet name="322" sheetId="13" r:id="rId2"/>
    <sheet name="324" sheetId="15" r:id="rId3"/>
    <sheet name="322_K" sheetId="14" r:id="rId4"/>
  </sheets>
  <definedNames>
    <definedName name="_Ref35361304" localSheetId="1">'322'!$V$8</definedName>
    <definedName name="_Toc35591880" localSheetId="1">'322'!$AO$7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33" i="13" l="1"/>
  <c r="AP32" i="13"/>
  <c r="AP31" i="13"/>
  <c r="AP29" i="13"/>
  <c r="AP30" i="13"/>
  <c r="AP28" i="13"/>
  <c r="AP27" i="13"/>
  <c r="AE21" i="13"/>
  <c r="AF21" i="13"/>
  <c r="AG21" i="13"/>
  <c r="AH21" i="13"/>
  <c r="AI21" i="13"/>
  <c r="AJ21" i="13"/>
  <c r="AD21" i="13"/>
  <c r="AF25" i="13"/>
  <c r="AG25" i="13"/>
  <c r="AH25" i="13" s="1"/>
  <c r="AF26" i="13"/>
  <c r="AG26" i="13"/>
  <c r="AH26" i="13"/>
  <c r="AI26" i="13" s="1"/>
  <c r="AF27" i="13"/>
  <c r="AG27" i="13"/>
  <c r="AH27" i="13" s="1"/>
  <c r="AF28" i="13"/>
  <c r="AG28" i="13"/>
  <c r="AH28" i="13" s="1"/>
  <c r="AF29" i="13"/>
  <c r="AG29" i="13"/>
  <c r="AH29" i="13" s="1"/>
  <c r="AF30" i="13"/>
  <c r="AH30" i="13" s="1"/>
  <c r="AG30" i="13"/>
  <c r="AF31" i="13"/>
  <c r="AG31" i="13"/>
  <c r="AH31" i="13" s="1"/>
  <c r="AF32" i="13"/>
  <c r="AG32" i="13"/>
  <c r="AH32" i="13" s="1"/>
  <c r="AF33" i="13"/>
  <c r="AG33" i="13"/>
  <c r="AH33" i="13" s="1"/>
  <c r="AF34" i="13"/>
  <c r="AG34" i="13"/>
  <c r="AH34" i="13"/>
  <c r="AI34" i="13" s="1"/>
  <c r="AF35" i="13"/>
  <c r="AG35" i="13"/>
  <c r="AH35" i="13" s="1"/>
  <c r="AF36" i="13"/>
  <c r="AG36" i="13"/>
  <c r="AH36" i="13" s="1"/>
  <c r="AF37" i="13"/>
  <c r="AG37" i="13"/>
  <c r="AH37" i="13" s="1"/>
  <c r="AF38" i="13"/>
  <c r="AH38" i="13" s="1"/>
  <c r="AG38" i="13"/>
  <c r="AF39" i="13"/>
  <c r="AG39" i="13"/>
  <c r="AH39" i="13" s="1"/>
  <c r="AF40" i="13"/>
  <c r="AG40" i="13"/>
  <c r="AH40" i="13" s="1"/>
  <c r="AF41" i="13"/>
  <c r="AG41" i="13"/>
  <c r="AH41" i="13" s="1"/>
  <c r="AF42" i="13"/>
  <c r="AG42" i="13"/>
  <c r="AH42" i="13"/>
  <c r="AI42" i="13" s="1"/>
  <c r="AF43" i="13"/>
  <c r="AG43" i="13"/>
  <c r="AH43" i="13" s="1"/>
  <c r="AF44" i="13"/>
  <c r="AG44" i="13"/>
  <c r="AH44" i="13" s="1"/>
  <c r="AF45" i="13"/>
  <c r="AG45" i="13"/>
  <c r="AH45" i="13" s="1"/>
  <c r="AF46" i="13"/>
  <c r="AH46" i="13" s="1"/>
  <c r="AG46" i="13"/>
  <c r="AF47" i="13"/>
  <c r="AG47" i="13"/>
  <c r="AH47" i="13" s="1"/>
  <c r="AF48" i="13"/>
  <c r="AG48" i="13"/>
  <c r="AH48" i="13" s="1"/>
  <c r="AF49" i="13"/>
  <c r="AG49" i="13"/>
  <c r="AH49" i="13" s="1"/>
  <c r="AF50" i="13"/>
  <c r="AG50" i="13"/>
  <c r="AH50" i="13"/>
  <c r="AI50" i="13" s="1"/>
  <c r="AF51" i="13"/>
  <c r="AG51" i="13"/>
  <c r="AH51" i="13" s="1"/>
  <c r="AF52" i="13"/>
  <c r="AG52" i="13"/>
  <c r="AH52" i="13" s="1"/>
  <c r="AF53" i="13"/>
  <c r="AG53" i="13"/>
  <c r="AH53" i="13" s="1"/>
  <c r="AF54" i="13"/>
  <c r="AH54" i="13" s="1"/>
  <c r="AG54" i="13"/>
  <c r="AF55" i="13"/>
  <c r="AG55" i="13"/>
  <c r="AH55" i="13" s="1"/>
  <c r="AF56" i="13"/>
  <c r="AG56" i="13"/>
  <c r="AH56" i="13" s="1"/>
  <c r="AF57" i="13"/>
  <c r="AG57" i="13"/>
  <c r="AH57" i="13" s="1"/>
  <c r="AF58" i="13"/>
  <c r="AG58" i="13"/>
  <c r="AH58" i="13"/>
  <c r="AI58" i="13" s="1"/>
  <c r="AF59" i="13"/>
  <c r="AG59" i="13"/>
  <c r="AH59" i="13" s="1"/>
  <c r="AF60" i="13"/>
  <c r="AG60" i="13"/>
  <c r="AH60" i="13" s="1"/>
  <c r="AF61" i="13"/>
  <c r="AG61" i="13"/>
  <c r="AH61" i="13" s="1"/>
  <c r="AF62" i="13"/>
  <c r="AH62" i="13" s="1"/>
  <c r="AG62" i="13"/>
  <c r="AF63" i="13"/>
  <c r="AG63" i="13"/>
  <c r="AH63" i="13" s="1"/>
  <c r="AF64" i="13"/>
  <c r="AG64" i="13"/>
  <c r="AH64" i="13" s="1"/>
  <c r="AF65" i="13"/>
  <c r="AG65" i="13"/>
  <c r="AH65" i="13" s="1"/>
  <c r="AF66" i="13"/>
  <c r="AG66" i="13"/>
  <c r="AH66" i="13"/>
  <c r="AI66" i="13" s="1"/>
  <c r="AF67" i="13"/>
  <c r="AG67" i="13"/>
  <c r="AH67" i="13"/>
  <c r="AI67" i="13" s="1"/>
  <c r="AF68" i="13"/>
  <c r="AG68" i="13"/>
  <c r="AH68" i="13" s="1"/>
  <c r="AF69" i="13"/>
  <c r="AG69" i="13"/>
  <c r="AH69" i="13" s="1"/>
  <c r="AF70" i="13"/>
  <c r="AH70" i="13" s="1"/>
  <c r="AG70" i="13"/>
  <c r="AF71" i="13"/>
  <c r="AG71" i="13"/>
  <c r="AH71" i="13" s="1"/>
  <c r="AF72" i="13"/>
  <c r="AG72" i="13"/>
  <c r="AH72" i="13" s="1"/>
  <c r="AF73" i="13"/>
  <c r="AG73" i="13"/>
  <c r="AH73" i="13" s="1"/>
  <c r="AF74" i="13"/>
  <c r="AG74" i="13"/>
  <c r="AH74" i="13"/>
  <c r="AI74" i="13" s="1"/>
  <c r="AF75" i="13"/>
  <c r="AG75" i="13"/>
  <c r="AH75" i="13"/>
  <c r="AI75" i="13" s="1"/>
  <c r="AF76" i="13"/>
  <c r="AG76" i="13"/>
  <c r="AH76" i="13" s="1"/>
  <c r="AF77" i="13"/>
  <c r="AG77" i="13"/>
  <c r="AH77" i="13" s="1"/>
  <c r="AF78" i="13"/>
  <c r="AH78" i="13" s="1"/>
  <c r="AG78" i="13"/>
  <c r="AF79" i="13"/>
  <c r="AG79" i="13"/>
  <c r="AH79" i="13" s="1"/>
  <c r="AF80" i="13"/>
  <c r="AG80" i="13"/>
  <c r="AH80" i="13" s="1"/>
  <c r="AF81" i="13"/>
  <c r="AG81" i="13"/>
  <c r="AH81" i="13" s="1"/>
  <c r="AF82" i="13"/>
  <c r="AG82" i="13"/>
  <c r="AH82" i="13"/>
  <c r="AI82" i="13" s="1"/>
  <c r="AF83" i="13"/>
  <c r="AG83" i="13"/>
  <c r="AH83" i="13"/>
  <c r="AI83" i="13" s="1"/>
  <c r="AF84" i="13"/>
  <c r="AG84" i="13"/>
  <c r="AH84" i="13" s="1"/>
  <c r="AF85" i="13"/>
  <c r="AG85" i="13"/>
  <c r="AH85" i="13" s="1"/>
  <c r="AF86" i="13"/>
  <c r="AH86" i="13" s="1"/>
  <c r="AG86" i="13"/>
  <c r="AF87" i="13"/>
  <c r="AG87" i="13"/>
  <c r="AH87" i="13" s="1"/>
  <c r="AF88" i="13"/>
  <c r="AG88" i="13"/>
  <c r="AH88" i="13" s="1"/>
  <c r="AF89" i="13"/>
  <c r="AG89" i="13"/>
  <c r="AH89" i="13" s="1"/>
  <c r="AF90" i="13"/>
  <c r="AG90" i="13"/>
  <c r="AH90" i="13"/>
  <c r="AI90" i="13" s="1"/>
  <c r="AF91" i="13"/>
  <c r="AG91" i="13"/>
  <c r="AH91" i="13"/>
  <c r="AI91" i="13" s="1"/>
  <c r="AF92" i="13"/>
  <c r="AG92" i="13"/>
  <c r="AH92" i="13" s="1"/>
  <c r="AF93" i="13"/>
  <c r="AG93" i="13"/>
  <c r="AH93" i="13" s="1"/>
  <c r="AF94" i="13"/>
  <c r="AH94" i="13" s="1"/>
  <c r="AG94" i="13"/>
  <c r="AF95" i="13"/>
  <c r="AG95" i="13"/>
  <c r="AH95" i="13" s="1"/>
  <c r="AF96" i="13"/>
  <c r="AG96" i="13"/>
  <c r="AH96" i="13" s="1"/>
  <c r="AF97" i="13"/>
  <c r="AG97" i="13"/>
  <c r="AH97" i="13" s="1"/>
  <c r="AJ24" i="13"/>
  <c r="AI24" i="13"/>
  <c r="AH24" i="13"/>
  <c r="AG24" i="13"/>
  <c r="AF24" i="13"/>
  <c r="AE25" i="13"/>
  <c r="AE26" i="13"/>
  <c r="AE27" i="13"/>
  <c r="AE28" i="13"/>
  <c r="AE29" i="13"/>
  <c r="AE30" i="13"/>
  <c r="AE31" i="13"/>
  <c r="AE32" i="13"/>
  <c r="AE33" i="13"/>
  <c r="AE34" i="13"/>
  <c r="AE35" i="13"/>
  <c r="AE36" i="13"/>
  <c r="AE37" i="13"/>
  <c r="AE38" i="13"/>
  <c r="AE39" i="13"/>
  <c r="AE40" i="13"/>
  <c r="AE41" i="13"/>
  <c r="AE42" i="13"/>
  <c r="AE43" i="13"/>
  <c r="AE44" i="13"/>
  <c r="AE45" i="13"/>
  <c r="AE46" i="13"/>
  <c r="AE47" i="13"/>
  <c r="AE48" i="13"/>
  <c r="AE49" i="13"/>
  <c r="AE50" i="13"/>
  <c r="AE51" i="13"/>
  <c r="AE52" i="13"/>
  <c r="AE53" i="13"/>
  <c r="AE54" i="13"/>
  <c r="AE55" i="13"/>
  <c r="AE56" i="13"/>
  <c r="AE57" i="13"/>
  <c r="AE58" i="13"/>
  <c r="AE59" i="13"/>
  <c r="AE60" i="13"/>
  <c r="AE61" i="13"/>
  <c r="AE62" i="13"/>
  <c r="AE63" i="13"/>
  <c r="AE64" i="13"/>
  <c r="AE65" i="13"/>
  <c r="AE66" i="13"/>
  <c r="AE67" i="13"/>
  <c r="AE68" i="13"/>
  <c r="AE69" i="13"/>
  <c r="AE70" i="13"/>
  <c r="AE71" i="13"/>
  <c r="AE72" i="13"/>
  <c r="AE73" i="13"/>
  <c r="AE74" i="13"/>
  <c r="AE75" i="13"/>
  <c r="AE76" i="13"/>
  <c r="AE77" i="13"/>
  <c r="AE78" i="13"/>
  <c r="AE79" i="13"/>
  <c r="AE80" i="13"/>
  <c r="AE81" i="13"/>
  <c r="AE82" i="13"/>
  <c r="AE83" i="13"/>
  <c r="AE84" i="13"/>
  <c r="AE85" i="13"/>
  <c r="AE86" i="13"/>
  <c r="AE87" i="13"/>
  <c r="AE88" i="13"/>
  <c r="AE89" i="13"/>
  <c r="AE90" i="13"/>
  <c r="AE91" i="13"/>
  <c r="AE92" i="13"/>
  <c r="AE93" i="13"/>
  <c r="AE94" i="13"/>
  <c r="AE95" i="13"/>
  <c r="AE96" i="13"/>
  <c r="AE97" i="13"/>
  <c r="AE24" i="13"/>
  <c r="AD24" i="13"/>
  <c r="AD25" i="13"/>
  <c r="AD26" i="13"/>
  <c r="AD27" i="13"/>
  <c r="AD28" i="13"/>
  <c r="AD29" i="13"/>
  <c r="AD30" i="13"/>
  <c r="AD31" i="13"/>
  <c r="AD32" i="13"/>
  <c r="AD33" i="13"/>
  <c r="AD34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AD47" i="13"/>
  <c r="AD48" i="13"/>
  <c r="AD49" i="13"/>
  <c r="AD50" i="13"/>
  <c r="AD51" i="13"/>
  <c r="AD52" i="13"/>
  <c r="AD53" i="13"/>
  <c r="AD54" i="13"/>
  <c r="AD55" i="13"/>
  <c r="AD56" i="13"/>
  <c r="AD57" i="13"/>
  <c r="AD58" i="13"/>
  <c r="AD59" i="13"/>
  <c r="AD60" i="13"/>
  <c r="AD61" i="13"/>
  <c r="AD62" i="13"/>
  <c r="AD63" i="13"/>
  <c r="AD64" i="13"/>
  <c r="AD65" i="13"/>
  <c r="AD66" i="13"/>
  <c r="AD67" i="13"/>
  <c r="AD68" i="13"/>
  <c r="AD69" i="13"/>
  <c r="AD70" i="13"/>
  <c r="AD71" i="13"/>
  <c r="AD72" i="13"/>
  <c r="AD73" i="13"/>
  <c r="AD74" i="13"/>
  <c r="AD75" i="13"/>
  <c r="AD76" i="13"/>
  <c r="AD77" i="13"/>
  <c r="AD78" i="13"/>
  <c r="AD79" i="13"/>
  <c r="AD80" i="13"/>
  <c r="AD81" i="13"/>
  <c r="AD82" i="13"/>
  <c r="AD83" i="13"/>
  <c r="AD84" i="13"/>
  <c r="AD85" i="13"/>
  <c r="AD86" i="13"/>
  <c r="AD87" i="13"/>
  <c r="AD88" i="13"/>
  <c r="AD89" i="13"/>
  <c r="AD90" i="13"/>
  <c r="AD91" i="13"/>
  <c r="AD92" i="13"/>
  <c r="AD93" i="13"/>
  <c r="AD94" i="13"/>
  <c r="AD95" i="13"/>
  <c r="AD96" i="13"/>
  <c r="AD97" i="13"/>
  <c r="AE20" i="13"/>
  <c r="AI81" i="13" l="1"/>
  <c r="AJ81" i="13"/>
  <c r="AI59" i="13"/>
  <c r="AJ59" i="13" s="1"/>
  <c r="AI44" i="13"/>
  <c r="AJ44" i="13" s="1"/>
  <c r="AI51" i="13"/>
  <c r="AJ51" i="13" s="1"/>
  <c r="AI25" i="13"/>
  <c r="AJ25" i="13"/>
  <c r="AI87" i="13"/>
  <c r="AJ87" i="13" s="1"/>
  <c r="AI80" i="13"/>
  <c r="AJ80" i="13" s="1"/>
  <c r="AI76" i="13"/>
  <c r="AJ76" i="13" s="1"/>
  <c r="AI73" i="13"/>
  <c r="AJ73" i="13"/>
  <c r="AJ69" i="13"/>
  <c r="AI69" i="13"/>
  <c r="AI47" i="13"/>
  <c r="AJ47" i="13" s="1"/>
  <c r="AI43" i="13"/>
  <c r="AJ43" i="13" s="1"/>
  <c r="AI32" i="13"/>
  <c r="AJ32" i="13" s="1"/>
  <c r="AI28" i="13"/>
  <c r="AJ28" i="13" s="1"/>
  <c r="AI94" i="13"/>
  <c r="AJ94" i="13" s="1"/>
  <c r="AI62" i="13"/>
  <c r="AJ62" i="13" s="1"/>
  <c r="AI39" i="13"/>
  <c r="AJ39" i="13"/>
  <c r="AI35" i="13"/>
  <c r="AJ35" i="13" s="1"/>
  <c r="AI84" i="13"/>
  <c r="AJ84" i="13" s="1"/>
  <c r="AI63" i="13"/>
  <c r="AJ63" i="13" s="1"/>
  <c r="AI33" i="13"/>
  <c r="AJ33" i="13"/>
  <c r="AI70" i="13"/>
  <c r="AJ70" i="13" s="1"/>
  <c r="AJ93" i="13"/>
  <c r="AI93" i="13"/>
  <c r="AI79" i="13"/>
  <c r="AJ79" i="13" s="1"/>
  <c r="AI72" i="13"/>
  <c r="AJ72" i="13" s="1"/>
  <c r="AI68" i="13"/>
  <c r="AJ68" i="13" s="1"/>
  <c r="AI65" i="13"/>
  <c r="AJ65" i="13" s="1"/>
  <c r="AJ61" i="13"/>
  <c r="AI61" i="13"/>
  <c r="AI54" i="13"/>
  <c r="AJ54" i="13"/>
  <c r="AI31" i="13"/>
  <c r="AJ31" i="13" s="1"/>
  <c r="AI27" i="13"/>
  <c r="AJ27" i="13" s="1"/>
  <c r="AI86" i="13"/>
  <c r="AJ86" i="13" s="1"/>
  <c r="AI57" i="13"/>
  <c r="AJ57" i="13"/>
  <c r="AJ53" i="13"/>
  <c r="AI53" i="13"/>
  <c r="AI46" i="13"/>
  <c r="AJ46" i="13" s="1"/>
  <c r="AI95" i="13"/>
  <c r="AJ95" i="13" s="1"/>
  <c r="AI88" i="13"/>
  <c r="AJ88" i="13" s="1"/>
  <c r="AJ77" i="13"/>
  <c r="AI77" i="13"/>
  <c r="AI48" i="13"/>
  <c r="AJ48" i="13" s="1"/>
  <c r="AJ29" i="13"/>
  <c r="AI29" i="13"/>
  <c r="AI55" i="13"/>
  <c r="AJ55" i="13"/>
  <c r="AI40" i="13"/>
  <c r="AJ40" i="13" s="1"/>
  <c r="AI36" i="13"/>
  <c r="AJ36" i="13" s="1"/>
  <c r="AJ97" i="13"/>
  <c r="AI97" i="13"/>
  <c r="AI96" i="13"/>
  <c r="AJ96" i="13" s="1"/>
  <c r="AI92" i="13"/>
  <c r="AJ92" i="13" s="1"/>
  <c r="AI89" i="13"/>
  <c r="AJ89" i="13"/>
  <c r="AJ85" i="13"/>
  <c r="AI85" i="13"/>
  <c r="AI71" i="13"/>
  <c r="AJ71" i="13"/>
  <c r="AI64" i="13"/>
  <c r="AJ64" i="13" s="1"/>
  <c r="AI60" i="13"/>
  <c r="AJ60" i="13"/>
  <c r="AI49" i="13"/>
  <c r="AJ49" i="13" s="1"/>
  <c r="AI45" i="13"/>
  <c r="AJ45" i="13" s="1"/>
  <c r="AI38" i="13"/>
  <c r="AJ38" i="13" s="1"/>
  <c r="AI78" i="13"/>
  <c r="AJ78" i="13"/>
  <c r="AJ56" i="13"/>
  <c r="AI56" i="13"/>
  <c r="AI52" i="13"/>
  <c r="AJ52" i="13"/>
  <c r="AI41" i="13"/>
  <c r="AJ41" i="13" s="1"/>
  <c r="AI37" i="13"/>
  <c r="AJ37" i="13" s="1"/>
  <c r="AI30" i="13"/>
  <c r="AJ30" i="13" s="1"/>
  <c r="AJ91" i="13"/>
  <c r="AJ83" i="13"/>
  <c r="AJ75" i="13"/>
  <c r="AJ67" i="13"/>
  <c r="AJ90" i="13"/>
  <c r="AJ82" i="13"/>
  <c r="AJ74" i="13"/>
  <c r="AJ66" i="13"/>
  <c r="AJ58" i="13"/>
  <c r="AJ50" i="13"/>
  <c r="AJ42" i="13"/>
  <c r="AJ34" i="13"/>
  <c r="AJ26" i="13"/>
  <c r="M37" i="15" l="1"/>
  <c r="C6" i="15" l="1"/>
  <c r="C10" i="15"/>
  <c r="N24" i="13" l="1"/>
  <c r="M5" i="14" l="1"/>
  <c r="M6" i="14"/>
  <c r="J11" i="14"/>
  <c r="M4" i="14" l="1"/>
  <c r="M19" i="14" l="1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M3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11" i="14"/>
  <c r="N25" i="13" l="1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G24" i="13" l="1"/>
  <c r="Y24" i="13" s="1"/>
  <c r="Z24" i="13" s="1"/>
  <c r="T4" i="13"/>
  <c r="T3" i="13"/>
  <c r="P24" i="13" l="1"/>
  <c r="O24" i="13"/>
  <c r="S24" i="13" l="1"/>
  <c r="Q24" i="13"/>
  <c r="T24" i="13" s="1"/>
  <c r="R24" i="13"/>
  <c r="AA24" i="13" s="1"/>
  <c r="J25" i="13"/>
  <c r="K25" i="13" s="1"/>
  <c r="J26" i="13"/>
  <c r="K26" i="13" s="1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L39" i="13" s="1"/>
  <c r="J40" i="13"/>
  <c r="L40" i="13" s="1"/>
  <c r="J41" i="13"/>
  <c r="L41" i="13" s="1"/>
  <c r="J42" i="13"/>
  <c r="L42" i="13" s="1"/>
  <c r="J43" i="13"/>
  <c r="J44" i="13"/>
  <c r="J45" i="13"/>
  <c r="J46" i="13"/>
  <c r="J47" i="13"/>
  <c r="L47" i="13" s="1"/>
  <c r="J48" i="13"/>
  <c r="L48" i="13" s="1"/>
  <c r="J49" i="13"/>
  <c r="L49" i="13" s="1"/>
  <c r="J50" i="13"/>
  <c r="L50" i="13" s="1"/>
  <c r="J51" i="13"/>
  <c r="J52" i="13"/>
  <c r="J53" i="13"/>
  <c r="J54" i="13"/>
  <c r="J55" i="13"/>
  <c r="L55" i="13" s="1"/>
  <c r="J56" i="13"/>
  <c r="L56" i="13" s="1"/>
  <c r="J57" i="13"/>
  <c r="L57" i="13" s="1"/>
  <c r="J58" i="13"/>
  <c r="L58" i="13" s="1"/>
  <c r="J59" i="13"/>
  <c r="J60" i="13"/>
  <c r="J61" i="13"/>
  <c r="J62" i="13"/>
  <c r="J63" i="13"/>
  <c r="L63" i="13" s="1"/>
  <c r="J64" i="13"/>
  <c r="L64" i="13" s="1"/>
  <c r="J65" i="13"/>
  <c r="L65" i="13" s="1"/>
  <c r="J66" i="13"/>
  <c r="L66" i="13" s="1"/>
  <c r="J67" i="13"/>
  <c r="J68" i="13"/>
  <c r="J69" i="13"/>
  <c r="J70" i="13"/>
  <c r="J71" i="13"/>
  <c r="L71" i="13" s="1"/>
  <c r="J72" i="13"/>
  <c r="L72" i="13" s="1"/>
  <c r="J73" i="13"/>
  <c r="L73" i="13" s="1"/>
  <c r="J74" i="13"/>
  <c r="L74" i="13" s="1"/>
  <c r="J75" i="13"/>
  <c r="J76" i="13"/>
  <c r="J77" i="13"/>
  <c r="J78" i="13"/>
  <c r="J79" i="13"/>
  <c r="L79" i="13" s="1"/>
  <c r="J80" i="13"/>
  <c r="L80" i="13" s="1"/>
  <c r="J81" i="13"/>
  <c r="L81" i="13" s="1"/>
  <c r="J82" i="13"/>
  <c r="L82" i="13" s="1"/>
  <c r="J83" i="13"/>
  <c r="J84" i="13"/>
  <c r="J85" i="13"/>
  <c r="J86" i="13"/>
  <c r="J87" i="13"/>
  <c r="L87" i="13" s="1"/>
  <c r="J88" i="13"/>
  <c r="L88" i="13" s="1"/>
  <c r="J89" i="13"/>
  <c r="L89" i="13" s="1"/>
  <c r="J90" i="13"/>
  <c r="L90" i="13" s="1"/>
  <c r="J91" i="13"/>
  <c r="J92" i="13"/>
  <c r="J93" i="13"/>
  <c r="J94" i="13"/>
  <c r="J95" i="13"/>
  <c r="L95" i="13" s="1"/>
  <c r="J96" i="13"/>
  <c r="L96" i="13" s="1"/>
  <c r="J97" i="13"/>
  <c r="L97" i="13" s="1"/>
  <c r="J24" i="13"/>
  <c r="K28" i="13"/>
  <c r="K29" i="13"/>
  <c r="K33" i="13"/>
  <c r="K34" i="13"/>
  <c r="K40" i="13"/>
  <c r="K41" i="13"/>
  <c r="K58" i="13"/>
  <c r="K66" i="13"/>
  <c r="K72" i="13"/>
  <c r="K73" i="13"/>
  <c r="K90" i="13"/>
  <c r="F41" i="13"/>
  <c r="F25" i="13"/>
  <c r="F42" i="13"/>
  <c r="F43" i="13"/>
  <c r="F24" i="13"/>
  <c r="F44" i="13"/>
  <c r="F45" i="13"/>
  <c r="F26" i="13"/>
  <c r="F46" i="13"/>
  <c r="F27" i="13"/>
  <c r="F47" i="13"/>
  <c r="F48" i="13"/>
  <c r="F30" i="13"/>
  <c r="F33" i="13"/>
  <c r="F28" i="13"/>
  <c r="F49" i="13"/>
  <c r="F50" i="13"/>
  <c r="F29" i="13"/>
  <c r="F51" i="13"/>
  <c r="F52" i="13"/>
  <c r="F53" i="13"/>
  <c r="F54" i="13"/>
  <c r="F55" i="13"/>
  <c r="F56" i="13"/>
  <c r="F34" i="13"/>
  <c r="F57" i="13"/>
  <c r="F58" i="13"/>
  <c r="F59" i="13"/>
  <c r="F60" i="13"/>
  <c r="F35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37" i="13"/>
  <c r="F73" i="13"/>
  <c r="F74" i="13"/>
  <c r="F75" i="13"/>
  <c r="F76" i="13"/>
  <c r="F77" i="13"/>
  <c r="F78" i="13"/>
  <c r="F79" i="13"/>
  <c r="F80" i="13"/>
  <c r="F31" i="13"/>
  <c r="F81" i="13"/>
  <c r="F82" i="13"/>
  <c r="F32" i="13"/>
  <c r="F83" i="13"/>
  <c r="F84" i="13"/>
  <c r="F85" i="13"/>
  <c r="F86" i="13"/>
  <c r="F87" i="13"/>
  <c r="F88" i="13"/>
  <c r="F89" i="13"/>
  <c r="F36" i="13"/>
  <c r="F90" i="13"/>
  <c r="F91" i="13"/>
  <c r="F92" i="13"/>
  <c r="F93" i="13"/>
  <c r="F94" i="13"/>
  <c r="F95" i="13"/>
  <c r="F96" i="13"/>
  <c r="F38" i="13"/>
  <c r="F97" i="13"/>
  <c r="F39" i="13"/>
  <c r="F40" i="13"/>
  <c r="B12" i="13"/>
  <c r="B11" i="13"/>
  <c r="G39" i="13"/>
  <c r="Y39" i="13" s="1"/>
  <c r="Z39" i="13" s="1"/>
  <c r="G38" i="13"/>
  <c r="Y38" i="13" s="1"/>
  <c r="Z38" i="13" s="1"/>
  <c r="G37" i="13"/>
  <c r="Y37" i="13" s="1"/>
  <c r="Z37" i="13" s="1"/>
  <c r="G36" i="13"/>
  <c r="Y36" i="13" s="1"/>
  <c r="Z36" i="13" s="1"/>
  <c r="G34" i="13"/>
  <c r="Y34" i="13" s="1"/>
  <c r="Z34" i="13" s="1"/>
  <c r="G33" i="13"/>
  <c r="Y33" i="13" s="1"/>
  <c r="Z33" i="13" s="1"/>
  <c r="G35" i="13"/>
  <c r="Y35" i="13" s="1"/>
  <c r="Z35" i="13" s="1"/>
  <c r="G31" i="13"/>
  <c r="Y31" i="13" s="1"/>
  <c r="Z31" i="13" s="1"/>
  <c r="G32" i="13"/>
  <c r="Y32" i="13" s="1"/>
  <c r="Z32" i="13" s="1"/>
  <c r="G30" i="13"/>
  <c r="Y30" i="13" s="1"/>
  <c r="Z30" i="13" s="1"/>
  <c r="G29" i="13"/>
  <c r="Y29" i="13" s="1"/>
  <c r="Z29" i="13" s="1"/>
  <c r="G28" i="13"/>
  <c r="Y28" i="13" s="1"/>
  <c r="Z28" i="13" s="1"/>
  <c r="G27" i="13"/>
  <c r="Y27" i="13" s="1"/>
  <c r="Z27" i="13" s="1"/>
  <c r="G25" i="13"/>
  <c r="Y25" i="13" s="1"/>
  <c r="G26" i="13"/>
  <c r="Y26" i="13" s="1"/>
  <c r="Z26" i="13" s="1"/>
  <c r="H24" i="13"/>
  <c r="G47" i="13"/>
  <c r="G80" i="13"/>
  <c r="G52" i="13"/>
  <c r="G49" i="13"/>
  <c r="G57" i="13"/>
  <c r="G76" i="13"/>
  <c r="G85" i="13"/>
  <c r="G56" i="13"/>
  <c r="G45" i="13"/>
  <c r="G84" i="13"/>
  <c r="G59" i="13"/>
  <c r="G54" i="13"/>
  <c r="G77" i="13"/>
  <c r="G71" i="13"/>
  <c r="G96" i="13"/>
  <c r="G89" i="13"/>
  <c r="G88" i="13"/>
  <c r="G73" i="13"/>
  <c r="G94" i="13"/>
  <c r="G60" i="13"/>
  <c r="G69" i="13"/>
  <c r="G61" i="13"/>
  <c r="G78" i="13"/>
  <c r="G74" i="13"/>
  <c r="G68" i="13"/>
  <c r="G79" i="13"/>
  <c r="G44" i="13"/>
  <c r="G81" i="13"/>
  <c r="G91" i="13"/>
  <c r="G58" i="13"/>
  <c r="G51" i="13"/>
  <c r="G55" i="13"/>
  <c r="G87" i="13"/>
  <c r="G82" i="13"/>
  <c r="G62" i="13"/>
  <c r="G43" i="13"/>
  <c r="G67" i="13"/>
  <c r="G50" i="13"/>
  <c r="G97" i="13"/>
  <c r="G70" i="13"/>
  <c r="G83" i="13"/>
  <c r="G53" i="13"/>
  <c r="G72" i="13"/>
  <c r="G46" i="13"/>
  <c r="G65" i="13"/>
  <c r="G42" i="13"/>
  <c r="G48" i="13"/>
  <c r="G90" i="13"/>
  <c r="G95" i="13"/>
  <c r="G66" i="13"/>
  <c r="G86" i="13"/>
  <c r="G63" i="13"/>
  <c r="G64" i="13"/>
  <c r="G75" i="13"/>
  <c r="G93" i="13"/>
  <c r="G41" i="13"/>
  <c r="G92" i="13"/>
  <c r="G40" i="13"/>
  <c r="Y40" i="13" s="1"/>
  <c r="Z40" i="13" s="1"/>
  <c r="K89" i="13" l="1"/>
  <c r="K57" i="13"/>
  <c r="AB24" i="13"/>
  <c r="K88" i="13"/>
  <c r="K56" i="13"/>
  <c r="W24" i="13"/>
  <c r="K82" i="13"/>
  <c r="K50" i="13"/>
  <c r="AC24" i="13"/>
  <c r="K74" i="13"/>
  <c r="K42" i="13"/>
  <c r="H67" i="13"/>
  <c r="H51" i="13"/>
  <c r="H78" i="13"/>
  <c r="H89" i="13"/>
  <c r="H56" i="13"/>
  <c r="H80" i="13"/>
  <c r="H30" i="13"/>
  <c r="P30" i="13"/>
  <c r="O30" i="13"/>
  <c r="H38" i="13"/>
  <c r="P38" i="13"/>
  <c r="O38" i="13"/>
  <c r="K95" i="13"/>
  <c r="K79" i="13"/>
  <c r="K63" i="13"/>
  <c r="K47" i="13"/>
  <c r="K92" i="13"/>
  <c r="L92" i="13"/>
  <c r="K84" i="13"/>
  <c r="L84" i="13"/>
  <c r="K76" i="13"/>
  <c r="L76" i="13"/>
  <c r="K68" i="13"/>
  <c r="L68" i="13"/>
  <c r="K60" i="13"/>
  <c r="L60" i="13"/>
  <c r="K52" i="13"/>
  <c r="L52" i="13"/>
  <c r="K44" i="13"/>
  <c r="L44" i="13"/>
  <c r="K36" i="13"/>
  <c r="L36" i="13"/>
  <c r="L28" i="13"/>
  <c r="H39" i="13"/>
  <c r="O39" i="13"/>
  <c r="P39" i="13"/>
  <c r="K91" i="13"/>
  <c r="L91" i="13"/>
  <c r="K75" i="13"/>
  <c r="L75" i="13"/>
  <c r="K51" i="13"/>
  <c r="L51" i="13"/>
  <c r="K35" i="13"/>
  <c r="L35" i="13"/>
  <c r="H66" i="13"/>
  <c r="H91" i="13"/>
  <c r="H31" i="13"/>
  <c r="P31" i="13"/>
  <c r="O31" i="13"/>
  <c r="L34" i="13"/>
  <c r="L26" i="13"/>
  <c r="H86" i="13"/>
  <c r="H61" i="13"/>
  <c r="K83" i="13"/>
  <c r="L83" i="13"/>
  <c r="K67" i="13"/>
  <c r="L67" i="13"/>
  <c r="K59" i="13"/>
  <c r="L59" i="13"/>
  <c r="K43" i="13"/>
  <c r="L43" i="13"/>
  <c r="H40" i="13"/>
  <c r="P40" i="13"/>
  <c r="O40" i="13"/>
  <c r="H71" i="13"/>
  <c r="H92" i="13"/>
  <c r="H95" i="13"/>
  <c r="H53" i="13"/>
  <c r="H81" i="13"/>
  <c r="H60" i="13"/>
  <c r="H77" i="13"/>
  <c r="H76" i="13"/>
  <c r="H26" i="13"/>
  <c r="O26" i="13"/>
  <c r="P26" i="13"/>
  <c r="H35" i="13"/>
  <c r="O35" i="13"/>
  <c r="P35" i="13"/>
  <c r="L33" i="13"/>
  <c r="L25" i="13"/>
  <c r="H47" i="13"/>
  <c r="K27" i="13"/>
  <c r="L27" i="13"/>
  <c r="H72" i="13"/>
  <c r="H69" i="13"/>
  <c r="H85" i="13"/>
  <c r="H41" i="13"/>
  <c r="H90" i="13"/>
  <c r="H83" i="13"/>
  <c r="H62" i="13"/>
  <c r="H44" i="13"/>
  <c r="H94" i="13"/>
  <c r="H54" i="13"/>
  <c r="H25" i="13"/>
  <c r="O25" i="13"/>
  <c r="P25" i="13"/>
  <c r="H33" i="13"/>
  <c r="O33" i="13"/>
  <c r="P33" i="13"/>
  <c r="K87" i="13"/>
  <c r="K71" i="13"/>
  <c r="K55" i="13"/>
  <c r="K39" i="13"/>
  <c r="L24" i="13"/>
  <c r="K24" i="13"/>
  <c r="K32" i="13"/>
  <c r="L32" i="13"/>
  <c r="U24" i="13"/>
  <c r="X24" i="13" s="1"/>
  <c r="H63" i="13"/>
  <c r="H46" i="13"/>
  <c r="H58" i="13"/>
  <c r="H32" i="13"/>
  <c r="P32" i="13"/>
  <c r="O32" i="13"/>
  <c r="H93" i="13"/>
  <c r="H70" i="13"/>
  <c r="H82" i="13"/>
  <c r="H79" i="13"/>
  <c r="H59" i="13"/>
  <c r="H27" i="13"/>
  <c r="O27" i="13"/>
  <c r="P27" i="13"/>
  <c r="L31" i="13"/>
  <c r="H75" i="13"/>
  <c r="H97" i="13"/>
  <c r="H87" i="13"/>
  <c r="H68" i="13"/>
  <c r="H73" i="13"/>
  <c r="H84" i="13"/>
  <c r="H49" i="13"/>
  <c r="H28" i="13"/>
  <c r="P28" i="13"/>
  <c r="O28" i="13"/>
  <c r="H36" i="13"/>
  <c r="P36" i="13"/>
  <c r="O36" i="13"/>
  <c r="K97" i="13"/>
  <c r="K81" i="13"/>
  <c r="K65" i="13"/>
  <c r="K49" i="13"/>
  <c r="K94" i="13"/>
  <c r="L94" i="13"/>
  <c r="K86" i="13"/>
  <c r="L86" i="13"/>
  <c r="K78" i="13"/>
  <c r="L78" i="13"/>
  <c r="K70" i="13"/>
  <c r="L70" i="13"/>
  <c r="K62" i="13"/>
  <c r="L62" i="13"/>
  <c r="K54" i="13"/>
  <c r="L54" i="13"/>
  <c r="K46" i="13"/>
  <c r="L46" i="13"/>
  <c r="K38" i="13"/>
  <c r="L38" i="13"/>
  <c r="K30" i="13"/>
  <c r="L30" i="13"/>
  <c r="H43" i="13"/>
  <c r="H96" i="13"/>
  <c r="H48" i="13"/>
  <c r="H57" i="13"/>
  <c r="H34" i="13"/>
  <c r="O34" i="13"/>
  <c r="P34" i="13"/>
  <c r="H42" i="13"/>
  <c r="H64" i="13"/>
  <c r="H65" i="13"/>
  <c r="H50" i="13"/>
  <c r="H55" i="13"/>
  <c r="H74" i="13"/>
  <c r="H88" i="13"/>
  <c r="H45" i="13"/>
  <c r="H52" i="13"/>
  <c r="H29" i="13"/>
  <c r="P29" i="13"/>
  <c r="O29" i="13"/>
  <c r="H37" i="13"/>
  <c r="P37" i="13"/>
  <c r="O37" i="13"/>
  <c r="K96" i="13"/>
  <c r="K80" i="13"/>
  <c r="K64" i="13"/>
  <c r="K48" i="13"/>
  <c r="K31" i="13"/>
  <c r="K93" i="13"/>
  <c r="L93" i="13"/>
  <c r="K85" i="13"/>
  <c r="L85" i="13"/>
  <c r="K77" i="13"/>
  <c r="L77" i="13"/>
  <c r="K69" i="13"/>
  <c r="L69" i="13"/>
  <c r="K61" i="13"/>
  <c r="L61" i="13"/>
  <c r="K53" i="13"/>
  <c r="L53" i="13"/>
  <c r="K45" i="13"/>
  <c r="L45" i="13"/>
  <c r="K37" i="13"/>
  <c r="L37" i="13"/>
  <c r="L29" i="13"/>
  <c r="V24" i="13"/>
  <c r="K5" i="13"/>
  <c r="K4" i="13"/>
  <c r="C11" i="15" s="1"/>
  <c r="H16" i="13" l="1"/>
  <c r="K6" i="13" s="1"/>
  <c r="C4" i="15" s="1"/>
  <c r="R32" i="13"/>
  <c r="AA32" i="13" s="1"/>
  <c r="S32" i="13"/>
  <c r="Q32" i="13"/>
  <c r="T32" i="13" s="1"/>
  <c r="S25" i="13"/>
  <c r="Q25" i="13"/>
  <c r="T25" i="13" s="1"/>
  <c r="Z25" i="13" s="1"/>
  <c r="R25" i="13"/>
  <c r="R35" i="13"/>
  <c r="AA35" i="13" s="1"/>
  <c r="Q35" i="13"/>
  <c r="T35" i="13" s="1"/>
  <c r="S35" i="13"/>
  <c r="R40" i="13"/>
  <c r="AA40" i="13" s="1"/>
  <c r="S40" i="13"/>
  <c r="Q40" i="13"/>
  <c r="T40" i="13" s="1"/>
  <c r="R38" i="13"/>
  <c r="AA38" i="13" s="1"/>
  <c r="S38" i="13"/>
  <c r="Q38" i="13"/>
  <c r="T38" i="13" s="1"/>
  <c r="Q37" i="13"/>
  <c r="T37" i="13" s="1"/>
  <c r="R37" i="13"/>
  <c r="S37" i="13"/>
  <c r="R34" i="13"/>
  <c r="AA34" i="13" s="1"/>
  <c r="S34" i="13"/>
  <c r="Q34" i="13"/>
  <c r="T34" i="13" s="1"/>
  <c r="R36" i="13"/>
  <c r="AA36" i="13" s="1"/>
  <c r="S36" i="13"/>
  <c r="AB36" i="13" s="1"/>
  <c r="Q36" i="13"/>
  <c r="T36" i="13" s="1"/>
  <c r="R26" i="13"/>
  <c r="AA26" i="13" s="1"/>
  <c r="Q26" i="13"/>
  <c r="T26" i="13" s="1"/>
  <c r="S26" i="13"/>
  <c r="AB26" i="13" s="1"/>
  <c r="R31" i="13"/>
  <c r="AA31" i="13" s="1"/>
  <c r="S31" i="13"/>
  <c r="AC31" i="13" s="1"/>
  <c r="Q31" i="13"/>
  <c r="T31" i="13" s="1"/>
  <c r="R30" i="13"/>
  <c r="AA30" i="13" s="1"/>
  <c r="S30" i="13"/>
  <c r="Q30" i="13"/>
  <c r="T30" i="13" s="1"/>
  <c r="Q29" i="13"/>
  <c r="T29" i="13" s="1"/>
  <c r="R29" i="13"/>
  <c r="AA29" i="13" s="1"/>
  <c r="S29" i="13"/>
  <c r="AC29" i="13" s="1"/>
  <c r="R28" i="13"/>
  <c r="AA28" i="13" s="1"/>
  <c r="Q28" i="13"/>
  <c r="T28" i="13" s="1"/>
  <c r="S28" i="13"/>
  <c r="AB28" i="13" s="1"/>
  <c r="Q27" i="13"/>
  <c r="T27" i="13" s="1"/>
  <c r="S27" i="13"/>
  <c r="R27" i="13"/>
  <c r="AA27" i="13" s="1"/>
  <c r="Q33" i="13"/>
  <c r="T33" i="13" s="1"/>
  <c r="R33" i="13"/>
  <c r="AA33" i="13" s="1"/>
  <c r="S33" i="13"/>
  <c r="AC33" i="13" s="1"/>
  <c r="K2" i="13"/>
  <c r="C5" i="15" s="1"/>
  <c r="R39" i="13"/>
  <c r="AA39" i="13" s="1"/>
  <c r="Q39" i="13"/>
  <c r="T39" i="13" s="1"/>
  <c r="S39" i="13"/>
  <c r="AB39" i="13" s="1"/>
  <c r="K1" i="13"/>
  <c r="K7" i="13"/>
  <c r="AB40" i="13" l="1"/>
  <c r="AC26" i="13"/>
  <c r="W37" i="13"/>
  <c r="AB37" i="13"/>
  <c r="V32" i="13"/>
  <c r="AB32" i="13"/>
  <c r="AC32" i="13"/>
  <c r="U37" i="13"/>
  <c r="AA37" i="13"/>
  <c r="V35" i="13"/>
  <c r="AB35" i="13"/>
  <c r="AC37" i="13"/>
  <c r="W27" i="13"/>
  <c r="AB27" i="13"/>
  <c r="W30" i="13"/>
  <c r="AB30" i="13"/>
  <c r="AC40" i="13"/>
  <c r="AC39" i="13"/>
  <c r="AC36" i="13"/>
  <c r="AC28" i="13"/>
  <c r="V38" i="13"/>
  <c r="AB38" i="13"/>
  <c r="AC30" i="13"/>
  <c r="AC35" i="13"/>
  <c r="AA25" i="13"/>
  <c r="AC27" i="13"/>
  <c r="AA6" i="13"/>
  <c r="J36" i="15"/>
  <c r="V33" i="13"/>
  <c r="AB33" i="13"/>
  <c r="W31" i="13"/>
  <c r="AB31" i="13"/>
  <c r="V29" i="13"/>
  <c r="AB29" i="13"/>
  <c r="AB34" i="13"/>
  <c r="AB25" i="13"/>
  <c r="AC25" i="13"/>
  <c r="AC38" i="13"/>
  <c r="AC34" i="13"/>
  <c r="V25" i="13"/>
  <c r="V26" i="13"/>
  <c r="W32" i="13"/>
  <c r="V28" i="13"/>
  <c r="V40" i="13"/>
  <c r="U30" i="13"/>
  <c r="U40" i="13"/>
  <c r="U36" i="13"/>
  <c r="U28" i="13"/>
  <c r="V39" i="13"/>
  <c r="W29" i="13"/>
  <c r="U31" i="13"/>
  <c r="V34" i="13"/>
  <c r="W25" i="13"/>
  <c r="AA2" i="13"/>
  <c r="AB4" i="13"/>
  <c r="AB5" i="13" s="1"/>
  <c r="K3" i="13"/>
  <c r="C9" i="15" s="1"/>
  <c r="M30" i="13"/>
  <c r="M38" i="13"/>
  <c r="M46" i="13"/>
  <c r="N46" i="13" s="1"/>
  <c r="Y46" i="13" s="1"/>
  <c r="Z46" i="13" s="1"/>
  <c r="M54" i="13"/>
  <c r="N54" i="13" s="1"/>
  <c r="Y54" i="13" s="1"/>
  <c r="Z54" i="13" s="1"/>
  <c r="M62" i="13"/>
  <c r="N62" i="13" s="1"/>
  <c r="Y62" i="13" s="1"/>
  <c r="Z62" i="13" s="1"/>
  <c r="M70" i="13"/>
  <c r="N70" i="13" s="1"/>
  <c r="Y70" i="13" s="1"/>
  <c r="Z70" i="13" s="1"/>
  <c r="M78" i="13"/>
  <c r="N78" i="13" s="1"/>
  <c r="Y78" i="13" s="1"/>
  <c r="Z78" i="13" s="1"/>
  <c r="M86" i="13"/>
  <c r="N86" i="13" s="1"/>
  <c r="Y86" i="13" s="1"/>
  <c r="Z86" i="13" s="1"/>
  <c r="M94" i="13"/>
  <c r="N94" i="13" s="1"/>
  <c r="Y94" i="13" s="1"/>
  <c r="Z94" i="13" s="1"/>
  <c r="M34" i="13"/>
  <c r="M90" i="13"/>
  <c r="N90" i="13" s="1"/>
  <c r="Y90" i="13" s="1"/>
  <c r="Z90" i="13" s="1"/>
  <c r="M24" i="13"/>
  <c r="M31" i="13"/>
  <c r="M47" i="13"/>
  <c r="N47" i="13" s="1"/>
  <c r="Y47" i="13" s="1"/>
  <c r="Z47" i="13" s="1"/>
  <c r="M63" i="13"/>
  <c r="N63" i="13" s="1"/>
  <c r="Y63" i="13" s="1"/>
  <c r="Z63" i="13" s="1"/>
  <c r="M87" i="13"/>
  <c r="N87" i="13" s="1"/>
  <c r="Y87" i="13" s="1"/>
  <c r="Z87" i="13" s="1"/>
  <c r="M42" i="13"/>
  <c r="N42" i="13" s="1"/>
  <c r="Y42" i="13" s="1"/>
  <c r="Z42" i="13" s="1"/>
  <c r="M32" i="13"/>
  <c r="M40" i="13"/>
  <c r="M48" i="13"/>
  <c r="N48" i="13" s="1"/>
  <c r="Y48" i="13" s="1"/>
  <c r="Z48" i="13" s="1"/>
  <c r="M56" i="13"/>
  <c r="N56" i="13" s="1"/>
  <c r="Y56" i="13" s="1"/>
  <c r="Z56" i="13" s="1"/>
  <c r="M64" i="13"/>
  <c r="N64" i="13" s="1"/>
  <c r="Y64" i="13" s="1"/>
  <c r="Z64" i="13" s="1"/>
  <c r="M72" i="13"/>
  <c r="N72" i="13" s="1"/>
  <c r="Y72" i="13" s="1"/>
  <c r="Z72" i="13" s="1"/>
  <c r="M80" i="13"/>
  <c r="N80" i="13" s="1"/>
  <c r="Y80" i="13" s="1"/>
  <c r="Z80" i="13" s="1"/>
  <c r="M88" i="13"/>
  <c r="N88" i="13" s="1"/>
  <c r="Y88" i="13" s="1"/>
  <c r="Z88" i="13" s="1"/>
  <c r="M96" i="13"/>
  <c r="N96" i="13" s="1"/>
  <c r="Y96" i="13" s="1"/>
  <c r="Z96" i="13" s="1"/>
  <c r="M25" i="13"/>
  <c r="M33" i="13"/>
  <c r="M41" i="13"/>
  <c r="N41" i="13" s="1"/>
  <c r="Y41" i="13" s="1"/>
  <c r="M49" i="13"/>
  <c r="N49" i="13" s="1"/>
  <c r="Y49" i="13" s="1"/>
  <c r="Z49" i="13" s="1"/>
  <c r="M57" i="13"/>
  <c r="N57" i="13" s="1"/>
  <c r="Y57" i="13" s="1"/>
  <c r="Z57" i="13" s="1"/>
  <c r="M65" i="13"/>
  <c r="N65" i="13" s="1"/>
  <c r="Y65" i="13" s="1"/>
  <c r="Z65" i="13" s="1"/>
  <c r="M73" i="13"/>
  <c r="N73" i="13" s="1"/>
  <c r="Y73" i="13" s="1"/>
  <c r="Z73" i="13" s="1"/>
  <c r="M81" i="13"/>
  <c r="N81" i="13" s="1"/>
  <c r="Y81" i="13" s="1"/>
  <c r="Z81" i="13" s="1"/>
  <c r="M89" i="13"/>
  <c r="N89" i="13" s="1"/>
  <c r="Y89" i="13" s="1"/>
  <c r="Z89" i="13" s="1"/>
  <c r="M97" i="13"/>
  <c r="N97" i="13" s="1"/>
  <c r="Y97" i="13" s="1"/>
  <c r="Z97" i="13" s="1"/>
  <c r="M58" i="13"/>
  <c r="N58" i="13" s="1"/>
  <c r="Y58" i="13" s="1"/>
  <c r="Z58" i="13" s="1"/>
  <c r="M74" i="13"/>
  <c r="N74" i="13" s="1"/>
  <c r="Y74" i="13" s="1"/>
  <c r="Z74" i="13" s="1"/>
  <c r="M27" i="13"/>
  <c r="M35" i="13"/>
  <c r="M43" i="13"/>
  <c r="N43" i="13" s="1"/>
  <c r="Y43" i="13" s="1"/>
  <c r="Z43" i="13" s="1"/>
  <c r="M51" i="13"/>
  <c r="N51" i="13" s="1"/>
  <c r="Y51" i="13" s="1"/>
  <c r="Z51" i="13" s="1"/>
  <c r="M59" i="13"/>
  <c r="N59" i="13" s="1"/>
  <c r="Y59" i="13" s="1"/>
  <c r="Z59" i="13" s="1"/>
  <c r="M67" i="13"/>
  <c r="N67" i="13" s="1"/>
  <c r="Y67" i="13" s="1"/>
  <c r="Z67" i="13" s="1"/>
  <c r="M75" i="13"/>
  <c r="N75" i="13" s="1"/>
  <c r="Y75" i="13" s="1"/>
  <c r="Z75" i="13" s="1"/>
  <c r="M83" i="13"/>
  <c r="N83" i="13" s="1"/>
  <c r="Y83" i="13" s="1"/>
  <c r="Z83" i="13" s="1"/>
  <c r="M91" i="13"/>
  <c r="N91" i="13" s="1"/>
  <c r="Y91" i="13" s="1"/>
  <c r="Z91" i="13" s="1"/>
  <c r="M26" i="13"/>
  <c r="M82" i="13"/>
  <c r="N82" i="13" s="1"/>
  <c r="Y82" i="13" s="1"/>
  <c r="Z82" i="13" s="1"/>
  <c r="M28" i="13"/>
  <c r="M36" i="13"/>
  <c r="M44" i="13"/>
  <c r="N44" i="13" s="1"/>
  <c r="Y44" i="13" s="1"/>
  <c r="Z44" i="13" s="1"/>
  <c r="M52" i="13"/>
  <c r="N52" i="13" s="1"/>
  <c r="Y52" i="13" s="1"/>
  <c r="Z52" i="13" s="1"/>
  <c r="M60" i="13"/>
  <c r="N60" i="13" s="1"/>
  <c r="Y60" i="13" s="1"/>
  <c r="Z60" i="13" s="1"/>
  <c r="M68" i="13"/>
  <c r="N68" i="13" s="1"/>
  <c r="Y68" i="13" s="1"/>
  <c r="Z68" i="13" s="1"/>
  <c r="M76" i="13"/>
  <c r="N76" i="13" s="1"/>
  <c r="Y76" i="13" s="1"/>
  <c r="Z76" i="13" s="1"/>
  <c r="M84" i="13"/>
  <c r="N84" i="13" s="1"/>
  <c r="Y84" i="13" s="1"/>
  <c r="Z84" i="13" s="1"/>
  <c r="M92" i="13"/>
  <c r="N92" i="13" s="1"/>
  <c r="Y92" i="13" s="1"/>
  <c r="Z92" i="13" s="1"/>
  <c r="M66" i="13"/>
  <c r="N66" i="13" s="1"/>
  <c r="Y66" i="13" s="1"/>
  <c r="Z66" i="13" s="1"/>
  <c r="M29" i="13"/>
  <c r="M37" i="13"/>
  <c r="M45" i="13"/>
  <c r="N45" i="13" s="1"/>
  <c r="Y45" i="13" s="1"/>
  <c r="Z45" i="13" s="1"/>
  <c r="M53" i="13"/>
  <c r="N53" i="13" s="1"/>
  <c r="Y53" i="13" s="1"/>
  <c r="Z53" i="13" s="1"/>
  <c r="M61" i="13"/>
  <c r="N61" i="13" s="1"/>
  <c r="Y61" i="13" s="1"/>
  <c r="Z61" i="13" s="1"/>
  <c r="M69" i="13"/>
  <c r="N69" i="13" s="1"/>
  <c r="Y69" i="13" s="1"/>
  <c r="Z69" i="13" s="1"/>
  <c r="M77" i="13"/>
  <c r="N77" i="13" s="1"/>
  <c r="Y77" i="13" s="1"/>
  <c r="Z77" i="13" s="1"/>
  <c r="M85" i="13"/>
  <c r="N85" i="13" s="1"/>
  <c r="Y85" i="13" s="1"/>
  <c r="Z85" i="13" s="1"/>
  <c r="M93" i="13"/>
  <c r="N93" i="13" s="1"/>
  <c r="Y93" i="13" s="1"/>
  <c r="Z93" i="13" s="1"/>
  <c r="M39" i="13"/>
  <c r="M55" i="13"/>
  <c r="N55" i="13" s="1"/>
  <c r="Y55" i="13" s="1"/>
  <c r="Z55" i="13" s="1"/>
  <c r="M71" i="13"/>
  <c r="N71" i="13" s="1"/>
  <c r="Y71" i="13" s="1"/>
  <c r="Z71" i="13" s="1"/>
  <c r="M79" i="13"/>
  <c r="N79" i="13" s="1"/>
  <c r="Y79" i="13" s="1"/>
  <c r="Z79" i="13" s="1"/>
  <c r="M95" i="13"/>
  <c r="N95" i="13" s="1"/>
  <c r="Y95" i="13" s="1"/>
  <c r="Z95" i="13" s="1"/>
  <c r="M50" i="13"/>
  <c r="N50" i="13" s="1"/>
  <c r="Y50" i="13" s="1"/>
  <c r="Z50" i="13" s="1"/>
  <c r="V36" i="13"/>
  <c r="W40" i="13"/>
  <c r="W36" i="13"/>
  <c r="U33" i="13"/>
  <c r="X33" i="13" s="1"/>
  <c r="V30" i="13"/>
  <c r="W26" i="13"/>
  <c r="W34" i="13"/>
  <c r="W33" i="13"/>
  <c r="W28" i="13"/>
  <c r="U38" i="13"/>
  <c r="X38" i="13" s="1"/>
  <c r="U35" i="13"/>
  <c r="W39" i="13"/>
  <c r="U27" i="13"/>
  <c r="U26" i="13"/>
  <c r="X26" i="13" s="1"/>
  <c r="U34" i="13"/>
  <c r="W38" i="13"/>
  <c r="W35" i="13"/>
  <c r="U32" i="13"/>
  <c r="X32" i="13" s="1"/>
  <c r="U39" i="13"/>
  <c r="V27" i="13"/>
  <c r="U29" i="13"/>
  <c r="X29" i="13" s="1"/>
  <c r="V31" i="13"/>
  <c r="V37" i="13"/>
  <c r="X37" i="13" s="1"/>
  <c r="U25" i="13"/>
  <c r="C15" i="15" l="1"/>
  <c r="D15" i="15" s="1"/>
  <c r="L37" i="15"/>
  <c r="C13" i="15"/>
  <c r="D13" i="15" s="1"/>
  <c r="C14" i="15"/>
  <c r="D14" i="15" s="1"/>
  <c r="W37" i="15"/>
  <c r="X37" i="15" s="1"/>
  <c r="W36" i="15"/>
  <c r="X36" i="15" s="1"/>
  <c r="W38" i="15"/>
  <c r="X38" i="15" s="1"/>
  <c r="W39" i="15"/>
  <c r="X39" i="15" s="1"/>
  <c r="X28" i="13"/>
  <c r="X40" i="13"/>
  <c r="X35" i="13"/>
  <c r="X30" i="13"/>
  <c r="X31" i="13"/>
  <c r="X34" i="13"/>
  <c r="X27" i="13"/>
  <c r="X39" i="13"/>
  <c r="X25" i="13"/>
  <c r="X36" i="13"/>
  <c r="P85" i="13"/>
  <c r="O85" i="13"/>
  <c r="O79" i="13"/>
  <c r="P79" i="13"/>
  <c r="P69" i="13"/>
  <c r="O69" i="13"/>
  <c r="P92" i="13"/>
  <c r="O92" i="13"/>
  <c r="O59" i="13"/>
  <c r="P59" i="13"/>
  <c r="O89" i="13"/>
  <c r="P89" i="13"/>
  <c r="P48" i="13"/>
  <c r="O48" i="13"/>
  <c r="P62" i="13"/>
  <c r="O62" i="13"/>
  <c r="P71" i="13"/>
  <c r="O71" i="13"/>
  <c r="P61" i="13"/>
  <c r="O61" i="13"/>
  <c r="P84" i="13"/>
  <c r="O84" i="13"/>
  <c r="O82" i="13"/>
  <c r="P82" i="13"/>
  <c r="O51" i="13"/>
  <c r="P51" i="13"/>
  <c r="P81" i="13"/>
  <c r="O81" i="13"/>
  <c r="O90" i="13"/>
  <c r="P90" i="13"/>
  <c r="P54" i="13"/>
  <c r="O54" i="13"/>
  <c r="P53" i="13"/>
  <c r="O53" i="13"/>
  <c r="O43" i="13"/>
  <c r="P43" i="13"/>
  <c r="O73" i="13"/>
  <c r="P73" i="13"/>
  <c r="P96" i="13"/>
  <c r="O96" i="13"/>
  <c r="P46" i="13"/>
  <c r="O46" i="13"/>
  <c r="P76" i="13"/>
  <c r="O76" i="13"/>
  <c r="P45" i="13"/>
  <c r="O45" i="13"/>
  <c r="P68" i="13"/>
  <c r="O68" i="13"/>
  <c r="O65" i="13"/>
  <c r="P65" i="13"/>
  <c r="P88" i="13"/>
  <c r="O88" i="13"/>
  <c r="P42" i="13"/>
  <c r="O42" i="13"/>
  <c r="P55" i="13"/>
  <c r="O55" i="13"/>
  <c r="P60" i="13"/>
  <c r="O60" i="13"/>
  <c r="O91" i="13"/>
  <c r="P91" i="13"/>
  <c r="O57" i="13"/>
  <c r="P57" i="13"/>
  <c r="P80" i="13"/>
  <c r="O80" i="13"/>
  <c r="P87" i="13"/>
  <c r="O87" i="13"/>
  <c r="P94" i="13"/>
  <c r="O94" i="13"/>
  <c r="O50" i="13"/>
  <c r="P50" i="13"/>
  <c r="P93" i="13"/>
  <c r="O93" i="13"/>
  <c r="O52" i="13"/>
  <c r="P52" i="13"/>
  <c r="P83" i="13"/>
  <c r="O83" i="13"/>
  <c r="O74" i="13"/>
  <c r="P74" i="13"/>
  <c r="P49" i="13"/>
  <c r="O49" i="13"/>
  <c r="P72" i="13"/>
  <c r="O72" i="13"/>
  <c r="O63" i="13"/>
  <c r="P63" i="13"/>
  <c r="P86" i="13"/>
  <c r="O86" i="13"/>
  <c r="O66" i="13"/>
  <c r="P66" i="13"/>
  <c r="O75" i="13"/>
  <c r="P75" i="13"/>
  <c r="O58" i="13"/>
  <c r="P58" i="13"/>
  <c r="O41" i="13"/>
  <c r="P41" i="13"/>
  <c r="P64" i="13"/>
  <c r="O64" i="13"/>
  <c r="P47" i="13"/>
  <c r="O47" i="13"/>
  <c r="O78" i="13"/>
  <c r="P78" i="13"/>
  <c r="P44" i="13"/>
  <c r="O44" i="13"/>
  <c r="P95" i="13"/>
  <c r="O95" i="13"/>
  <c r="P77" i="13"/>
  <c r="O77" i="13"/>
  <c r="O67" i="13"/>
  <c r="P67" i="13"/>
  <c r="O97" i="13"/>
  <c r="P97" i="13"/>
  <c r="P56" i="13"/>
  <c r="O56" i="13"/>
  <c r="P70" i="13"/>
  <c r="O70" i="13"/>
  <c r="D23" i="15" l="1"/>
  <c r="D27" i="15"/>
  <c r="K37" i="15" s="1"/>
  <c r="D19" i="15"/>
  <c r="D31" i="15"/>
  <c r="AC66" i="13"/>
  <c r="X40" i="15"/>
  <c r="X41" i="15" s="1"/>
  <c r="X42" i="15" s="1"/>
  <c r="Q65" i="13"/>
  <c r="T65" i="13" s="1"/>
  <c r="R65" i="13"/>
  <c r="S65" i="13"/>
  <c r="AC65" i="13" s="1"/>
  <c r="R59" i="13"/>
  <c r="AA59" i="13" s="1"/>
  <c r="Q59" i="13"/>
  <c r="T59" i="13" s="1"/>
  <c r="S59" i="13"/>
  <c r="AB59" i="13" s="1"/>
  <c r="R66" i="13"/>
  <c r="AA66" i="13" s="1"/>
  <c r="S66" i="13"/>
  <c r="Q66" i="13"/>
  <c r="T66" i="13" s="1"/>
  <c r="R82" i="13"/>
  <c r="AA82" i="13" s="1"/>
  <c r="S82" i="13"/>
  <c r="Q82" i="13"/>
  <c r="T82" i="13" s="1"/>
  <c r="R56" i="13"/>
  <c r="AA56" i="13" s="1"/>
  <c r="S56" i="13"/>
  <c r="Q56" i="13"/>
  <c r="T56" i="13" s="1"/>
  <c r="R95" i="13"/>
  <c r="AA95" i="13" s="1"/>
  <c r="S95" i="13"/>
  <c r="AB95" i="13" s="1"/>
  <c r="Q95" i="13"/>
  <c r="T95" i="13" s="1"/>
  <c r="R64" i="13"/>
  <c r="AA64" i="13" s="1"/>
  <c r="S64" i="13"/>
  <c r="AB64" i="13" s="1"/>
  <c r="Q64" i="13"/>
  <c r="T64" i="13" s="1"/>
  <c r="Q49" i="13"/>
  <c r="T49" i="13" s="1"/>
  <c r="R49" i="13"/>
  <c r="AA49" i="13" s="1"/>
  <c r="S49" i="13"/>
  <c r="Q93" i="13"/>
  <c r="T93" i="13" s="1"/>
  <c r="S93" i="13"/>
  <c r="R93" i="13"/>
  <c r="R80" i="13"/>
  <c r="AA80" i="13" s="1"/>
  <c r="S80" i="13"/>
  <c r="AC80" i="13" s="1"/>
  <c r="Q80" i="13"/>
  <c r="T80" i="13" s="1"/>
  <c r="R55" i="13"/>
  <c r="AA55" i="13" s="1"/>
  <c r="S55" i="13"/>
  <c r="AB55" i="13" s="1"/>
  <c r="Q55" i="13"/>
  <c r="T55" i="13" s="1"/>
  <c r="R68" i="13"/>
  <c r="AA68" i="13" s="1"/>
  <c r="S68" i="13"/>
  <c r="Q68" i="13"/>
  <c r="T68" i="13" s="1"/>
  <c r="R96" i="13"/>
  <c r="AA96" i="13" s="1"/>
  <c r="S96" i="13"/>
  <c r="AB96" i="13" s="1"/>
  <c r="Q96" i="13"/>
  <c r="T96" i="13" s="1"/>
  <c r="R54" i="13"/>
  <c r="AA54" i="13" s="1"/>
  <c r="S54" i="13"/>
  <c r="AB54" i="13" s="1"/>
  <c r="Q54" i="13"/>
  <c r="T54" i="13" s="1"/>
  <c r="R62" i="13"/>
  <c r="AA62" i="13" s="1"/>
  <c r="S62" i="13"/>
  <c r="AB62" i="13" s="1"/>
  <c r="Q62" i="13"/>
  <c r="T62" i="13" s="1"/>
  <c r="R92" i="13"/>
  <c r="AA92" i="13" s="1"/>
  <c r="S92" i="13"/>
  <c r="Q92" i="13"/>
  <c r="T92" i="13" s="1"/>
  <c r="Q41" i="13"/>
  <c r="T41" i="13" s="1"/>
  <c r="Z41" i="13" s="1"/>
  <c r="R41" i="13"/>
  <c r="S41" i="13"/>
  <c r="AC41" i="13" s="1"/>
  <c r="AA9" i="13"/>
  <c r="R50" i="13"/>
  <c r="AA50" i="13" s="1"/>
  <c r="S50" i="13"/>
  <c r="AB50" i="13" s="1"/>
  <c r="Q50" i="13"/>
  <c r="T50" i="13" s="1"/>
  <c r="Q73" i="13"/>
  <c r="T73" i="13" s="1"/>
  <c r="R73" i="13"/>
  <c r="AA73" i="13" s="1"/>
  <c r="S73" i="13"/>
  <c r="R90" i="13"/>
  <c r="AA90" i="13" s="1"/>
  <c r="S90" i="13"/>
  <c r="AB90" i="13" s="1"/>
  <c r="Q90" i="13"/>
  <c r="T90" i="13" s="1"/>
  <c r="R44" i="13"/>
  <c r="AA44" i="13" s="1"/>
  <c r="S44" i="13"/>
  <c r="Q44" i="13"/>
  <c r="T44" i="13" s="1"/>
  <c r="AA8" i="13"/>
  <c r="R86" i="13"/>
  <c r="AA86" i="13" s="1"/>
  <c r="S86" i="13"/>
  <c r="Q86" i="13"/>
  <c r="T86" i="13" s="1"/>
  <c r="R42" i="13"/>
  <c r="AA42" i="13" s="1"/>
  <c r="S42" i="13"/>
  <c r="AB42" i="13" s="1"/>
  <c r="Q42" i="13"/>
  <c r="T42" i="13" s="1"/>
  <c r="Q45" i="13"/>
  <c r="T45" i="13" s="1"/>
  <c r="R45" i="13"/>
  <c r="AA45" i="13" s="1"/>
  <c r="S45" i="13"/>
  <c r="R84" i="13"/>
  <c r="AA84" i="13" s="1"/>
  <c r="S84" i="13"/>
  <c r="AB84" i="13" s="1"/>
  <c r="Q84" i="13"/>
  <c r="T84" i="13" s="1"/>
  <c r="R48" i="13"/>
  <c r="AA48" i="13" s="1"/>
  <c r="S48" i="13"/>
  <c r="AB48" i="13" s="1"/>
  <c r="Q48" i="13"/>
  <c r="T48" i="13" s="1"/>
  <c r="Q69" i="13"/>
  <c r="T69" i="13" s="1"/>
  <c r="R69" i="13"/>
  <c r="AA69" i="13" s="1"/>
  <c r="S69" i="13"/>
  <c r="AC69" i="13" s="1"/>
  <c r="Q97" i="13"/>
  <c r="T97" i="13" s="1"/>
  <c r="R97" i="13"/>
  <c r="AA97" i="13" s="1"/>
  <c r="S97" i="13"/>
  <c r="Q57" i="13"/>
  <c r="T57" i="13" s="1"/>
  <c r="R57" i="13"/>
  <c r="S57" i="13"/>
  <c r="R67" i="13"/>
  <c r="AA67" i="13" s="1"/>
  <c r="Q67" i="13"/>
  <c r="T67" i="13" s="1"/>
  <c r="S67" i="13"/>
  <c r="AB67" i="13" s="1"/>
  <c r="R78" i="13"/>
  <c r="AA78" i="13" s="1"/>
  <c r="S78" i="13"/>
  <c r="AC78" i="13" s="1"/>
  <c r="Q78" i="13"/>
  <c r="T78" i="13" s="1"/>
  <c r="R58" i="13"/>
  <c r="AA58" i="13" s="1"/>
  <c r="S58" i="13"/>
  <c r="Q58" i="13"/>
  <c r="T58" i="13" s="1"/>
  <c r="R63" i="13"/>
  <c r="AA63" i="13" s="1"/>
  <c r="S63" i="13"/>
  <c r="Q63" i="13"/>
  <c r="T63" i="13" s="1"/>
  <c r="R91" i="13"/>
  <c r="AA91" i="13" s="1"/>
  <c r="Q91" i="13"/>
  <c r="T91" i="13" s="1"/>
  <c r="S91" i="13"/>
  <c r="AB91" i="13" s="1"/>
  <c r="R43" i="13"/>
  <c r="Q43" i="13"/>
  <c r="T43" i="13" s="1"/>
  <c r="S43" i="13"/>
  <c r="AB43" i="13" s="1"/>
  <c r="Q89" i="13"/>
  <c r="T89" i="13" s="1"/>
  <c r="R89" i="13"/>
  <c r="AA89" i="13" s="1"/>
  <c r="S89" i="13"/>
  <c r="R79" i="13"/>
  <c r="AA79" i="13" s="1"/>
  <c r="Q79" i="13"/>
  <c r="T79" i="13" s="1"/>
  <c r="S79" i="13"/>
  <c r="AC79" i="13" s="1"/>
  <c r="R74" i="13"/>
  <c r="AA74" i="13" s="1"/>
  <c r="S74" i="13"/>
  <c r="AC74" i="13" s="1"/>
  <c r="Q74" i="13"/>
  <c r="T74" i="13" s="1"/>
  <c r="R83" i="13"/>
  <c r="AA83" i="13" s="1"/>
  <c r="Q83" i="13"/>
  <c r="T83" i="13" s="1"/>
  <c r="S83" i="13"/>
  <c r="R94" i="13"/>
  <c r="AA94" i="13" s="1"/>
  <c r="S94" i="13"/>
  <c r="AC94" i="13" s="1"/>
  <c r="Q94" i="13"/>
  <c r="T94" i="13" s="1"/>
  <c r="R88" i="13"/>
  <c r="AA88" i="13" s="1"/>
  <c r="S88" i="13"/>
  <c r="Q88" i="13"/>
  <c r="T88" i="13" s="1"/>
  <c r="R76" i="13"/>
  <c r="AA76" i="13" s="1"/>
  <c r="S76" i="13"/>
  <c r="Q76" i="13"/>
  <c r="T76" i="13" s="1"/>
  <c r="Q81" i="13"/>
  <c r="T81" i="13" s="1"/>
  <c r="R81" i="13"/>
  <c r="AA81" i="13" s="1"/>
  <c r="S81" i="13"/>
  <c r="AC81" i="13" s="1"/>
  <c r="Q61" i="13"/>
  <c r="T61" i="13" s="1"/>
  <c r="S61" i="13"/>
  <c r="AC61" i="13" s="1"/>
  <c r="R61" i="13"/>
  <c r="R75" i="13"/>
  <c r="Q75" i="13"/>
  <c r="T75" i="13" s="1"/>
  <c r="S75" i="13"/>
  <c r="R52" i="13"/>
  <c r="AA52" i="13" s="1"/>
  <c r="S52" i="13"/>
  <c r="Q52" i="13"/>
  <c r="T52" i="13" s="1"/>
  <c r="R51" i="13"/>
  <c r="AA51" i="13" s="1"/>
  <c r="Q51" i="13"/>
  <c r="T51" i="13" s="1"/>
  <c r="S51" i="13"/>
  <c r="AB51" i="13" s="1"/>
  <c r="R70" i="13"/>
  <c r="AA70" i="13" s="1"/>
  <c r="S70" i="13"/>
  <c r="Q70" i="13"/>
  <c r="T70" i="13" s="1"/>
  <c r="Q77" i="13"/>
  <c r="T77" i="13" s="1"/>
  <c r="R77" i="13"/>
  <c r="AA77" i="13" s="1"/>
  <c r="S77" i="13"/>
  <c r="R47" i="13"/>
  <c r="AA47" i="13" s="1"/>
  <c r="Q47" i="13"/>
  <c r="T47" i="13" s="1"/>
  <c r="S47" i="13"/>
  <c r="AB47" i="13" s="1"/>
  <c r="R72" i="13"/>
  <c r="AA72" i="13" s="1"/>
  <c r="S72" i="13"/>
  <c r="AB72" i="13" s="1"/>
  <c r="Q72" i="13"/>
  <c r="T72" i="13" s="1"/>
  <c r="R87" i="13"/>
  <c r="AA87" i="13" s="1"/>
  <c r="Q87" i="13"/>
  <c r="T87" i="13" s="1"/>
  <c r="S87" i="13"/>
  <c r="AB87" i="13" s="1"/>
  <c r="R60" i="13"/>
  <c r="AA60" i="13" s="1"/>
  <c r="S60" i="13"/>
  <c r="Q60" i="13"/>
  <c r="T60" i="13" s="1"/>
  <c r="R46" i="13"/>
  <c r="AA46" i="13" s="1"/>
  <c r="S46" i="13"/>
  <c r="AC46" i="13" s="1"/>
  <c r="Q46" i="13"/>
  <c r="T46" i="13" s="1"/>
  <c r="Q53" i="13"/>
  <c r="T53" i="13" s="1"/>
  <c r="R53" i="13"/>
  <c r="AA53" i="13" s="1"/>
  <c r="S53" i="13"/>
  <c r="AC53" i="13" s="1"/>
  <c r="R71" i="13"/>
  <c r="AA71" i="13" s="1"/>
  <c r="S71" i="13"/>
  <c r="AC71" i="13" s="1"/>
  <c r="Q71" i="13"/>
  <c r="T71" i="13" s="1"/>
  <c r="Q85" i="13"/>
  <c r="T85" i="13" s="1"/>
  <c r="R85" i="13"/>
  <c r="AA85" i="13" s="1"/>
  <c r="S85" i="13"/>
  <c r="AC85" i="13" s="1"/>
  <c r="AB60" i="13" l="1"/>
  <c r="AB58" i="13"/>
  <c r="V57" i="13"/>
  <c r="AB57" i="13"/>
  <c r="V45" i="13"/>
  <c r="AB45" i="13"/>
  <c r="W73" i="13"/>
  <c r="AB73" i="13"/>
  <c r="U41" i="13"/>
  <c r="W93" i="13"/>
  <c r="AB93" i="13"/>
  <c r="U65" i="13"/>
  <c r="AA65" i="13"/>
  <c r="AC67" i="13"/>
  <c r="AC57" i="13"/>
  <c r="AC55" i="13"/>
  <c r="V83" i="13"/>
  <c r="AB83" i="13"/>
  <c r="U57" i="13"/>
  <c r="AA57" i="13"/>
  <c r="AA41" i="13"/>
  <c r="AM8" i="13"/>
  <c r="AC48" i="13"/>
  <c r="AC50" i="13"/>
  <c r="O37" i="15"/>
  <c r="N37" i="15"/>
  <c r="Q19" i="15" s="1"/>
  <c r="P37" i="15"/>
  <c r="W76" i="13"/>
  <c r="AB76" i="13"/>
  <c r="U61" i="13"/>
  <c r="AA61" i="13"/>
  <c r="V89" i="13"/>
  <c r="AB89" i="13"/>
  <c r="W49" i="13"/>
  <c r="AB49" i="13"/>
  <c r="V66" i="13"/>
  <c r="AB66" i="13"/>
  <c r="AC89" i="13"/>
  <c r="AC84" i="13"/>
  <c r="AC93" i="13"/>
  <c r="AM13" i="13" s="1"/>
  <c r="U75" i="13"/>
  <c r="AA75" i="13"/>
  <c r="AB85" i="13"/>
  <c r="AB77" i="13"/>
  <c r="W61" i="13"/>
  <c r="AB61" i="13"/>
  <c r="AB78" i="13"/>
  <c r="AB97" i="13"/>
  <c r="W44" i="13"/>
  <c r="AB44" i="13"/>
  <c r="AB92" i="13"/>
  <c r="AC59" i="13"/>
  <c r="AC43" i="13"/>
  <c r="AC45" i="13"/>
  <c r="AC92" i="13"/>
  <c r="AC49" i="13"/>
  <c r="V53" i="13"/>
  <c r="AB53" i="13"/>
  <c r="V88" i="13"/>
  <c r="AB88" i="13"/>
  <c r="W63" i="13"/>
  <c r="AB63" i="13"/>
  <c r="V56" i="13"/>
  <c r="AB56" i="13"/>
  <c r="AC51" i="13"/>
  <c r="AC76" i="13"/>
  <c r="AC91" i="13"/>
  <c r="AC42" i="13"/>
  <c r="AC97" i="13"/>
  <c r="AC62" i="13"/>
  <c r="AC64" i="13"/>
  <c r="AC60" i="13"/>
  <c r="W52" i="13"/>
  <c r="AB52" i="13"/>
  <c r="V81" i="13"/>
  <c r="AB81" i="13"/>
  <c r="W74" i="13"/>
  <c r="AB74" i="13"/>
  <c r="V80" i="13"/>
  <c r="AB80" i="13"/>
  <c r="AC88" i="13"/>
  <c r="AC63" i="13"/>
  <c r="AC44" i="13"/>
  <c r="AC95" i="13"/>
  <c r="AC54" i="13"/>
  <c r="AC56" i="13"/>
  <c r="AC87" i="13"/>
  <c r="W46" i="13"/>
  <c r="AB46" i="13"/>
  <c r="W58" i="13"/>
  <c r="V69" i="13"/>
  <c r="AB69" i="13"/>
  <c r="AC52" i="13"/>
  <c r="AC58" i="13"/>
  <c r="AC90" i="13"/>
  <c r="AC77" i="13"/>
  <c r="AC96" i="13"/>
  <c r="AC47" i="13"/>
  <c r="AC72" i="13"/>
  <c r="W71" i="13"/>
  <c r="AB71" i="13"/>
  <c r="W70" i="13"/>
  <c r="AB70" i="13"/>
  <c r="AB75" i="13"/>
  <c r="W94" i="13"/>
  <c r="AB94" i="13"/>
  <c r="V79" i="13"/>
  <c r="AB79" i="13"/>
  <c r="U43" i="13"/>
  <c r="AA43" i="13"/>
  <c r="W84" i="13"/>
  <c r="W86" i="13"/>
  <c r="AB86" i="13"/>
  <c r="W41" i="13"/>
  <c r="AB41" i="13"/>
  <c r="AB68" i="13"/>
  <c r="U93" i="13"/>
  <c r="AA93" i="13"/>
  <c r="V82" i="13"/>
  <c r="AB82" i="13"/>
  <c r="V65" i="13"/>
  <c r="AB65" i="13"/>
  <c r="AC75" i="13"/>
  <c r="AC83" i="13"/>
  <c r="AC86" i="13"/>
  <c r="AC73" i="13"/>
  <c r="AC68" i="13"/>
  <c r="AC82" i="13"/>
  <c r="AC70" i="13"/>
  <c r="V60" i="13"/>
  <c r="V47" i="13"/>
  <c r="V91" i="13"/>
  <c r="U69" i="13"/>
  <c r="V96" i="13"/>
  <c r="U49" i="13"/>
  <c r="U47" i="13"/>
  <c r="V77" i="13"/>
  <c r="U83" i="13"/>
  <c r="U62" i="13"/>
  <c r="U59" i="13"/>
  <c r="U68" i="13"/>
  <c r="V43" i="13"/>
  <c r="V72" i="13"/>
  <c r="U74" i="13"/>
  <c r="U54" i="13"/>
  <c r="V95" i="13"/>
  <c r="U87" i="13"/>
  <c r="U77" i="13"/>
  <c r="U51" i="13"/>
  <c r="V67" i="13"/>
  <c r="V42" i="13"/>
  <c r="V44" i="13"/>
  <c r="V64" i="13"/>
  <c r="U55" i="13"/>
  <c r="U42" i="13"/>
  <c r="U67" i="13"/>
  <c r="U91" i="13"/>
  <c r="U58" i="13"/>
  <c r="X58" i="13" s="1"/>
  <c r="U50" i="13"/>
  <c r="U92" i="13"/>
  <c r="W95" i="13"/>
  <c r="W65" i="13"/>
  <c r="X65" i="13" s="1"/>
  <c r="U44" i="13"/>
  <c r="V85" i="13"/>
  <c r="U53" i="13"/>
  <c r="V75" i="13"/>
  <c r="U81" i="13"/>
  <c r="U90" i="13"/>
  <c r="AH8" i="13"/>
  <c r="U85" i="13"/>
  <c r="V87" i="13"/>
  <c r="V51" i="13"/>
  <c r="V63" i="13"/>
  <c r="V97" i="13"/>
  <c r="W42" i="13"/>
  <c r="V41" i="13"/>
  <c r="X41" i="13" s="1"/>
  <c r="U71" i="13"/>
  <c r="U46" i="13"/>
  <c r="W87" i="13"/>
  <c r="U70" i="13"/>
  <c r="U52" i="13"/>
  <c r="U76" i="13"/>
  <c r="U94" i="13"/>
  <c r="V74" i="13"/>
  <c r="W89" i="13"/>
  <c r="V58" i="13"/>
  <c r="W97" i="13"/>
  <c r="V48" i="13"/>
  <c r="W45" i="13"/>
  <c r="U86" i="13"/>
  <c r="W80" i="13"/>
  <c r="V49" i="13"/>
  <c r="W82" i="13"/>
  <c r="V59" i="13"/>
  <c r="W47" i="13"/>
  <c r="W67" i="13"/>
  <c r="U48" i="13"/>
  <c r="V90" i="13"/>
  <c r="V50" i="13"/>
  <c r="V92" i="13"/>
  <c r="V54" i="13"/>
  <c r="V68" i="13"/>
  <c r="W72" i="13"/>
  <c r="W88" i="13"/>
  <c r="V78" i="13"/>
  <c r="V84" i="13"/>
  <c r="X84" i="13" s="1"/>
  <c r="V73" i="13"/>
  <c r="W92" i="13"/>
  <c r="W54" i="13"/>
  <c r="W68" i="13"/>
  <c r="U80" i="13"/>
  <c r="X80" i="13" s="1"/>
  <c r="U95" i="13"/>
  <c r="U82" i="13"/>
  <c r="W59" i="13"/>
  <c r="U60" i="13"/>
  <c r="W81" i="13"/>
  <c r="W79" i="13"/>
  <c r="U78" i="13"/>
  <c r="W57" i="13"/>
  <c r="X57" i="13" s="1"/>
  <c r="W69" i="13"/>
  <c r="X69" i="13" s="1"/>
  <c r="U84" i="13"/>
  <c r="U73" i="13"/>
  <c r="X73" i="13" s="1"/>
  <c r="W66" i="13"/>
  <c r="W85" i="13"/>
  <c r="W53" i="13"/>
  <c r="W77" i="13"/>
  <c r="W60" i="13"/>
  <c r="U72" i="13"/>
  <c r="W51" i="13"/>
  <c r="W75" i="13"/>
  <c r="U88" i="13"/>
  <c r="W83" i="13"/>
  <c r="X83" i="13" s="1"/>
  <c r="U79" i="13"/>
  <c r="X79" i="13" s="1"/>
  <c r="W43" i="13"/>
  <c r="U63" i="13"/>
  <c r="X63" i="13" s="1"/>
  <c r="W78" i="13"/>
  <c r="V62" i="13"/>
  <c r="W96" i="13"/>
  <c r="V55" i="13"/>
  <c r="V93" i="13"/>
  <c r="X93" i="13" s="1"/>
  <c r="W64" i="13"/>
  <c r="W56" i="13"/>
  <c r="V71" i="13"/>
  <c r="V46" i="13"/>
  <c r="V70" i="13"/>
  <c r="V52" i="13"/>
  <c r="X52" i="13" s="1"/>
  <c r="V61" i="13"/>
  <c r="X61" i="13" s="1"/>
  <c r="V76" i="13"/>
  <c r="V94" i="13"/>
  <c r="X94" i="13" s="1"/>
  <c r="U89" i="13"/>
  <c r="X89" i="13" s="1"/>
  <c r="W91" i="13"/>
  <c r="X91" i="13" s="1"/>
  <c r="U97" i="13"/>
  <c r="X97" i="13" s="1"/>
  <c r="W48" i="13"/>
  <c r="U45" i="13"/>
  <c r="X45" i="13" s="1"/>
  <c r="V86" i="13"/>
  <c r="W90" i="13"/>
  <c r="W50" i="13"/>
  <c r="W62" i="13"/>
  <c r="U96" i="13"/>
  <c r="W55" i="13"/>
  <c r="U64" i="13"/>
  <c r="X64" i="13" s="1"/>
  <c r="U56" i="13"/>
  <c r="X56" i="13" s="1"/>
  <c r="U66" i="13"/>
  <c r="X66" i="13" s="1"/>
  <c r="X76" i="13" l="1"/>
  <c r="X75" i="13"/>
  <c r="AM11" i="13"/>
  <c r="X67" i="13"/>
  <c r="X47" i="13"/>
  <c r="X42" i="13"/>
  <c r="AM12" i="13"/>
  <c r="Q22" i="15"/>
  <c r="Q21" i="15"/>
  <c r="X43" i="13"/>
  <c r="AH13" i="13"/>
  <c r="Q20" i="15"/>
  <c r="X90" i="13"/>
  <c r="X92" i="13"/>
  <c r="X74" i="13"/>
  <c r="X48" i="13"/>
  <c r="X51" i="13"/>
  <c r="X72" i="13"/>
  <c r="X44" i="13"/>
  <c r="X87" i="13"/>
  <c r="X96" i="13"/>
  <c r="X62" i="13"/>
  <c r="X77" i="13"/>
  <c r="X78" i="13"/>
  <c r="X68" i="13"/>
  <c r="X59" i="13"/>
  <c r="X46" i="13"/>
  <c r="X85" i="13"/>
  <c r="X55" i="13"/>
  <c r="X54" i="13"/>
  <c r="X82" i="13"/>
  <c r="X71" i="13"/>
  <c r="X49" i="13"/>
  <c r="X88" i="13"/>
  <c r="X60" i="13"/>
  <c r="X81" i="13"/>
  <c r="X50" i="13"/>
  <c r="AH11" i="13"/>
  <c r="AH12" i="13"/>
  <c r="X53" i="13"/>
  <c r="X86" i="13"/>
  <c r="X95" i="13"/>
  <c r="X70" i="13"/>
</calcChain>
</file>

<file path=xl/sharedStrings.xml><?xml version="1.0" encoding="utf-8"?>
<sst xmlns="http://schemas.openxmlformats.org/spreadsheetml/2006/main" count="326" uniqueCount="240">
  <si>
    <t>Altura</t>
  </si>
  <si>
    <t>id_arv</t>
  </si>
  <si>
    <t>d1 c/casca</t>
  </si>
  <si>
    <t>d2 c/casca</t>
  </si>
  <si>
    <t>d (cm)</t>
  </si>
  <si>
    <t>h</t>
  </si>
  <si>
    <r>
      <t xml:space="preserve">PARCELA nº: </t>
    </r>
    <r>
      <rPr>
        <sz val="11"/>
        <color rgb="FF0000FF"/>
        <rFont val="Monotype Corsiva"/>
        <family val="4"/>
      </rPr>
      <t>35</t>
    </r>
  </si>
  <si>
    <t>Distribuição de diâmetros</t>
  </si>
  <si>
    <t xml:space="preserve">Medição de d´s </t>
  </si>
  <si>
    <t>Classe d</t>
  </si>
  <si>
    <r>
      <t>Espécie principal</t>
    </r>
    <r>
      <rPr>
        <b/>
        <sz val="10"/>
        <color rgb="FF333399"/>
        <rFont val="Monotype Corsiva"/>
        <family val="4"/>
      </rPr>
      <t xml:space="preserve">: </t>
    </r>
    <r>
      <rPr>
        <sz val="12"/>
        <color rgb="FF0000FF"/>
        <rFont val="Monotype Corsiva"/>
        <family val="4"/>
      </rPr>
      <t>Pb</t>
    </r>
  </si>
  <si>
    <t>Outras:</t>
  </si>
  <si>
    <r>
      <t xml:space="preserve">Espécie principal: </t>
    </r>
    <r>
      <rPr>
        <sz val="12"/>
        <color rgb="FF0000FF"/>
        <rFont val="Monotype Corsiva"/>
        <family val="4"/>
      </rPr>
      <t>Pb</t>
    </r>
  </si>
  <si>
    <r>
      <t xml:space="preserve">Outras: </t>
    </r>
    <r>
      <rPr>
        <sz val="11"/>
        <color rgb="FF0000FF"/>
        <rFont val="Monotype Corsiva"/>
        <family val="4"/>
      </rPr>
      <t>Pm</t>
    </r>
  </si>
  <si>
    <t>2.5-7.4</t>
  </si>
  <si>
    <t>II</t>
  </si>
  <si>
    <t>7.5-12.4</t>
  </si>
  <si>
    <t>12.5-17.4</t>
  </si>
  <si>
    <t>IIII</t>
  </si>
  <si>
    <t>17.5-22.4</t>
  </si>
  <si>
    <t>22.5-27.4</t>
  </si>
  <si>
    <t>27.5-32.4</t>
  </si>
  <si>
    <t>I</t>
  </si>
  <si>
    <t>32.5-37.4</t>
  </si>
  <si>
    <t>37.5-42.4</t>
  </si>
  <si>
    <t>42.5-47.4</t>
  </si>
  <si>
    <t>47.5-52.4</t>
  </si>
  <si>
    <t>52.5-57.4</t>
  </si>
  <si>
    <t>57.5-62.4</t>
  </si>
  <si>
    <t>62.5-67.4</t>
  </si>
  <si>
    <t>&gt;=67.4</t>
  </si>
  <si>
    <t>Árvores modelo</t>
  </si>
  <si>
    <t>Nº</t>
  </si>
  <si>
    <t>Esp</t>
  </si>
  <si>
    <t>d</t>
  </si>
  <si>
    <r>
      <t>h</t>
    </r>
    <r>
      <rPr>
        <b/>
        <vertAlign val="subscript"/>
        <sz val="9"/>
        <color theme="1"/>
        <rFont val="Arial"/>
        <family val="2"/>
      </rPr>
      <t>copa</t>
    </r>
  </si>
  <si>
    <t>casc</t>
  </si>
  <si>
    <r>
      <t>i</t>
    </r>
    <r>
      <rPr>
        <b/>
        <vertAlign val="subscript"/>
        <sz val="9"/>
        <color theme="1"/>
        <rFont val="Arial"/>
        <family val="2"/>
      </rPr>
      <t>d</t>
    </r>
  </si>
  <si>
    <t>Pb</t>
  </si>
  <si>
    <t>IIIII</t>
  </si>
  <si>
    <t>b) O índice de qualidade da estação (idade padrão 10 anos para Ec), S =</t>
  </si>
  <si>
    <t>extra) ddom =</t>
  </si>
  <si>
    <t>Anexo I, Tabela 15</t>
  </si>
  <si>
    <t>Anexo I, Tabela 2</t>
  </si>
  <si>
    <r>
      <t>β</t>
    </r>
    <r>
      <rPr>
        <b/>
        <vertAlign val="subscript"/>
        <sz val="9"/>
        <color theme="1"/>
        <rFont val="Arial"/>
        <family val="2"/>
      </rPr>
      <t>0</t>
    </r>
  </si>
  <si>
    <r>
      <t>β</t>
    </r>
    <r>
      <rPr>
        <b/>
        <vertAlign val="subscript"/>
        <sz val="9"/>
        <color theme="1"/>
        <rFont val="Arial"/>
        <family val="2"/>
      </rPr>
      <t>1</t>
    </r>
  </si>
  <si>
    <r>
      <t>β</t>
    </r>
    <r>
      <rPr>
        <b/>
        <vertAlign val="subscript"/>
        <sz val="9"/>
        <color theme="1"/>
        <rFont val="Arial"/>
        <family val="2"/>
      </rPr>
      <t>2</t>
    </r>
  </si>
  <si>
    <r>
      <t>β</t>
    </r>
    <r>
      <rPr>
        <b/>
        <vertAlign val="subscript"/>
        <sz val="9"/>
        <color theme="1"/>
        <rFont val="Arial"/>
        <family val="2"/>
      </rPr>
      <t>3</t>
    </r>
  </si>
  <si>
    <t>A</t>
  </si>
  <si>
    <t>n</t>
  </si>
  <si>
    <t>tp</t>
  </si>
  <si>
    <r>
      <t>a)</t>
    </r>
    <r>
      <rPr>
        <sz val="7"/>
        <rFont val="Calibri"/>
        <family val="2"/>
        <scheme val="minor"/>
      </rPr>
      <t>  </t>
    </r>
    <r>
      <rPr>
        <sz val="11"/>
        <rFont val="Calibri"/>
        <family val="2"/>
        <scheme val="minor"/>
      </rPr>
      <t>A altura dominante do povoamento (m), hdom =</t>
    </r>
  </si>
  <si>
    <r>
      <t>c)</t>
    </r>
    <r>
      <rPr>
        <sz val="7"/>
        <rFont val="Calibri"/>
        <family val="2"/>
        <scheme val="minor"/>
      </rPr>
      <t xml:space="preserve">     </t>
    </r>
    <r>
      <rPr>
        <sz val="11"/>
        <rFont val="Calibri"/>
        <family val="2"/>
        <scheme val="minor"/>
      </rPr>
      <t>O número de árvores vivas por ha, N_vivas =</t>
    </r>
  </si>
  <si>
    <r>
      <t>d)</t>
    </r>
    <r>
      <rPr>
        <sz val="7"/>
        <rFont val="Calibri"/>
        <family val="2"/>
        <scheme val="minor"/>
      </rPr>
      <t xml:space="preserve">   </t>
    </r>
    <r>
      <rPr>
        <sz val="11"/>
        <rFont val="Calibri"/>
        <family val="2"/>
        <scheme val="minor"/>
      </rPr>
      <t>O número de árvores mortas por ha, N_mortas =</t>
    </r>
  </si>
  <si>
    <r>
      <t>e)</t>
    </r>
    <r>
      <rPr>
        <sz val="7"/>
        <rFont val="Calibri"/>
        <family val="2"/>
        <scheme val="minor"/>
      </rPr>
      <t xml:space="preserve">     </t>
    </r>
    <r>
      <rPr>
        <sz val="11"/>
        <rFont val="Calibri"/>
        <family val="2"/>
        <scheme val="minor"/>
      </rPr>
      <t>A área basal por hectare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ha</t>
    </r>
    <r>
      <rPr>
        <vertAlign val="superscript"/>
        <sz val="11"/>
        <rFont val="Calibri"/>
        <family val="2"/>
        <scheme val="minor"/>
      </rPr>
      <t>-1</t>
    </r>
    <r>
      <rPr>
        <sz val="11"/>
        <rFont val="Calibri"/>
        <family val="2"/>
        <scheme val="minor"/>
      </rPr>
      <t>), G =</t>
    </r>
  </si>
  <si>
    <t>gi (m2)</t>
  </si>
  <si>
    <t>Gpar =</t>
  </si>
  <si>
    <t>F_exp=</t>
  </si>
  <si>
    <t>Area=</t>
  </si>
  <si>
    <t>n_dom=</t>
  </si>
  <si>
    <t>cod_est</t>
  </si>
  <si>
    <t>cod_dom</t>
  </si>
  <si>
    <t>aux hdom</t>
  </si>
  <si>
    <t>hdom (m)=</t>
  </si>
  <si>
    <t>Alternativamente a calcular a hdom com recurso à criação do cod_dom (código de dominante) podiam simplesmente copiar as alturas das árvores dominantes e fazer a média numa tabelinha à parte</t>
  </si>
  <si>
    <t>id_dom</t>
  </si>
  <si>
    <t xml:space="preserve">l) Estime a altura das árvores cuja altura não foi medida com as relações hipsométricas gerais do Inventário Florestal Nacional (no ANEXO I) </t>
  </si>
  <si>
    <t>h_est (m)</t>
  </si>
  <si>
    <r>
      <t>f)</t>
    </r>
    <r>
      <rPr>
        <sz val="7"/>
        <color theme="0"/>
        <rFont val="Calibri"/>
        <family val="2"/>
        <scheme val="minor"/>
      </rPr>
      <t xml:space="preserve">     </t>
    </r>
    <r>
      <rPr>
        <sz val="11"/>
        <color theme="0"/>
        <rFont val="Calibri"/>
        <family val="2"/>
        <scheme val="minor"/>
      </rPr>
      <t>O diâmetro quadrático médio =</t>
    </r>
  </si>
  <si>
    <t>aux ddom</t>
  </si>
  <si>
    <t>ddom (m)=</t>
  </si>
  <si>
    <t>t=</t>
  </si>
  <si>
    <r>
      <t>Fw</t>
    </r>
    <r>
      <rPr>
        <vertAlign val="subscript"/>
        <sz val="11"/>
        <color theme="1"/>
        <rFont val="Calibri"/>
        <family val="2"/>
        <scheme val="minor"/>
      </rPr>
      <t>silv</t>
    </r>
    <r>
      <rPr>
        <sz val="11"/>
        <color theme="1"/>
        <rFont val="Calibri"/>
        <family val="2"/>
        <scheme val="minor"/>
      </rPr>
      <t>=</t>
    </r>
  </si>
  <si>
    <r>
      <t>N</t>
    </r>
    <r>
      <rPr>
        <vertAlign val="subscript"/>
        <sz val="11"/>
        <color theme="1"/>
        <rFont val="Calibri"/>
        <family val="2"/>
        <scheme val="minor"/>
      </rPr>
      <t>desb</t>
    </r>
    <r>
      <rPr>
        <sz val="11"/>
        <color theme="1"/>
        <rFont val="Calibri"/>
        <family val="2"/>
        <scheme val="minor"/>
      </rPr>
      <t>=</t>
    </r>
  </si>
  <si>
    <t xml:space="preserve">g)     O factor de Wilson, FW = </t>
  </si>
  <si>
    <t>j) O Índice de Densidade do Povoamento, SDI =</t>
  </si>
  <si>
    <t>k) % de coberto e coeficiente de espaçamento para as parcelas 8 e 13 das Figura 12 e Figura 13 (só para Sb)</t>
  </si>
  <si>
    <t>Parcelas permanentes da herdade do Chaparro - Parcela 8</t>
  </si>
  <si>
    <t>Narv</t>
  </si>
  <si>
    <t>Raios da Copa (m)</t>
  </si>
  <si>
    <t>N</t>
  </si>
  <si>
    <t>S</t>
  </si>
  <si>
    <t>E</t>
  </si>
  <si>
    <t>W</t>
  </si>
  <si>
    <t>Sb</t>
  </si>
  <si>
    <t>Pm</t>
  </si>
  <si>
    <t>CW_med=</t>
  </si>
  <si>
    <t>N=</t>
  </si>
  <si>
    <t>raio (m) =</t>
  </si>
  <si>
    <t>Area_p =</t>
  </si>
  <si>
    <t>Cspac=</t>
  </si>
  <si>
    <t>area copa</t>
  </si>
  <si>
    <t>CC (%) =</t>
  </si>
  <si>
    <t>r_med</t>
  </si>
  <si>
    <r>
      <rPr>
        <b/>
        <sz val="11"/>
        <color theme="9"/>
        <rFont val="Calibri"/>
        <family val="2"/>
        <scheme val="minor"/>
      </rPr>
      <t>Nota</t>
    </r>
    <r>
      <rPr>
        <sz val="11"/>
        <color theme="1"/>
        <rFont val="Calibri"/>
        <family val="2"/>
        <scheme val="minor"/>
      </rPr>
      <t>: As percentagens de coberto recomendadas por Natividade para o montado rondam os 58%. Sungundo este autor esta é a percentagem de coberto maxima e acima dela deverá realizar-se desbaste. Notem que a 58% de coberto corresponde um coef de espaçamento de 1.2. CONTUDO, na pratica os gestores florestais praticam % muito inferiores, como as obtidas para as parcelas 8 e 13.  No caso da gestão com vista a produção de cortiça e simultânea exploração cinegética (veado) os valores de % Coberto recomendados devem ficar abaixo dos 35%.</t>
    </r>
  </si>
  <si>
    <t>k) (ver folha 322_K)</t>
  </si>
  <si>
    <r>
      <t>N</t>
    </r>
    <r>
      <rPr>
        <vertAlign val="subscript"/>
        <sz val="11"/>
        <color theme="1"/>
        <rFont val="Calibri"/>
        <family val="2"/>
        <scheme val="minor"/>
      </rPr>
      <t>FW0.27</t>
    </r>
    <r>
      <rPr>
        <sz val="11"/>
        <color theme="1"/>
        <rFont val="Calibri"/>
        <family val="2"/>
        <scheme val="minor"/>
      </rPr>
      <t>=</t>
    </r>
  </si>
  <si>
    <t xml:space="preserve">h) Quantas árvores por ha deverá desbastar para colocar o povoamento a um factor de Wilson de 0.27? </t>
  </si>
  <si>
    <t>Volume com cepo e casca</t>
  </si>
  <si>
    <t>Volume sem casca e sem cepo</t>
  </si>
  <si>
    <t>Volume percentual</t>
  </si>
  <si>
    <t>(25-12)</t>
  </si>
  <si>
    <t>(12-6)</t>
  </si>
  <si>
    <r>
      <t>Vu_st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</si>
  <si>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diâmetros de desponta (di) cm</t>
  </si>
  <si>
    <t>Volume percentual (m3)</t>
  </si>
  <si>
    <t>Categorias de aproveitamento</t>
  </si>
  <si>
    <t>Classe 1</t>
  </si>
  <si>
    <t>Classe 2</t>
  </si>
  <si>
    <t>Classe 3</t>
  </si>
  <si>
    <t>bicada</t>
  </si>
  <si>
    <t>(Vu_st-6)</t>
  </si>
  <si>
    <t xml:space="preserve">Vu_st - sum cat </t>
  </si>
  <si>
    <r>
      <t>V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</si>
  <si>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Volumes por categoria de aproveitamento sem restrições ao comprimento dos toros</t>
  </si>
  <si>
    <r>
      <t>o) O volume, sem casca, por categorias de aproveitamento (m</t>
    </r>
    <r>
      <rPr>
        <vertAlign val="superscript"/>
        <sz val="11"/>
        <color theme="8"/>
        <rFont val="Calibri"/>
        <family val="2"/>
        <scheme val="minor"/>
      </rPr>
      <t>3</t>
    </r>
    <r>
      <rPr>
        <sz val="11"/>
        <color theme="8"/>
        <rFont val="Calibri"/>
        <family val="2"/>
        <scheme val="minor"/>
      </rPr>
      <t xml:space="preserve">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 considerando as seguintes regras (di é o diâmetro de desponta):</t>
    </r>
  </si>
  <si>
    <r>
      <rPr>
        <b/>
        <sz val="11"/>
        <color theme="8"/>
        <rFont val="Calibri"/>
        <family val="2"/>
        <scheme val="minor"/>
      </rPr>
      <t>Classe 1</t>
    </r>
    <r>
      <rPr>
        <sz val="11"/>
        <color theme="8"/>
        <rFont val="Calibri"/>
        <family val="2"/>
        <scheme val="minor"/>
      </rPr>
      <t>: di&gt;=25 cm =</t>
    </r>
  </si>
  <si>
    <r>
      <rPr>
        <b/>
        <sz val="11"/>
        <color theme="8"/>
        <rFont val="Calibri"/>
        <family val="2"/>
        <scheme val="minor"/>
      </rPr>
      <t>Classe 2</t>
    </r>
    <r>
      <rPr>
        <sz val="11"/>
        <color theme="8"/>
        <rFont val="Calibri"/>
        <family val="2"/>
        <scheme val="minor"/>
      </rPr>
      <t>: 12 cm&lt;=di&lt;25 cm e dm&gt;=25 cm mas com comprimento inferior a 3 m =</t>
    </r>
  </si>
  <si>
    <r>
      <rPr>
        <b/>
        <sz val="11"/>
        <color theme="8"/>
        <rFont val="Calibri"/>
        <family val="2"/>
        <scheme val="minor"/>
      </rPr>
      <t>Classe 3</t>
    </r>
    <r>
      <rPr>
        <sz val="11"/>
        <color theme="8"/>
        <rFont val="Calibri"/>
        <family val="2"/>
        <scheme val="minor"/>
      </rPr>
      <t>: 6 cm&lt;=di&gt;12 cm =</t>
    </r>
  </si>
  <si>
    <r>
      <rPr>
        <b/>
        <sz val="11"/>
        <color theme="8"/>
        <rFont val="Calibri"/>
        <family val="2"/>
        <scheme val="minor"/>
      </rPr>
      <t>Classe 4</t>
    </r>
    <r>
      <rPr>
        <sz val="11"/>
        <color theme="8"/>
        <rFont val="Calibri"/>
        <family val="2"/>
        <scheme val="minor"/>
      </rPr>
      <t>: bicada =</t>
    </r>
  </si>
  <si>
    <r>
      <t>m)</t>
    </r>
    <r>
      <rPr>
        <sz val="7"/>
        <color rgb="FF0070C0"/>
        <rFont val="Calibri"/>
        <family val="2"/>
        <scheme val="minor"/>
      </rPr>
      <t xml:space="preserve">     </t>
    </r>
    <r>
      <rPr>
        <sz val="11"/>
        <color rgb="FF0070C0"/>
        <rFont val="Calibri"/>
        <family val="2"/>
        <scheme val="minor"/>
      </rPr>
      <t>O volume total com casca (m</t>
    </r>
    <r>
      <rPr>
        <vertAlign val="superscript"/>
        <sz val="11"/>
        <color rgb="FF0070C0"/>
        <rFont val="Calibri"/>
        <family val="2"/>
        <scheme val="minor"/>
      </rPr>
      <t>3</t>
    </r>
    <r>
      <rPr>
        <sz val="11"/>
        <color rgb="FF0070C0"/>
        <rFont val="Calibri"/>
        <family val="2"/>
        <scheme val="minor"/>
      </rPr>
      <t xml:space="preserve"> ha</t>
    </r>
    <r>
      <rPr>
        <vertAlign val="superscript"/>
        <sz val="11"/>
        <color rgb="FF0070C0"/>
        <rFont val="Calibri"/>
        <family val="2"/>
        <scheme val="minor"/>
      </rPr>
      <t>-1</t>
    </r>
    <r>
      <rPr>
        <sz val="11"/>
        <color rgb="FF0070C0"/>
        <rFont val="Calibri"/>
        <family val="2"/>
        <scheme val="minor"/>
      </rPr>
      <t>) =</t>
    </r>
  </si>
  <si>
    <r>
      <t>n)</t>
    </r>
    <r>
      <rPr>
        <sz val="7"/>
        <color rgb="FF0070C0"/>
        <rFont val="Calibri"/>
        <family val="2"/>
        <scheme val="minor"/>
      </rPr>
      <t xml:space="preserve">     </t>
    </r>
    <r>
      <rPr>
        <sz val="11"/>
        <color rgb="FF0070C0"/>
        <rFont val="Calibri"/>
        <family val="2"/>
        <scheme val="minor"/>
      </rPr>
      <t>O volume total sem casca (m</t>
    </r>
    <r>
      <rPr>
        <vertAlign val="superscript"/>
        <sz val="11"/>
        <color rgb="FF0070C0"/>
        <rFont val="Calibri"/>
        <family val="2"/>
        <scheme val="minor"/>
      </rPr>
      <t>3</t>
    </r>
    <r>
      <rPr>
        <sz val="11"/>
        <color rgb="FF0070C0"/>
        <rFont val="Calibri"/>
        <family val="2"/>
        <scheme val="minor"/>
      </rPr>
      <t xml:space="preserve"> ha</t>
    </r>
    <r>
      <rPr>
        <vertAlign val="superscript"/>
        <sz val="11"/>
        <color rgb="FF0070C0"/>
        <rFont val="Calibri"/>
        <family val="2"/>
        <scheme val="minor"/>
      </rPr>
      <t>-1</t>
    </r>
    <r>
      <rPr>
        <sz val="11"/>
        <color rgb="FF0070C0"/>
        <rFont val="Calibri"/>
        <family val="2"/>
        <scheme val="minor"/>
      </rPr>
      <t>) =</t>
    </r>
  </si>
  <si>
    <t>di_3.10</t>
  </si>
  <si>
    <t>b0</t>
  </si>
  <si>
    <t>b1</t>
  </si>
  <si>
    <t>b2</t>
  </si>
  <si>
    <t>b3</t>
  </si>
  <si>
    <t>b4</t>
  </si>
  <si>
    <t>classe 1</t>
  </si>
  <si>
    <t>classe2</t>
  </si>
  <si>
    <t>classe3</t>
  </si>
  <si>
    <r>
      <t>o) O volume, sem casca, por categorias de aproveitamento (m</t>
    </r>
    <r>
      <rPr>
        <vertAlign val="superscript"/>
        <sz val="10"/>
        <color theme="8"/>
        <rFont val="Calibri"/>
        <family val="2"/>
        <scheme val="minor"/>
      </rPr>
      <t>3</t>
    </r>
    <r>
      <rPr>
        <sz val="10"/>
        <color theme="8"/>
        <rFont val="Calibri"/>
        <family val="2"/>
        <scheme val="minor"/>
      </rPr>
      <t xml:space="preserve"> ha</t>
    </r>
    <r>
      <rPr>
        <vertAlign val="superscript"/>
        <sz val="10"/>
        <color theme="8"/>
        <rFont val="Calibri"/>
        <family val="2"/>
        <scheme val="minor"/>
      </rPr>
      <t>-1</t>
    </r>
    <r>
      <rPr>
        <sz val="10"/>
        <color theme="8"/>
        <rFont val="Calibri"/>
        <family val="2"/>
        <scheme val="minor"/>
      </rPr>
      <t>) considerando as seguintes regras (di é o diâmetro de desponta):</t>
    </r>
  </si>
  <si>
    <r>
      <rPr>
        <b/>
        <sz val="10"/>
        <color theme="8"/>
        <rFont val="Calibri"/>
        <family val="2"/>
        <scheme val="minor"/>
      </rPr>
      <t>Classe 2</t>
    </r>
    <r>
      <rPr>
        <sz val="10"/>
        <color theme="8"/>
        <rFont val="Calibri"/>
        <family val="2"/>
        <scheme val="minor"/>
      </rPr>
      <t>: 12 cm&lt;=di&lt;25 cm e dm&gt;=25 cm mas com comprimento inferior a 3 m =</t>
    </r>
  </si>
  <si>
    <r>
      <rPr>
        <b/>
        <sz val="10"/>
        <color theme="8"/>
        <rFont val="Calibri"/>
        <family val="2"/>
        <scheme val="minor"/>
      </rPr>
      <t>Classe 3</t>
    </r>
    <r>
      <rPr>
        <sz val="10"/>
        <color theme="8"/>
        <rFont val="Calibri"/>
        <family val="2"/>
        <scheme val="minor"/>
      </rPr>
      <t>: 6 cm&lt;=di&gt;12 cm =</t>
    </r>
  </si>
  <si>
    <r>
      <rPr>
        <b/>
        <sz val="10"/>
        <color theme="8"/>
        <rFont val="Calibri"/>
        <family val="2"/>
        <scheme val="minor"/>
      </rPr>
      <t>Classe 4</t>
    </r>
    <r>
      <rPr>
        <sz val="10"/>
        <color theme="8"/>
        <rFont val="Calibri"/>
        <family val="2"/>
        <scheme val="minor"/>
      </rPr>
      <t>: bicada =</t>
    </r>
  </si>
  <si>
    <r>
      <rPr>
        <b/>
        <sz val="10"/>
        <color theme="8"/>
        <rFont val="Calibri"/>
        <family val="2"/>
        <scheme val="minor"/>
      </rPr>
      <t>Classe 1</t>
    </r>
    <r>
      <rPr>
        <sz val="10"/>
        <color theme="8"/>
        <rFont val="Calibri"/>
        <family val="2"/>
        <scheme val="minor"/>
      </rPr>
      <t>: di&gt;=25 cm e toro com 3.1 m =</t>
    </r>
  </si>
  <si>
    <t>3.2.4.</t>
  </si>
  <si>
    <t>G</t>
  </si>
  <si>
    <t>hdom</t>
  </si>
  <si>
    <t>idade</t>
  </si>
  <si>
    <t>rotação</t>
  </si>
  <si>
    <t>altitude</t>
  </si>
  <si>
    <t>N0</t>
  </si>
  <si>
    <t>modelo</t>
  </si>
  <si>
    <t>a</t>
  </si>
  <si>
    <t>b</t>
  </si>
  <si>
    <t>c</t>
  </si>
  <si>
    <t>kv0</t>
  </si>
  <si>
    <t>kv1</t>
  </si>
  <si>
    <t>kv2</t>
  </si>
  <si>
    <t>kv3</t>
  </si>
  <si>
    <t xml:space="preserve">Vu  </t>
  </si>
  <si>
    <t>Vb</t>
  </si>
  <si>
    <r>
      <t>V</t>
    </r>
    <r>
      <rPr>
        <vertAlign val="subscript"/>
        <sz val="8"/>
        <color theme="1"/>
        <rFont val="Arial"/>
        <family val="2"/>
      </rPr>
      <t>st</t>
    </r>
  </si>
  <si>
    <t>Vu</t>
  </si>
  <si>
    <t>Kv</t>
  </si>
  <si>
    <t>Vst</t>
  </si>
  <si>
    <t>Volumes</t>
  </si>
  <si>
    <t>Vu+Vb</t>
  </si>
  <si>
    <r>
      <t>m)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O volume total com casca e com cepo (m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ha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</si>
  <si>
    <r>
      <t>n)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O volume total sem casca e com cepo (m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ha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</si>
  <si>
    <r>
      <t>n1)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O volume total sem casca e sem cepo (m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ha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</si>
  <si>
    <t>Vu-Vst</t>
  </si>
  <si>
    <r>
      <t>m1)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O volume total com casca e sem cepo (m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ha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</si>
  <si>
    <t>Vu+Vb-Vst</t>
  </si>
  <si>
    <r>
      <rPr>
        <b/>
        <sz val="11"/>
        <color theme="8"/>
        <rFont val="Calibri"/>
        <family val="2"/>
        <scheme val="minor"/>
      </rPr>
      <t>Classe 1</t>
    </r>
    <r>
      <rPr>
        <sz val="11"/>
        <color theme="8"/>
        <rFont val="Calibri"/>
        <family val="2"/>
        <scheme val="minor"/>
      </rPr>
      <t>: di&gt;=25 cm  =</t>
    </r>
  </si>
  <si>
    <r>
      <rPr>
        <b/>
        <sz val="11"/>
        <color theme="8"/>
        <rFont val="Calibri"/>
        <family val="2"/>
        <scheme val="minor"/>
      </rPr>
      <t xml:space="preserve"> Classe 3</t>
    </r>
    <r>
      <rPr>
        <sz val="11"/>
        <color theme="8"/>
        <rFont val="Calibri"/>
        <family val="2"/>
        <scheme val="minor"/>
      </rPr>
      <t xml:space="preserve">: 6 cm&lt;=di&gt;12 cm= </t>
    </r>
  </si>
  <si>
    <r>
      <rPr>
        <b/>
        <sz val="11"/>
        <color theme="8"/>
        <rFont val="Calibri"/>
        <family val="2"/>
        <scheme val="minor"/>
      </rPr>
      <t>Classe 4</t>
    </r>
    <r>
      <rPr>
        <sz val="11"/>
        <color theme="8"/>
        <rFont val="Calibri"/>
        <family val="2"/>
        <scheme val="minor"/>
      </rPr>
      <t xml:space="preserve">: bicada= </t>
    </r>
  </si>
  <si>
    <t>di</t>
  </si>
  <si>
    <t>dg =</t>
  </si>
  <si>
    <t>(Vu-Vst)</t>
  </si>
  <si>
    <t>Tabela 18. Volume mercantil sem casca, acima do cepo até um determinado diâmetro de desponta di</t>
  </si>
  <si>
    <r>
      <t xml:space="preserve">   </t>
    </r>
    <r>
      <rPr>
        <sz val="10"/>
        <color theme="1"/>
        <rFont val="Arial"/>
        <family val="2"/>
      </rPr>
      <t xml:space="preserve">          </t>
    </r>
  </si>
  <si>
    <r>
      <t xml:space="preserve">          </t>
    </r>
    <r>
      <rPr>
        <sz val="11"/>
        <color theme="1"/>
        <rFont val="Arial"/>
        <family val="2"/>
      </rPr>
      <t xml:space="preserve">  </t>
    </r>
  </si>
  <si>
    <r>
      <t>a</t>
    </r>
    <r>
      <rPr>
        <vertAlign val="subscript"/>
        <sz val="9"/>
        <color theme="1"/>
        <rFont val="Arial"/>
        <family val="2"/>
      </rPr>
      <t>0</t>
    </r>
  </si>
  <si>
    <r>
      <t>a</t>
    </r>
    <r>
      <rPr>
        <vertAlign val="subscript"/>
        <sz val="9"/>
        <color theme="1"/>
        <rFont val="Arial"/>
        <family val="2"/>
      </rPr>
      <t>1</t>
    </r>
  </si>
  <si>
    <r>
      <t>a</t>
    </r>
    <r>
      <rPr>
        <vertAlign val="subscript"/>
        <sz val="9"/>
        <color theme="1"/>
        <rFont val="Arial"/>
        <family val="2"/>
      </rPr>
      <t>2</t>
    </r>
  </si>
  <si>
    <r>
      <t>a</t>
    </r>
    <r>
      <rPr>
        <vertAlign val="subscript"/>
        <sz val="9"/>
        <color theme="1"/>
        <rFont val="Arial"/>
        <family val="2"/>
      </rPr>
      <t>3</t>
    </r>
  </si>
  <si>
    <r>
      <t>a</t>
    </r>
    <r>
      <rPr>
        <vertAlign val="subscript"/>
        <sz val="9"/>
        <color theme="1"/>
        <rFont val="Arial"/>
        <family val="2"/>
      </rPr>
      <t>4</t>
    </r>
  </si>
  <si>
    <r>
      <t>b</t>
    </r>
    <r>
      <rPr>
        <vertAlign val="subscript"/>
        <sz val="9"/>
        <color theme="1"/>
        <rFont val="Arial"/>
        <family val="2"/>
      </rPr>
      <t>0</t>
    </r>
  </si>
  <si>
    <r>
      <t>b</t>
    </r>
    <r>
      <rPr>
        <vertAlign val="subscript"/>
        <sz val="9"/>
        <color theme="1"/>
        <rFont val="Arial"/>
        <family val="2"/>
      </rPr>
      <t>1</t>
    </r>
  </si>
  <si>
    <t>Vumdi</t>
  </si>
  <si>
    <r>
      <rPr>
        <b/>
        <sz val="11"/>
        <color theme="8"/>
        <rFont val="Calibri"/>
        <family val="2"/>
        <scheme val="minor"/>
      </rPr>
      <t>Classe 2</t>
    </r>
    <r>
      <rPr>
        <sz val="11"/>
        <color theme="8"/>
        <rFont val="Calibri"/>
        <family val="2"/>
        <scheme val="minor"/>
      </rPr>
      <t>: 12 cm&lt;=di&lt;25 cm e dm&gt;=25 cm =</t>
    </r>
  </si>
  <si>
    <r>
      <t>p) A biomassa total e por componentes (Mg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):</t>
    </r>
  </si>
  <si>
    <t xml:space="preserve"> lenho = </t>
  </si>
  <si>
    <t>casca =</t>
  </si>
  <si>
    <t>folhas =</t>
  </si>
  <si>
    <t>ramos =</t>
  </si>
  <si>
    <t>aérea =</t>
  </si>
  <si>
    <t>raizes =</t>
  </si>
  <si>
    <t>total =</t>
  </si>
  <si>
    <t>Tabela 19. Função para a predição da biomassa</t>
  </si>
  <si>
    <t xml:space="preserve">            </t>
  </si>
  <si>
    <t xml:space="preserve">      </t>
  </si>
  <si>
    <t xml:space="preserve">                 </t>
  </si>
  <si>
    <t xml:space="preserve">                   </t>
  </si>
  <si>
    <t xml:space="preserve">       </t>
  </si>
  <si>
    <t>model</t>
  </si>
  <si>
    <r>
      <t>b</t>
    </r>
    <r>
      <rPr>
        <b/>
        <vertAlign val="subscript"/>
        <sz val="9"/>
        <color theme="1"/>
        <rFont val="Arial"/>
        <family val="2"/>
      </rPr>
      <t>0</t>
    </r>
  </si>
  <si>
    <r>
      <t>b</t>
    </r>
    <r>
      <rPr>
        <b/>
        <vertAlign val="subscript"/>
        <sz val="9"/>
        <color theme="1"/>
        <rFont val="Arial"/>
        <family val="2"/>
      </rPr>
      <t>1</t>
    </r>
  </si>
  <si>
    <r>
      <t>b</t>
    </r>
    <r>
      <rPr>
        <b/>
        <vertAlign val="subscript"/>
        <sz val="9"/>
        <color theme="1"/>
        <rFont val="Arial"/>
        <family val="2"/>
      </rPr>
      <t>2</t>
    </r>
  </si>
  <si>
    <r>
      <t>b</t>
    </r>
    <r>
      <rPr>
        <b/>
        <vertAlign val="subscript"/>
        <sz val="9"/>
        <color theme="1"/>
        <rFont val="Arial"/>
        <family val="2"/>
      </rPr>
      <t>3</t>
    </r>
  </si>
  <si>
    <r>
      <t>b</t>
    </r>
    <r>
      <rPr>
        <b/>
        <vertAlign val="subscript"/>
        <sz val="9"/>
        <color theme="1"/>
        <rFont val="Arial"/>
        <family val="2"/>
      </rPr>
      <t>4</t>
    </r>
  </si>
  <si>
    <r>
      <t>W</t>
    </r>
    <r>
      <rPr>
        <vertAlign val="subscript"/>
        <sz val="8"/>
        <color theme="1"/>
        <rFont val="Arial"/>
        <family val="2"/>
      </rPr>
      <t>w</t>
    </r>
  </si>
  <si>
    <r>
      <t>W</t>
    </r>
    <r>
      <rPr>
        <vertAlign val="subscript"/>
        <sz val="8"/>
        <color theme="1"/>
        <rFont val="Arial"/>
        <family val="2"/>
      </rPr>
      <t>b</t>
    </r>
  </si>
  <si>
    <r>
      <t>W</t>
    </r>
    <r>
      <rPr>
        <vertAlign val="subscript"/>
        <sz val="8"/>
        <color theme="1"/>
        <rFont val="Arial"/>
        <family val="2"/>
      </rPr>
      <t>l</t>
    </r>
  </si>
  <si>
    <r>
      <t>W</t>
    </r>
    <r>
      <rPr>
        <vertAlign val="subscript"/>
        <sz val="8"/>
        <color theme="1"/>
        <rFont val="Arial"/>
        <family val="2"/>
      </rPr>
      <t>br</t>
    </r>
  </si>
  <si>
    <r>
      <t>W</t>
    </r>
    <r>
      <rPr>
        <vertAlign val="subscript"/>
        <sz val="8"/>
        <color theme="1"/>
        <rFont val="Arial"/>
        <family val="2"/>
      </rPr>
      <t>r</t>
    </r>
  </si>
  <si>
    <t>Onde Wi representa as seguintes componentes de biomassa: Ww é a biomassa de madeira , Wb é a biomassa de casca, Wbr é a biomassa de ramos e Wl é a biomassa de folhas; Wa é a biomassa aérea; Wr é a biomassa de raizes; hdom é a latura dominante do povoamento; G é a área basal do povoamento; SI é o indice de qualidade da estação; rot é uma variável indicatriz da rotação (0 para alto fuste e 1 para talhadia); N é o número de árvores no povoamento e t é a idade do povoamento.</t>
  </si>
  <si>
    <t>Wi</t>
  </si>
  <si>
    <r>
      <t xml:space="preserve">Onde Vumdi é o volume mercantil sem casca, desde o cepo até um diâmetro de topo di; </t>
    </r>
    <r>
      <rPr>
        <sz val="9"/>
        <color rgb="FFFF0000"/>
        <rFont val="Calibri"/>
        <family val="2"/>
        <scheme val="minor"/>
      </rPr>
      <t>dg é o diâmetro quadrático médio</t>
    </r>
    <r>
      <rPr>
        <sz val="9"/>
        <color theme="1"/>
        <rFont val="Calibri"/>
        <family val="2"/>
        <scheme val="minor"/>
      </rPr>
      <t>; as outras variáveis são como na Tabela 17</t>
    </r>
  </si>
  <si>
    <t>Modelo</t>
  </si>
  <si>
    <r>
      <t xml:space="preserve">Tabela 7. Equações utilizadas na estimação da biomassa – </t>
    </r>
    <r>
      <rPr>
        <b/>
        <i/>
        <sz val="10"/>
        <color theme="1"/>
        <rFont val="Arial"/>
        <family val="2"/>
      </rPr>
      <t>Eucalyptus globulus</t>
    </r>
  </si>
  <si>
    <t>Modelos</t>
  </si>
  <si>
    <t>Componente</t>
  </si>
  <si>
    <t>Fonte</t>
  </si>
  <si>
    <t>Lenho</t>
  </si>
  <si>
    <t>(ww)</t>
  </si>
  <si>
    <t>árvores dispersas noutros estratos: 1,780459</t>
  </si>
  <si>
    <t>Tomé et al. 2007d</t>
  </si>
  <si>
    <t>Casca</t>
  </si>
  <si>
    <t>(wb)</t>
  </si>
  <si>
    <t>árvores dispersas noutros estratos: 2,379475</t>
  </si>
  <si>
    <t>Ramos (wbr)</t>
  </si>
  <si>
    <t>Folhas (wl)</t>
  </si>
  <si>
    <t>Total aérea (wa)</t>
  </si>
  <si>
    <t>wa = ww+wb+wl+wbr</t>
  </si>
  <si>
    <t>Raízes (wr)</t>
  </si>
  <si>
    <t>wr = 0,2487 wa</t>
  </si>
  <si>
    <t>Soares e Tomé, 2004</t>
  </si>
  <si>
    <r>
      <t>d – diâmetro da árvore medido a 1,30 m de altura (cm); h – altura total da árvore (m); w</t>
    </r>
    <r>
      <rPr>
        <vertAlign val="subscript"/>
        <sz val="9"/>
        <color theme="1"/>
        <rFont val="Arial"/>
        <family val="2"/>
      </rPr>
      <t>i</t>
    </r>
    <r>
      <rPr>
        <sz val="9"/>
        <color theme="1"/>
        <rFont val="Arial"/>
        <family val="2"/>
      </rPr>
      <t xml:space="preserve"> – biomassa da componente i da árvore (kg); wa – biomassa total aérea da árvore (kg); hdom – altura dominante (m).</t>
    </r>
  </si>
  <si>
    <t>hdom=</t>
  </si>
  <si>
    <t>ww</t>
  </si>
  <si>
    <t>wb</t>
  </si>
  <si>
    <t>wbr</t>
  </si>
  <si>
    <t>wl</t>
  </si>
  <si>
    <t>wa</t>
  </si>
  <si>
    <t>wr</t>
  </si>
  <si>
    <t>wt</t>
  </si>
  <si>
    <t>Biomassas (kg)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</si>
</sst>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00000"/>
    <numFmt numFmtId="165" formatCode="0.0000"/>
    <numFmt numFmtId="166" formatCode="0.0"/>
    <numFmt numFmtId="167" formatCode="#,##0.0000"/>
    <numFmt numFmtId="168" formatCode="0.000"/>
    <numFmt numFmtId="175" formatCode="#,##0.0000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0"/>
      <color rgb="FF0000FF"/>
      <name val="Monotype Corsiva"/>
      <family val="4"/>
    </font>
    <font>
      <i/>
      <sz val="11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1"/>
      <color theme="1"/>
      <name val="Arial"/>
      <family val="2"/>
    </font>
    <font>
      <sz val="11"/>
      <color rgb="FF0000FF"/>
      <name val="Monotype Corsiva"/>
      <family val="4"/>
    </font>
    <font>
      <b/>
      <sz val="9"/>
      <color theme="1"/>
      <name val="Arial"/>
      <family val="2"/>
    </font>
    <font>
      <b/>
      <sz val="10"/>
      <color rgb="FF333399"/>
      <name val="Monotype Corsiva"/>
      <family val="4"/>
    </font>
    <font>
      <sz val="12"/>
      <color rgb="FF0000FF"/>
      <name val="Monotype Corsiva"/>
      <family val="4"/>
    </font>
    <font>
      <sz val="10"/>
      <color rgb="FF0000FF"/>
      <name val="Arial"/>
      <family val="2"/>
    </font>
    <font>
      <strike/>
      <sz val="10"/>
      <color rgb="FF0000FF"/>
      <name val="Arial"/>
      <family val="2"/>
    </font>
    <font>
      <b/>
      <vertAlign val="subscript"/>
      <sz val="9"/>
      <color theme="1"/>
      <name val="Arial"/>
      <family val="2"/>
    </font>
    <font>
      <i/>
      <sz val="10"/>
      <color rgb="FF0000FF"/>
      <name val="Monotype Corsiva"/>
      <family val="4"/>
    </font>
    <font>
      <sz val="11"/>
      <color theme="0"/>
      <name val="Calibri"/>
      <family val="2"/>
      <scheme val="minor"/>
    </font>
    <font>
      <b/>
      <sz val="10"/>
      <color theme="1"/>
      <name val="Monotype Corsiva"/>
      <family val="4"/>
    </font>
    <font>
      <sz val="10"/>
      <color theme="1"/>
      <name val="Monotype Corsiva"/>
      <family val="4"/>
    </font>
    <font>
      <sz val="11"/>
      <color rgb="FF0000FF"/>
      <name val="Calibri"/>
      <family val="2"/>
      <scheme val="minor"/>
    </font>
    <font>
      <sz val="9"/>
      <color rgb="FF0000FF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7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9"/>
      <name val="Calibri"/>
      <family val="2"/>
      <scheme val="minor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theme="0"/>
      <name val="Arial"/>
      <family val="2"/>
    </font>
    <font>
      <sz val="11"/>
      <color theme="8"/>
      <name val="Calibri"/>
      <family val="2"/>
      <scheme val="minor"/>
    </font>
    <font>
      <vertAlign val="superscript"/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rgb="FF0070C0"/>
      <name val="Calibri"/>
      <family val="2"/>
      <scheme val="minor"/>
    </font>
    <font>
      <sz val="7"/>
      <color rgb="FF0070C0"/>
      <name val="Calibri"/>
      <family val="2"/>
      <scheme val="minor"/>
    </font>
    <font>
      <vertAlign val="superscript"/>
      <sz val="11"/>
      <color rgb="FF0070C0"/>
      <name val="Calibri"/>
      <family val="2"/>
      <scheme val="minor"/>
    </font>
    <font>
      <sz val="10"/>
      <color theme="8"/>
      <name val="Calibri"/>
      <family val="2"/>
      <scheme val="minor"/>
    </font>
    <font>
      <vertAlign val="superscript"/>
      <sz val="10"/>
      <color theme="8"/>
      <name val="Calibri"/>
      <family val="2"/>
      <scheme val="minor"/>
    </font>
    <font>
      <b/>
      <sz val="10"/>
      <color theme="8"/>
      <name val="Calibri"/>
      <family val="2"/>
      <scheme val="minor"/>
    </font>
    <font>
      <sz val="8"/>
      <color theme="1"/>
      <name val="Arial"/>
      <family val="2"/>
    </font>
    <font>
      <vertAlign val="subscript"/>
      <sz val="8"/>
      <color theme="1"/>
      <name val="Arial"/>
      <family val="2"/>
    </font>
    <font>
      <sz val="7"/>
      <color theme="1"/>
      <name val="Times New Roman"/>
      <family val="1"/>
    </font>
    <font>
      <vertAlign val="superscript"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vertAlign val="subscript"/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</fills>
  <borders count="7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008000"/>
      </top>
      <bottom style="medium">
        <color rgb="FF008000"/>
      </bottom>
      <diagonal/>
    </border>
    <border>
      <left/>
      <right/>
      <top/>
      <bottom style="medium">
        <color rgb="FF008000"/>
      </bottom>
      <diagonal/>
    </border>
    <border>
      <left/>
      <right/>
      <top style="medium">
        <color rgb="FF008000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54" fillId="0" borderId="0" applyFont="0" applyFill="0" applyBorder="0" applyAlignment="0" applyProtection="0"/>
  </cellStyleXfs>
  <cellXfs count="394">
    <xf numFmtId="0" fontId="0" fillId="0" borderId="0" xfId="0"/>
    <xf numFmtId="0" fontId="0" fillId="0" borderId="5" xfId="0" applyBorder="1"/>
    <xf numFmtId="0" fontId="0" fillId="0" borderId="0" xfId="0" applyFill="1"/>
    <xf numFmtId="0" fontId="6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justify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5" borderId="3" xfId="0" applyFont="1" applyFill="1" applyBorder="1" applyAlignment="1">
      <alignment horizontal="center" vertical="center" wrapText="1"/>
    </xf>
    <xf numFmtId="0" fontId="18" fillId="7" borderId="3" xfId="0" applyFont="1" applyFill="1" applyBorder="1" applyAlignment="1">
      <alignment horizontal="center" vertical="center" wrapText="1"/>
    </xf>
    <xf numFmtId="0" fontId="18" fillId="5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64" fontId="3" fillId="0" borderId="5" xfId="0" applyNumberFormat="1" applyFont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/>
    </xf>
    <xf numFmtId="0" fontId="0" fillId="0" borderId="45" xfId="0" applyBorder="1"/>
    <xf numFmtId="0" fontId="0" fillId="0" borderId="0" xfId="0" applyBorder="1"/>
    <xf numFmtId="0" fontId="0" fillId="0" borderId="51" xfId="0" applyBorder="1"/>
    <xf numFmtId="0" fontId="0" fillId="2" borderId="0" xfId="0" applyFill="1" applyBorder="1"/>
    <xf numFmtId="0" fontId="0" fillId="0" borderId="0" xfId="0" applyAlignment="1">
      <alignment horizontal="left"/>
    </xf>
    <xf numFmtId="0" fontId="0" fillId="5" borderId="5" xfId="0" applyFill="1" applyBorder="1"/>
    <xf numFmtId="0" fontId="0" fillId="0" borderId="0" xfId="0"/>
    <xf numFmtId="0" fontId="0" fillId="2" borderId="0" xfId="0" applyFill="1"/>
    <xf numFmtId="0" fontId="0" fillId="4" borderId="5" xfId="0" applyFill="1" applyBorder="1" applyAlignment="1">
      <alignment horizontal="center"/>
    </xf>
    <xf numFmtId="0" fontId="0" fillId="2" borderId="50" xfId="0" applyFill="1" applyBorder="1"/>
    <xf numFmtId="0" fontId="0" fillId="2" borderId="51" xfId="0" applyFill="1" applyBorder="1"/>
    <xf numFmtId="0" fontId="0" fillId="2" borderId="48" xfId="0" applyFill="1" applyBorder="1"/>
    <xf numFmtId="0" fontId="0" fillId="2" borderId="49" xfId="0" applyFill="1" applyBorder="1"/>
    <xf numFmtId="0" fontId="21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5" borderId="0" xfId="0" applyFill="1"/>
    <xf numFmtId="2" fontId="0" fillId="5" borderId="0" xfId="0" applyNumberFormat="1" applyFill="1"/>
    <xf numFmtId="1" fontId="0" fillId="4" borderId="0" xfId="0" applyNumberFormat="1" applyFill="1"/>
    <xf numFmtId="0" fontId="23" fillId="0" borderId="5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0" fillId="5" borderId="5" xfId="0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2" borderId="0" xfId="0" applyFill="1" applyAlignment="1">
      <alignment horizontal="left"/>
    </xf>
    <xf numFmtId="0" fontId="0" fillId="2" borderId="47" xfId="0" applyFill="1" applyBorder="1"/>
    <xf numFmtId="0" fontId="5" fillId="2" borderId="50" xfId="0" applyFont="1" applyFill="1" applyBorder="1"/>
    <xf numFmtId="0" fontId="0" fillId="9" borderId="0" xfId="0" applyFill="1"/>
    <xf numFmtId="2" fontId="17" fillId="8" borderId="46" xfId="0" applyNumberFormat="1" applyFont="1" applyFill="1" applyBorder="1"/>
    <xf numFmtId="0" fontId="0" fillId="10" borderId="47" xfId="0" applyFill="1" applyBorder="1"/>
    <xf numFmtId="0" fontId="0" fillId="10" borderId="48" xfId="0" applyFill="1" applyBorder="1"/>
    <xf numFmtId="0" fontId="0" fillId="10" borderId="49" xfId="0" applyFill="1" applyBorder="1"/>
    <xf numFmtId="0" fontId="21" fillId="10" borderId="5" xfId="0" applyFont="1" applyFill="1" applyBorder="1" applyAlignment="1">
      <alignment horizontal="center" vertical="center" wrapText="1"/>
    </xf>
    <xf numFmtId="0" fontId="0" fillId="10" borderId="5" xfId="0" applyFill="1" applyBorder="1" applyAlignment="1">
      <alignment horizontal="center" vertical="center"/>
    </xf>
    <xf numFmtId="0" fontId="0" fillId="10" borderId="0" xfId="0" applyFill="1" applyBorder="1"/>
    <xf numFmtId="0" fontId="0" fillId="10" borderId="51" xfId="0" applyFill="1" applyBorder="1"/>
    <xf numFmtId="0" fontId="20" fillId="10" borderId="5" xfId="0" applyFont="1" applyFill="1" applyBorder="1" applyAlignment="1">
      <alignment horizontal="center"/>
    </xf>
    <xf numFmtId="0" fontId="0" fillId="10" borderId="0" xfId="0" applyFill="1" applyBorder="1" applyAlignment="1">
      <alignment horizontal="left"/>
    </xf>
    <xf numFmtId="0" fontId="0" fillId="10" borderId="52" xfId="0" applyFill="1" applyBorder="1"/>
    <xf numFmtId="0" fontId="0" fillId="10" borderId="45" xfId="0" applyFill="1" applyBorder="1"/>
    <xf numFmtId="0" fontId="0" fillId="10" borderId="45" xfId="0" applyFill="1" applyBorder="1" applyAlignment="1">
      <alignment horizontal="center" vertical="center"/>
    </xf>
    <xf numFmtId="0" fontId="0" fillId="10" borderId="53" xfId="0" applyFill="1" applyBorder="1"/>
    <xf numFmtId="0" fontId="0" fillId="10" borderId="0" xfId="0" applyFill="1"/>
    <xf numFmtId="2" fontId="17" fillId="8" borderId="0" xfId="0" applyNumberFormat="1" applyFont="1" applyFill="1" applyBorder="1"/>
    <xf numFmtId="2" fontId="0" fillId="10" borderId="0" xfId="0" applyNumberFormat="1" applyFill="1"/>
    <xf numFmtId="0" fontId="10" fillId="0" borderId="50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0" fillId="7" borderId="0" xfId="0" applyFill="1"/>
    <xf numFmtId="0" fontId="0" fillId="7" borderId="0" xfId="0" applyFill="1" applyAlignment="1">
      <alignment horizontal="center" vertical="center"/>
    </xf>
    <xf numFmtId="0" fontId="0" fillId="7" borderId="45" xfId="0" applyFill="1" applyBorder="1"/>
    <xf numFmtId="0" fontId="0" fillId="0" borderId="54" xfId="0" applyFill="1" applyBorder="1"/>
    <xf numFmtId="0" fontId="5" fillId="7" borderId="52" xfId="0" applyFont="1" applyFill="1" applyBorder="1"/>
    <xf numFmtId="0" fontId="0" fillId="10" borderId="5" xfId="0" applyFill="1" applyBorder="1" applyAlignment="1">
      <alignment horizontal="center" wrapText="1"/>
    </xf>
    <xf numFmtId="0" fontId="0" fillId="10" borderId="5" xfId="0" applyFill="1" applyBorder="1"/>
    <xf numFmtId="0" fontId="2" fillId="5" borderId="0" xfId="0" applyFont="1" applyFill="1" applyAlignment="1">
      <alignment horizontal="right"/>
    </xf>
    <xf numFmtId="0" fontId="0" fillId="10" borderId="5" xfId="0" applyFill="1" applyBorder="1" applyAlignment="1">
      <alignment horizontal="center"/>
    </xf>
    <xf numFmtId="2" fontId="0" fillId="10" borderId="0" xfId="0" applyNumberFormat="1" applyFill="1" applyBorder="1" applyAlignment="1">
      <alignment horizontal="left"/>
    </xf>
    <xf numFmtId="2" fontId="0" fillId="7" borderId="5" xfId="0" applyNumberFormat="1" applyFill="1" applyBorder="1"/>
    <xf numFmtId="0" fontId="0" fillId="10" borderId="5" xfId="0" applyFill="1" applyBorder="1" applyAlignment="1">
      <alignment horizontal="left" indent="2"/>
    </xf>
    <xf numFmtId="165" fontId="0" fillId="10" borderId="0" xfId="0" applyNumberFormat="1" applyFill="1"/>
    <xf numFmtId="0" fontId="0" fillId="0" borderId="5" xfId="0" applyFill="1" applyBorder="1" applyAlignment="1">
      <alignment horizontal="center" vertical="center" wrapText="1"/>
    </xf>
    <xf numFmtId="0" fontId="0" fillId="0" borderId="5" xfId="0" applyFill="1" applyBorder="1"/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28" fillId="0" borderId="50" xfId="0" applyFont="1" applyBorder="1" applyAlignment="1">
      <alignment vertical="center" wrapText="1"/>
    </xf>
    <xf numFmtId="1" fontId="0" fillId="0" borderId="0" xfId="0" applyNumberFormat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/>
    <xf numFmtId="0" fontId="0" fillId="0" borderId="52" xfId="0" applyBorder="1"/>
    <xf numFmtId="0" fontId="0" fillId="0" borderId="53" xfId="0" applyBorder="1"/>
    <xf numFmtId="0" fontId="31" fillId="7" borderId="3" xfId="0" applyFont="1" applyFill="1" applyBorder="1" applyAlignment="1">
      <alignment horizontal="center" vertical="center" wrapText="1"/>
    </xf>
    <xf numFmtId="0" fontId="31" fillId="7" borderId="58" xfId="0" applyFont="1" applyFill="1" applyBorder="1" applyAlignment="1">
      <alignment horizontal="center" vertical="center" wrapText="1"/>
    </xf>
    <xf numFmtId="0" fontId="28" fillId="0" borderId="50" xfId="0" applyFont="1" applyBorder="1" applyAlignment="1">
      <alignment horizontal="left" vertical="center" wrapText="1"/>
    </xf>
    <xf numFmtId="0" fontId="28" fillId="2" borderId="0" xfId="0" applyFont="1" applyFill="1" applyAlignment="1">
      <alignment horizontal="center" vertical="center" wrapText="1"/>
    </xf>
    <xf numFmtId="166" fontId="0" fillId="0" borderId="0" xfId="0" applyNumberFormat="1" applyAlignment="1">
      <alignment horizontal="left"/>
    </xf>
    <xf numFmtId="0" fontId="2" fillId="0" borderId="0" xfId="0" applyFont="1" applyAlignment="1">
      <alignment horizontal="right" vertical="center" wrapText="1"/>
    </xf>
    <xf numFmtId="1" fontId="2" fillId="0" borderId="0" xfId="0" applyNumberFormat="1" applyFont="1" applyAlignment="1">
      <alignment horizontal="left"/>
    </xf>
    <xf numFmtId="0" fontId="31" fillId="7" borderId="5" xfId="0" applyFont="1" applyFill="1" applyBorder="1" applyAlignment="1">
      <alignment horizontal="center" vertical="center" wrapText="1"/>
    </xf>
    <xf numFmtId="0" fontId="31" fillId="0" borderId="57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1" fillId="0" borderId="58" xfId="0" applyFont="1" applyFill="1" applyBorder="1" applyAlignment="1">
      <alignment horizontal="center" vertical="center" wrapText="1"/>
    </xf>
    <xf numFmtId="0" fontId="0" fillId="0" borderId="50" xfId="0" applyBorder="1" applyAlignment="1">
      <alignment vertical="center" wrapText="1"/>
    </xf>
    <xf numFmtId="0" fontId="28" fillId="0" borderId="0" xfId="0" applyFont="1" applyAlignment="1">
      <alignment horizontal="right"/>
    </xf>
    <xf numFmtId="165" fontId="0" fillId="0" borderId="5" xfId="0" applyNumberFormat="1" applyBorder="1"/>
    <xf numFmtId="0" fontId="0" fillId="4" borderId="0" xfId="0" applyFill="1"/>
    <xf numFmtId="0" fontId="2" fillId="4" borderId="0" xfId="0" applyFont="1" applyFill="1"/>
    <xf numFmtId="0" fontId="3" fillId="4" borderId="59" xfId="0" applyFont="1" applyFill="1" applyBorder="1" applyAlignment="1">
      <alignment horizontal="center" vertical="center" wrapText="1"/>
    </xf>
    <xf numFmtId="167" fontId="3" fillId="4" borderId="1" xfId="0" applyNumberFormat="1" applyFont="1" applyFill="1" applyBorder="1" applyAlignment="1">
      <alignment horizontal="center" vertical="center" wrapText="1"/>
    </xf>
    <xf numFmtId="0" fontId="0" fillId="11" borderId="0" xfId="0" applyFill="1"/>
    <xf numFmtId="0" fontId="2" fillId="11" borderId="0" xfId="0" applyFont="1" applyFill="1"/>
    <xf numFmtId="0" fontId="17" fillId="11" borderId="0" xfId="0" applyFont="1" applyFill="1"/>
    <xf numFmtId="0" fontId="33" fillId="11" borderId="59" xfId="0" applyFont="1" applyFill="1" applyBorder="1" applyAlignment="1">
      <alignment horizontal="center" vertical="center" wrapText="1"/>
    </xf>
    <xf numFmtId="167" fontId="33" fillId="11" borderId="1" xfId="0" applyNumberFormat="1" applyFont="1" applyFill="1" applyBorder="1" applyAlignment="1">
      <alignment horizontal="center" vertical="center" wrapText="1"/>
    </xf>
    <xf numFmtId="168" fontId="0" fillId="0" borderId="5" xfId="0" applyNumberFormat="1" applyBorder="1" applyAlignment="1">
      <alignment horizontal="center"/>
    </xf>
    <xf numFmtId="168" fontId="0" fillId="0" borderId="44" xfId="0" applyNumberFormat="1" applyBorder="1" applyAlignment="1">
      <alignment horizontal="center"/>
    </xf>
    <xf numFmtId="168" fontId="0" fillId="0" borderId="5" xfId="0" applyNumberFormat="1" applyBorder="1"/>
    <xf numFmtId="0" fontId="0" fillId="0" borderId="0" xfId="0" applyFill="1" applyBorder="1" applyAlignment="1">
      <alignment horizontal="center"/>
    </xf>
    <xf numFmtId="168" fontId="0" fillId="0" borderId="0" xfId="0" applyNumberFormat="1"/>
    <xf numFmtId="168" fontId="0" fillId="0" borderId="60" xfId="0" applyNumberFormat="1" applyBorder="1"/>
    <xf numFmtId="165" fontId="0" fillId="0" borderId="60" xfId="0" applyNumberFormat="1" applyBorder="1"/>
    <xf numFmtId="0" fontId="0" fillId="11" borderId="5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17" fillId="12" borderId="5" xfId="0" applyFont="1" applyFill="1" applyBorder="1" applyAlignment="1">
      <alignment horizontal="center" vertical="center"/>
    </xf>
    <xf numFmtId="0" fontId="17" fillId="12" borderId="44" xfId="0" applyFont="1" applyFill="1" applyBorder="1" applyAlignment="1">
      <alignment horizontal="center" vertical="center"/>
    </xf>
    <xf numFmtId="0" fontId="17" fillId="12" borderId="0" xfId="0" applyFont="1" applyFill="1"/>
    <xf numFmtId="0" fontId="35" fillId="12" borderId="59" xfId="0" applyFont="1" applyFill="1" applyBorder="1" applyAlignment="1">
      <alignment horizontal="center" vertical="center" wrapText="1"/>
    </xf>
    <xf numFmtId="167" fontId="35" fillId="12" borderId="1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/>
    </xf>
    <xf numFmtId="0" fontId="36" fillId="0" borderId="58" xfId="0" applyFont="1" applyBorder="1" applyAlignment="1">
      <alignment horizontal="right"/>
    </xf>
    <xf numFmtId="0" fontId="36" fillId="0" borderId="0" xfId="0" applyFont="1" applyBorder="1" applyAlignment="1">
      <alignment vertical="center" wrapText="1"/>
    </xf>
    <xf numFmtId="0" fontId="2" fillId="4" borderId="54" xfId="0" applyFont="1" applyFill="1" applyBorder="1" applyAlignment="1">
      <alignment horizontal="center" vertical="center" wrapText="1"/>
    </xf>
    <xf numFmtId="166" fontId="0" fillId="0" borderId="0" xfId="0" applyNumberFormat="1"/>
    <xf numFmtId="0" fontId="7" fillId="0" borderId="61" xfId="0" applyFont="1" applyBorder="1" applyAlignment="1">
      <alignment horizontal="center" vertical="center" wrapText="1"/>
    </xf>
    <xf numFmtId="0" fontId="0" fillId="4" borderId="61" xfId="0" applyFill="1" applyBorder="1" applyAlignment="1">
      <alignment horizontal="center"/>
    </xf>
    <xf numFmtId="0" fontId="0" fillId="0" borderId="61" xfId="0" applyBorder="1"/>
    <xf numFmtId="0" fontId="0" fillId="5" borderId="61" xfId="0" applyFill="1" applyBorder="1"/>
    <xf numFmtId="0" fontId="0" fillId="10" borderId="61" xfId="0" applyFill="1" applyBorder="1" applyAlignment="1">
      <alignment horizontal="center" vertical="center"/>
    </xf>
    <xf numFmtId="0" fontId="0" fillId="10" borderId="61" xfId="0" applyFill="1" applyBorder="1"/>
    <xf numFmtId="2" fontId="0" fillId="7" borderId="61" xfId="0" applyNumberFormat="1" applyFill="1" applyBorder="1"/>
    <xf numFmtId="0" fontId="0" fillId="0" borderId="61" xfId="0" applyFill="1" applyBorder="1"/>
    <xf numFmtId="165" fontId="0" fillId="0" borderId="61" xfId="0" applyNumberFormat="1" applyBorder="1"/>
    <xf numFmtId="168" fontId="0" fillId="0" borderId="61" xfId="0" applyNumberFormat="1" applyBorder="1" applyAlignment="1">
      <alignment horizontal="center"/>
    </xf>
    <xf numFmtId="168" fontId="0" fillId="0" borderId="47" xfId="0" applyNumberFormat="1" applyBorder="1" applyAlignment="1">
      <alignment horizontal="center"/>
    </xf>
    <xf numFmtId="168" fontId="0" fillId="0" borderId="61" xfId="0" applyNumberFormat="1" applyBorder="1"/>
    <xf numFmtId="0" fontId="0" fillId="0" borderId="0" xfId="0" applyFill="1" applyBorder="1"/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/>
    <xf numFmtId="165" fontId="0" fillId="0" borderId="0" xfId="0" applyNumberFormat="1" applyFill="1" applyBorder="1"/>
    <xf numFmtId="168" fontId="0" fillId="0" borderId="0" xfId="0" applyNumberFormat="1" applyFill="1" applyBorder="1"/>
    <xf numFmtId="165" fontId="0" fillId="0" borderId="0" xfId="0" applyNumberFormat="1"/>
    <xf numFmtId="0" fontId="22" fillId="0" borderId="0" xfId="0" applyFont="1"/>
    <xf numFmtId="0" fontId="42" fillId="0" borderId="0" xfId="0" applyFont="1" applyBorder="1" applyAlignment="1">
      <alignment vertical="center" wrapText="1"/>
    </xf>
    <xf numFmtId="0" fontId="42" fillId="0" borderId="0" xfId="0" applyFont="1" applyAlignment="1">
      <alignment horizontal="right"/>
    </xf>
    <xf numFmtId="0" fontId="42" fillId="0" borderId="58" xfId="0" applyFont="1" applyBorder="1" applyAlignment="1">
      <alignment horizontal="right"/>
    </xf>
    <xf numFmtId="0" fontId="17" fillId="13" borderId="5" xfId="0" applyFont="1" applyFill="1" applyBorder="1" applyAlignment="1">
      <alignment horizontal="center"/>
    </xf>
    <xf numFmtId="0" fontId="17" fillId="13" borderId="5" xfId="0" applyFont="1" applyFill="1" applyBorder="1" applyAlignment="1">
      <alignment horizontal="center" vertical="center"/>
    </xf>
    <xf numFmtId="0" fontId="17" fillId="14" borderId="54" xfId="0" applyFont="1" applyFill="1" applyBorder="1" applyAlignment="1">
      <alignment horizontal="center" vertical="center"/>
    </xf>
    <xf numFmtId="0" fontId="0" fillId="14" borderId="5" xfId="0" applyFill="1" applyBorder="1" applyAlignment="1">
      <alignment horizontal="center"/>
    </xf>
    <xf numFmtId="2" fontId="0" fillId="0" borderId="0" xfId="0" applyNumberFormat="1"/>
    <xf numFmtId="0" fontId="10" fillId="0" borderId="62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right"/>
    </xf>
    <xf numFmtId="0" fontId="36" fillId="0" borderId="0" xfId="0" applyFont="1" applyBorder="1" applyAlignment="1">
      <alignment horizontal="right"/>
    </xf>
    <xf numFmtId="0" fontId="10" fillId="0" borderId="1" xfId="0" applyFont="1" applyBorder="1" applyAlignment="1">
      <alignment horizontal="center" vertical="center" wrapText="1"/>
    </xf>
    <xf numFmtId="2" fontId="0" fillId="0" borderId="0" xfId="0" applyNumberFormat="1" applyAlignment="1">
      <alignment horizontal="left"/>
    </xf>
    <xf numFmtId="0" fontId="0" fillId="0" borderId="5" xfId="0" applyBorder="1" applyAlignment="1">
      <alignment horizontal="center"/>
    </xf>
    <xf numFmtId="0" fontId="49" fillId="0" borderId="0" xfId="0" applyFont="1"/>
    <xf numFmtId="2" fontId="0" fillId="0" borderId="5" xfId="0" applyNumberFormat="1" applyBorder="1" applyAlignment="1">
      <alignment horizontal="center"/>
    </xf>
    <xf numFmtId="0" fontId="3" fillId="0" borderId="63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/>
    </xf>
    <xf numFmtId="0" fontId="10" fillId="0" borderId="63" xfId="0" applyFont="1" applyBorder="1" applyAlignment="1">
      <alignment horizontal="center" vertical="center" wrapText="1"/>
    </xf>
    <xf numFmtId="1" fontId="0" fillId="0" borderId="0" xfId="0" applyNumberFormat="1"/>
    <xf numFmtId="0" fontId="2" fillId="0" borderId="0" xfId="0" applyFont="1" applyAlignment="1">
      <alignment horizontal="right"/>
    </xf>
    <xf numFmtId="0" fontId="8" fillId="0" borderId="9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justify" vertical="center" wrapText="1"/>
    </xf>
    <xf numFmtId="0" fontId="8" fillId="0" borderId="11" xfId="0" applyFont="1" applyBorder="1" applyAlignment="1">
      <alignment horizontal="justify" vertical="center" wrapText="1"/>
    </xf>
    <xf numFmtId="0" fontId="8" fillId="0" borderId="10" xfId="0" applyFont="1" applyBorder="1" applyAlignment="1">
      <alignment horizontal="justify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justify" vertical="center" wrapText="1"/>
    </xf>
    <xf numFmtId="0" fontId="10" fillId="0" borderId="11" xfId="0" applyFont="1" applyBorder="1" applyAlignment="1">
      <alignment horizontal="justify" vertical="center" wrapText="1"/>
    </xf>
    <xf numFmtId="0" fontId="10" fillId="0" borderId="10" xfId="0" applyFont="1" applyBorder="1" applyAlignment="1">
      <alignment horizontal="justify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justify" vertical="center" wrapText="1"/>
    </xf>
    <xf numFmtId="0" fontId="13" fillId="0" borderId="1" xfId="0" applyFont="1" applyBorder="1" applyAlignment="1">
      <alignment horizontal="justify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justify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justify" vertical="center" wrapText="1"/>
    </xf>
    <xf numFmtId="0" fontId="13" fillId="0" borderId="27" xfId="0" applyFont="1" applyBorder="1" applyAlignment="1">
      <alignment horizontal="justify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justify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" fillId="6" borderId="29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7" borderId="29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justify" vertical="center" wrapText="1"/>
    </xf>
    <xf numFmtId="0" fontId="14" fillId="0" borderId="1" xfId="0" applyFont="1" applyBorder="1" applyAlignment="1">
      <alignment horizontal="justify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3" fillId="0" borderId="2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justify" vertical="center" wrapText="1"/>
    </xf>
    <xf numFmtId="0" fontId="13" fillId="0" borderId="33" xfId="0" applyFont="1" applyBorder="1" applyAlignment="1">
      <alignment horizontal="justify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justify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justify" vertical="center" wrapText="1"/>
    </xf>
    <xf numFmtId="0" fontId="16" fillId="0" borderId="30" xfId="0" applyFont="1" applyBorder="1" applyAlignment="1">
      <alignment horizontal="justify" vertical="center" wrapText="1"/>
    </xf>
    <xf numFmtId="0" fontId="16" fillId="0" borderId="1" xfId="0" applyFont="1" applyBorder="1" applyAlignment="1">
      <alignment horizontal="justify" vertical="center" wrapText="1"/>
    </xf>
    <xf numFmtId="0" fontId="19" fillId="5" borderId="30" xfId="0" applyFont="1" applyFill="1" applyBorder="1" applyAlignment="1">
      <alignment horizontal="justify" vertical="center" wrapText="1"/>
    </xf>
    <xf numFmtId="0" fontId="19" fillId="5" borderId="1" xfId="0" applyFont="1" applyFill="1" applyBorder="1" applyAlignment="1">
      <alignment horizontal="justify" vertical="center" wrapText="1"/>
    </xf>
    <xf numFmtId="0" fontId="4" fillId="0" borderId="30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0" borderId="16" xfId="0" applyFont="1" applyBorder="1" applyAlignment="1">
      <alignment horizontal="justify" vertical="center" wrapText="1"/>
    </xf>
    <xf numFmtId="0" fontId="4" fillId="0" borderId="28" xfId="0" applyFont="1" applyBorder="1" applyAlignment="1">
      <alignment horizontal="justify" vertical="center" wrapText="1"/>
    </xf>
    <xf numFmtId="0" fontId="4" fillId="0" borderId="26" xfId="0" applyFont="1" applyBorder="1" applyAlignment="1">
      <alignment horizontal="justify" vertical="center" wrapText="1"/>
    </xf>
    <xf numFmtId="0" fontId="16" fillId="0" borderId="28" xfId="0" applyFont="1" applyBorder="1" applyAlignment="1">
      <alignment horizontal="justify" vertical="center" wrapText="1"/>
    </xf>
    <xf numFmtId="0" fontId="16" fillId="0" borderId="27" xfId="0" applyFont="1" applyBorder="1" applyAlignment="1">
      <alignment horizontal="justify" vertical="center" wrapText="1"/>
    </xf>
    <xf numFmtId="0" fontId="18" fillId="4" borderId="28" xfId="0" applyFont="1" applyFill="1" applyBorder="1" applyAlignment="1">
      <alignment horizontal="justify" vertical="center" wrapText="1"/>
    </xf>
    <xf numFmtId="0" fontId="18" fillId="4" borderId="27" xfId="0" applyFont="1" applyFill="1" applyBorder="1" applyAlignment="1">
      <alignment horizontal="justify" vertical="center" wrapText="1"/>
    </xf>
    <xf numFmtId="0" fontId="4" fillId="0" borderId="27" xfId="0" applyFont="1" applyBorder="1" applyAlignment="1">
      <alignment horizontal="justify" vertical="center" wrapText="1"/>
    </xf>
    <xf numFmtId="0" fontId="18" fillId="5" borderId="30" xfId="0" applyFont="1" applyFill="1" applyBorder="1" applyAlignment="1">
      <alignment horizontal="justify" vertical="center" wrapText="1"/>
    </xf>
    <xf numFmtId="0" fontId="18" fillId="5" borderId="1" xfId="0" applyFont="1" applyFill="1" applyBorder="1" applyAlignment="1">
      <alignment horizontal="justify" vertical="center" wrapText="1"/>
    </xf>
    <xf numFmtId="0" fontId="18" fillId="7" borderId="30" xfId="0" applyFont="1" applyFill="1" applyBorder="1" applyAlignment="1">
      <alignment horizontal="justify" vertical="center" wrapText="1"/>
    </xf>
    <xf numFmtId="0" fontId="18" fillId="7" borderId="1" xfId="0" applyFont="1" applyFill="1" applyBorder="1" applyAlignment="1">
      <alignment horizontal="justify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justify" vertical="center" wrapText="1"/>
    </xf>
    <xf numFmtId="0" fontId="4" fillId="0" borderId="1" xfId="0" applyFont="1" applyFill="1" applyBorder="1" applyAlignment="1">
      <alignment horizontal="justify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8" fillId="0" borderId="24" xfId="0" applyFont="1" applyBorder="1" applyAlignment="1">
      <alignment horizontal="left" vertical="center"/>
    </xf>
    <xf numFmtId="0" fontId="1" fillId="0" borderId="29" xfId="0" applyFont="1" applyBorder="1" applyAlignment="1">
      <alignment horizontal="justify" vertical="center" wrapText="1"/>
    </xf>
    <xf numFmtId="0" fontId="0" fillId="0" borderId="30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42" fillId="0" borderId="0" xfId="0" applyFont="1" applyBorder="1" applyAlignment="1">
      <alignment horizontal="right" vertical="center" wrapText="1"/>
    </xf>
    <xf numFmtId="0" fontId="42" fillId="0" borderId="0" xfId="0" applyFont="1" applyAlignment="1">
      <alignment horizontal="right" wrapText="1"/>
    </xf>
    <xf numFmtId="0" fontId="0" fillId="10" borderId="0" xfId="0" applyFill="1" applyAlignment="1">
      <alignment horizontal="right" vertical="center"/>
    </xf>
    <xf numFmtId="0" fontId="26" fillId="10" borderId="0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right" vertical="center" wrapText="1"/>
    </xf>
    <xf numFmtId="0" fontId="2" fillId="10" borderId="0" xfId="0" applyFont="1" applyFill="1" applyAlignment="1">
      <alignment horizontal="right" vertical="center"/>
    </xf>
    <xf numFmtId="0" fontId="2" fillId="9" borderId="0" xfId="0" applyFont="1" applyFill="1" applyAlignment="1">
      <alignment horizontal="right"/>
    </xf>
    <xf numFmtId="0" fontId="2" fillId="4" borderId="0" xfId="0" applyFont="1" applyFill="1" applyAlignment="1">
      <alignment horizontal="right" vertical="center"/>
    </xf>
    <xf numFmtId="0" fontId="2" fillId="5" borderId="0" xfId="0" applyFont="1" applyFill="1" applyAlignment="1">
      <alignment horizontal="right" vertical="center"/>
    </xf>
    <xf numFmtId="0" fontId="17" fillId="8" borderId="44" xfId="0" applyFont="1" applyFill="1" applyBorder="1" applyAlignment="1">
      <alignment horizontal="right" vertical="center"/>
    </xf>
    <xf numFmtId="0" fontId="17" fillId="8" borderId="55" xfId="0" applyFont="1" applyFill="1" applyBorder="1" applyAlignment="1">
      <alignment horizontal="right" vertical="center"/>
    </xf>
    <xf numFmtId="0" fontId="36" fillId="0" borderId="0" xfId="0" applyFont="1" applyBorder="1" applyAlignment="1">
      <alignment horizontal="right" vertical="center" wrapText="1"/>
    </xf>
    <xf numFmtId="0" fontId="36" fillId="0" borderId="0" xfId="0" applyFont="1" applyAlignment="1">
      <alignment horizontal="right" wrapText="1"/>
    </xf>
    <xf numFmtId="0" fontId="17" fillId="12" borderId="45" xfId="0" applyFont="1" applyFill="1" applyBorder="1" applyAlignment="1">
      <alignment horizontal="center" vertical="center" wrapText="1"/>
    </xf>
    <xf numFmtId="0" fontId="17" fillId="12" borderId="45" xfId="0" applyFont="1" applyFill="1" applyBorder="1" applyAlignment="1">
      <alignment horizontal="center" vertical="center"/>
    </xf>
    <xf numFmtId="0" fontId="17" fillId="13" borderId="0" xfId="0" applyFont="1" applyFill="1" applyBorder="1" applyAlignment="1">
      <alignment horizontal="center"/>
    </xf>
    <xf numFmtId="0" fontId="5" fillId="0" borderId="45" xfId="0" applyFont="1" applyBorder="1" applyAlignment="1">
      <alignment horizontal="center" vertical="center"/>
    </xf>
    <xf numFmtId="0" fontId="28" fillId="0" borderId="50" xfId="0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39" fillId="0" borderId="50" xfId="0" applyFont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0" fontId="8" fillId="2" borderId="63" xfId="0" applyFont="1" applyFill="1" applyBorder="1" applyAlignment="1">
      <alignment vertical="top" wrapText="1"/>
    </xf>
    <xf numFmtId="0" fontId="51" fillId="0" borderId="0" xfId="0" applyFont="1" applyAlignment="1">
      <alignment horizontal="center" vertical="center" wrapText="1"/>
    </xf>
    <xf numFmtId="0" fontId="52" fillId="0" borderId="64" xfId="0" applyFont="1" applyBorder="1" applyAlignment="1">
      <alignment horizontal="left" vertical="center" wrapText="1"/>
    </xf>
    <xf numFmtId="0" fontId="52" fillId="0" borderId="0" xfId="0" applyFont="1" applyBorder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0" fontId="10" fillId="15" borderId="0" xfId="0" applyFont="1" applyFill="1" applyAlignment="1">
      <alignment horizontal="justify" vertical="center" wrapText="1"/>
    </xf>
    <xf numFmtId="0" fontId="1" fillId="2" borderId="0" xfId="0" applyFont="1" applyFill="1" applyAlignment="1">
      <alignment horizontal="center" vertical="center" wrapText="1"/>
    </xf>
    <xf numFmtId="0" fontId="0" fillId="2" borderId="0" xfId="0" applyFill="1" applyAlignment="1">
      <alignment vertical="top" wrapText="1"/>
    </xf>
    <xf numFmtId="0" fontId="1" fillId="2" borderId="63" xfId="0" applyFont="1" applyFill="1" applyBorder="1" applyAlignment="1">
      <alignment horizontal="center" vertical="center" wrapText="1"/>
    </xf>
    <xf numFmtId="0" fontId="10" fillId="15" borderId="63" xfId="0" applyFont="1" applyFill="1" applyBorder="1" applyAlignment="1">
      <alignment horizontal="justify" vertical="center" wrapText="1"/>
    </xf>
    <xf numFmtId="0" fontId="1" fillId="2" borderId="64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1" fillId="6" borderId="0" xfId="0" applyFont="1" applyFill="1" applyAlignment="1">
      <alignment horizontal="center" vertical="center"/>
    </xf>
    <xf numFmtId="0" fontId="36" fillId="0" borderId="0" xfId="0" applyFont="1" applyBorder="1" applyAlignment="1">
      <alignment horizontal="right" wrapText="1"/>
    </xf>
    <xf numFmtId="0" fontId="0" fillId="0" borderId="5" xfId="0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1" fillId="0" borderId="56" xfId="0" applyFont="1" applyBorder="1" applyAlignment="1">
      <alignment horizontal="center" vertical="center" wrapText="1"/>
    </xf>
    <xf numFmtId="0" fontId="31" fillId="0" borderId="57" xfId="0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31" fillId="0" borderId="3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0" fillId="0" borderId="60" xfId="0" applyBorder="1"/>
    <xf numFmtId="0" fontId="0" fillId="0" borderId="65" xfId="0" applyBorder="1"/>
    <xf numFmtId="0" fontId="0" fillId="0" borderId="66" xfId="0" applyBorder="1" applyAlignment="1">
      <alignment horizontal="center"/>
    </xf>
    <xf numFmtId="0" fontId="0" fillId="0" borderId="67" xfId="0" applyBorder="1"/>
    <xf numFmtId="0" fontId="10" fillId="0" borderId="59" xfId="0" applyFont="1" applyBorder="1" applyAlignment="1">
      <alignment horizontal="center" vertical="center" wrapText="1"/>
    </xf>
    <xf numFmtId="0" fontId="3" fillId="0" borderId="68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56" fillId="0" borderId="58" xfId="0" applyFont="1" applyBorder="1" applyAlignment="1">
      <alignment horizontal="justify" vertical="center" wrapText="1"/>
    </xf>
    <xf numFmtId="0" fontId="8" fillId="0" borderId="71" xfId="0" applyFont="1" applyBorder="1" applyAlignment="1">
      <alignment horizontal="left" vertical="center" wrapText="1"/>
    </xf>
    <xf numFmtId="0" fontId="8" fillId="0" borderId="7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3" fillId="0" borderId="69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3" fillId="0" borderId="70" xfId="0" applyFont="1" applyBorder="1" applyAlignment="1">
      <alignment vertical="center" wrapText="1"/>
    </xf>
    <xf numFmtId="0" fontId="3" fillId="0" borderId="58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73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45" fillId="0" borderId="73" xfId="0" applyFont="1" applyBorder="1" applyAlignment="1">
      <alignment horizontal="center" vertical="center" wrapText="1"/>
    </xf>
    <xf numFmtId="0" fontId="45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center" wrapText="1"/>
    </xf>
    <xf numFmtId="0" fontId="3" fillId="0" borderId="73" xfId="0" applyFont="1" applyBorder="1" applyAlignment="1">
      <alignment horizontal="left" wrapText="1"/>
    </xf>
    <xf numFmtId="0" fontId="3" fillId="0" borderId="57" xfId="0" applyFont="1" applyBorder="1" applyAlignment="1">
      <alignment horizontal="left" wrapText="1"/>
    </xf>
    <xf numFmtId="0" fontId="3" fillId="0" borderId="72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3" fillId="0" borderId="7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1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16" borderId="54" xfId="0" applyFont="1" applyFill="1" applyBorder="1" applyAlignment="1">
      <alignment horizontal="center" vertical="center"/>
    </xf>
    <xf numFmtId="0" fontId="17" fillId="17" borderId="0" xfId="0" applyFont="1" applyFill="1" applyAlignment="1">
      <alignment horizontal="center" vertical="center"/>
    </xf>
    <xf numFmtId="175" fontId="3" fillId="0" borderId="73" xfId="0" applyNumberFormat="1" applyFont="1" applyBorder="1" applyAlignment="1">
      <alignment horizontal="center" vertical="center" wrapText="1"/>
    </xf>
    <xf numFmtId="175" fontId="3" fillId="0" borderId="57" xfId="0" applyNumberFormat="1" applyFont="1" applyBorder="1" applyAlignment="1">
      <alignment horizontal="center" vertical="center" wrapText="1"/>
    </xf>
    <xf numFmtId="165" fontId="3" fillId="0" borderId="73" xfId="1" applyNumberFormat="1" applyFont="1" applyBorder="1" applyAlignment="1">
      <alignment horizontal="center" vertical="center" wrapText="1"/>
    </xf>
    <xf numFmtId="165" fontId="3" fillId="0" borderId="57" xfId="1" applyNumberFormat="1" applyFont="1" applyBorder="1" applyAlignment="1">
      <alignment horizontal="center" vertical="center" wrapText="1"/>
    </xf>
    <xf numFmtId="165" fontId="3" fillId="0" borderId="3" xfId="1" applyNumberFormat="1" applyFont="1" applyBorder="1" applyAlignment="1">
      <alignment horizontal="center" vertical="center" wrapText="1"/>
    </xf>
    <xf numFmtId="0" fontId="55" fillId="0" borderId="0" xfId="0" applyFont="1"/>
    <xf numFmtId="2" fontId="0" fillId="0" borderId="0" xfId="0" applyNumberFormat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F3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emf"/><Relationship Id="rId7" Type="http://schemas.openxmlformats.org/officeDocument/2006/relationships/image" Target="../media/image17.png"/><Relationship Id="rId2" Type="http://schemas.openxmlformats.org/officeDocument/2006/relationships/image" Target="../media/image12.emf"/><Relationship Id="rId1" Type="http://schemas.openxmlformats.org/officeDocument/2006/relationships/image" Target="../media/image11.png"/><Relationship Id="rId6" Type="http://schemas.openxmlformats.org/officeDocument/2006/relationships/image" Target="../media/image16.emf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96455</xdr:rowOff>
    </xdr:from>
    <xdr:to>
      <xdr:col>2</xdr:col>
      <xdr:colOff>9645</xdr:colOff>
      <xdr:row>6</xdr:row>
      <xdr:rowOff>309314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607" t="59587" r="61321" b="29846"/>
        <a:stretch/>
      </xdr:blipFill>
      <xdr:spPr>
        <a:xfrm>
          <a:off x="0" y="829518"/>
          <a:ext cx="1224987" cy="613000"/>
        </a:xfrm>
        <a:prstGeom prst="rect">
          <a:avLst/>
        </a:prstGeom>
        <a:ln w="28575">
          <a:solidFill>
            <a:schemeClr val="accent2">
              <a:lumMod val="75000"/>
            </a:schemeClr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</xdr:colOff>
          <xdr:row>11</xdr:row>
          <xdr:rowOff>147477</xdr:rowOff>
        </xdr:from>
        <xdr:to>
          <xdr:col>4</xdr:col>
          <xdr:colOff>546484</xdr:colOff>
          <xdr:row>14</xdr:row>
          <xdr:rowOff>53339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46183</xdr:colOff>
          <xdr:row>11</xdr:row>
          <xdr:rowOff>153669</xdr:rowOff>
        </xdr:from>
        <xdr:to>
          <xdr:col>13</xdr:col>
          <xdr:colOff>0</xdr:colOff>
          <xdr:row>13</xdr:row>
          <xdr:rowOff>144779</xdr:rowOff>
        </xdr:to>
        <xdr:sp macro="" textlink="">
          <xdr:nvSpPr>
            <xdr:cNvPr id="22530" name="Object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28</xdr:col>
      <xdr:colOff>13854</xdr:colOff>
      <xdr:row>1</xdr:row>
      <xdr:rowOff>106217</xdr:rowOff>
    </xdr:from>
    <xdr:to>
      <xdr:col>30</xdr:col>
      <xdr:colOff>4618</xdr:colOff>
      <xdr:row>4</xdr:row>
      <xdr:rowOff>27160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22"/>
            <xdr:cNvSpPr txBox="1"/>
          </xdr:nvSpPr>
          <xdr:spPr>
            <a:xfrm>
              <a:off x="16907163" y="290944"/>
              <a:ext cx="1209964" cy="48898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SDI</m:t>
                    </m:r>
                    <m: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N</m:t>
                    </m:r>
                    <m: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 </m:t>
                    </m:r>
                    <m:sSup>
                      <m:sSupPr>
                        <m:ctrlPr>
                          <a:rPr lang="pt-PT" sz="13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pt-PT" sz="13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pt-PT" sz="13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m:rPr>
                                    <m:sty m:val="p"/>
                                  </m:rPr>
                                  <a:rPr lang="pt-PT" sz="1300" b="0" i="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dg</m:t>
                                </m:r>
                              </m:num>
                              <m:den>
                                <m:r>
                                  <a:rPr lang="pt-PT" sz="1300" b="0" i="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25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en-US" sz="1300" b="0" i="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1.6</m:t>
                        </m:r>
                      </m:sup>
                    </m:sSup>
                  </m:oMath>
                </m:oMathPara>
              </a14:m>
              <a:endParaRPr lang="pt-PT" sz="13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" name="TextBox 22"/>
            <xdr:cNvSpPr txBox="1"/>
          </xdr:nvSpPr>
          <xdr:spPr>
            <a:xfrm>
              <a:off x="16907163" y="290944"/>
              <a:ext cx="1209964" cy="48898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SDI=N </a:t>
              </a:r>
              <a:r>
                <a:rPr lang="pt-PT" sz="1300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pt-PT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dg/25)^</a:t>
              </a:r>
              <a:r>
                <a:rPr lang="en-US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1.6</a:t>
              </a:r>
              <a:endParaRPr lang="pt-PT" sz="130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15394</xdr:colOff>
          <xdr:row>12</xdr:row>
          <xdr:rowOff>218855</xdr:rowOff>
        </xdr:from>
        <xdr:to>
          <xdr:col>23</xdr:col>
          <xdr:colOff>546484</xdr:colOff>
          <xdr:row>14</xdr:row>
          <xdr:rowOff>91440</xdr:rowOff>
        </xdr:to>
        <xdr:sp macro="" textlink="">
          <xdr:nvSpPr>
            <xdr:cNvPr id="22531" name="Object 3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12</xdr:row>
          <xdr:rowOff>294049</xdr:rowOff>
        </xdr:from>
        <xdr:to>
          <xdr:col>26</xdr:col>
          <xdr:colOff>546485</xdr:colOff>
          <xdr:row>14</xdr:row>
          <xdr:rowOff>99060</xdr:rowOff>
        </xdr:to>
        <xdr:sp macro="" textlink="">
          <xdr:nvSpPr>
            <xdr:cNvPr id="22532" name="Object 4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7312</xdr:colOff>
          <xdr:row>12</xdr:row>
          <xdr:rowOff>144141</xdr:rowOff>
        </xdr:from>
        <xdr:to>
          <xdr:col>29</xdr:col>
          <xdr:colOff>577272</xdr:colOff>
          <xdr:row>14</xdr:row>
          <xdr:rowOff>6418</xdr:rowOff>
        </xdr:to>
        <xdr:sp macro="" textlink="">
          <xdr:nvSpPr>
            <xdr:cNvPr id="22533" name="Object 5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30</xdr:col>
      <xdr:colOff>264627</xdr:colOff>
      <xdr:row>12</xdr:row>
      <xdr:rowOff>149620</xdr:rowOff>
    </xdr:from>
    <xdr:to>
      <xdr:col>37</xdr:col>
      <xdr:colOff>299039</xdr:colOff>
      <xdr:row>14</xdr:row>
      <xdr:rowOff>84517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956" t="43064" r="32195" b="46756"/>
        <a:stretch/>
      </xdr:blipFill>
      <xdr:spPr>
        <a:xfrm>
          <a:off x="18483354" y="2504893"/>
          <a:ext cx="4444776" cy="662183"/>
        </a:xfrm>
        <a:prstGeom prst="rect">
          <a:avLst/>
        </a:prstGeom>
      </xdr:spPr>
    </xdr:pic>
    <xdr:clientData/>
  </xdr:twoCellAnchor>
  <xdr:twoCellAnchor editAs="oneCell">
    <xdr:from>
      <xdr:col>41</xdr:col>
      <xdr:colOff>197513</xdr:colOff>
      <xdr:row>7</xdr:row>
      <xdr:rowOff>61452</xdr:rowOff>
    </xdr:from>
    <xdr:to>
      <xdr:col>43</xdr:col>
      <xdr:colOff>289690</xdr:colOff>
      <xdr:row>11</xdr:row>
      <xdr:rowOff>105659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159" t="31227" r="52685" b="57431"/>
        <a:stretch/>
      </xdr:blipFill>
      <xdr:spPr>
        <a:xfrm>
          <a:off x="25258846" y="1585452"/>
          <a:ext cx="1308299" cy="84469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43</xdr:col>
          <xdr:colOff>107757</xdr:colOff>
          <xdr:row>13</xdr:row>
          <xdr:rowOff>7697</xdr:rowOff>
        </xdr:from>
        <xdr:to>
          <xdr:col>43</xdr:col>
          <xdr:colOff>2994121</xdr:colOff>
          <xdr:row>14</xdr:row>
          <xdr:rowOff>5618</xdr:rowOff>
        </xdr:to>
        <xdr:sp macro="" textlink="">
          <xdr:nvSpPr>
            <xdr:cNvPr id="22535" name="Object 7" hidden="1">
              <a:extLst>
                <a:ext uri="{63B3BB69-23CF-44E3-9099-C40C66FF867C}">
                  <a14:compatExt spid="_x0000_s2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</xdr:col>
          <xdr:colOff>92364</xdr:colOff>
          <xdr:row>15</xdr:row>
          <xdr:rowOff>15394</xdr:rowOff>
        </xdr:from>
        <xdr:to>
          <xdr:col>43</xdr:col>
          <xdr:colOff>3001817</xdr:colOff>
          <xdr:row>16</xdr:row>
          <xdr:rowOff>23091</xdr:rowOff>
        </xdr:to>
        <xdr:sp macro="" textlink="">
          <xdr:nvSpPr>
            <xdr:cNvPr id="22534" name="Object 6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137160</xdr:colOff>
      <xdr:row>1</xdr:row>
      <xdr:rowOff>152400</xdr:rowOff>
    </xdr:from>
    <xdr:to>
      <xdr:col>7</xdr:col>
      <xdr:colOff>534513</xdr:colOff>
      <xdr:row>15</xdr:row>
      <xdr:rowOff>113489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163" t="3101" r="27557" b="5201"/>
        <a:stretch/>
      </xdr:blipFill>
      <xdr:spPr>
        <a:xfrm>
          <a:off x="2579883" y="336145"/>
          <a:ext cx="2229396" cy="2544323"/>
        </a:xfrm>
        <a:prstGeom prst="rect">
          <a:avLst/>
        </a:prstGeom>
      </xdr:spPr>
    </xdr:pic>
    <xdr:clientData/>
  </xdr:twoCellAnchor>
  <xdr:twoCellAnchor editAs="oneCell">
    <xdr:from>
      <xdr:col>8</xdr:col>
      <xdr:colOff>213360</xdr:colOff>
      <xdr:row>1</xdr:row>
      <xdr:rowOff>0</xdr:rowOff>
    </xdr:from>
    <xdr:to>
      <xdr:col>12</xdr:col>
      <xdr:colOff>365760</xdr:colOff>
      <xdr:row>3</xdr:row>
      <xdr:rowOff>175260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0160" y="182880"/>
          <a:ext cx="2590800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14</xdr:col>
      <xdr:colOff>556260</xdr:colOff>
      <xdr:row>16</xdr:row>
      <xdr:rowOff>22860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2026920"/>
          <a:ext cx="4213860" cy="9372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44823</xdr:colOff>
      <xdr:row>24</xdr:row>
      <xdr:rowOff>179294</xdr:rowOff>
    </xdr:from>
    <xdr:to>
      <xdr:col>10</xdr:col>
      <xdr:colOff>532503</xdr:colOff>
      <xdr:row>27</xdr:row>
      <xdr:rowOff>72614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143" y="4362674"/>
          <a:ext cx="170688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378297</xdr:colOff>
      <xdr:row>26</xdr:row>
      <xdr:rowOff>66170</xdr:rowOff>
    </xdr:from>
    <xdr:to>
      <xdr:col>15</xdr:col>
      <xdr:colOff>546623</xdr:colOff>
      <xdr:row>29</xdr:row>
      <xdr:rowOff>85612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106" y="4930000"/>
          <a:ext cx="3221730" cy="597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336176</xdr:colOff>
      <xdr:row>27</xdr:row>
      <xdr:rowOff>123265</xdr:rowOff>
    </xdr:from>
    <xdr:to>
      <xdr:col>9</xdr:col>
      <xdr:colOff>412376</xdr:colOff>
      <xdr:row>28</xdr:row>
      <xdr:rowOff>128868</xdr:rowOff>
    </xdr:to>
    <xdr:pic>
      <xdr:nvPicPr>
        <xdr:cNvPr id="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7496" y="4862905"/>
          <a:ext cx="685800" cy="188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89647</xdr:colOff>
      <xdr:row>17</xdr:row>
      <xdr:rowOff>22411</xdr:rowOff>
    </xdr:from>
    <xdr:to>
      <xdr:col>19</xdr:col>
      <xdr:colOff>531607</xdr:colOff>
      <xdr:row>18</xdr:row>
      <xdr:rowOff>174811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0967" y="6567991"/>
          <a:ext cx="1051560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565897</xdr:colOff>
      <xdr:row>17</xdr:row>
      <xdr:rowOff>39220</xdr:rowOff>
    </xdr:from>
    <xdr:to>
      <xdr:col>25</xdr:col>
      <xdr:colOff>511436</xdr:colOff>
      <xdr:row>19</xdr:row>
      <xdr:rowOff>84940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6417" y="6584800"/>
          <a:ext cx="2993539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89647</xdr:colOff>
      <xdr:row>19</xdr:row>
      <xdr:rowOff>11206</xdr:rowOff>
    </xdr:from>
    <xdr:to>
      <xdr:col>20</xdr:col>
      <xdr:colOff>562087</xdr:colOff>
      <xdr:row>20</xdr:row>
      <xdr:rowOff>148366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0967" y="6922546"/>
          <a:ext cx="169164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84044</xdr:colOff>
      <xdr:row>20</xdr:row>
      <xdr:rowOff>95250</xdr:rowOff>
    </xdr:from>
    <xdr:to>
      <xdr:col>19</xdr:col>
      <xdr:colOff>137384</xdr:colOff>
      <xdr:row>22</xdr:row>
      <xdr:rowOff>47513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364" y="7189470"/>
          <a:ext cx="662940" cy="318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156883</xdr:colOff>
      <xdr:row>20</xdr:row>
      <xdr:rowOff>89647</xdr:rowOff>
    </xdr:from>
    <xdr:to>
      <xdr:col>21</xdr:col>
      <xdr:colOff>438823</xdr:colOff>
      <xdr:row>22</xdr:row>
      <xdr:rowOff>39893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7403" y="7183867"/>
          <a:ext cx="891540" cy="316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504242</xdr:colOff>
      <xdr:row>2</xdr:row>
      <xdr:rowOff>34258</xdr:rowOff>
    </xdr:from>
    <xdr:to>
      <xdr:col>7</xdr:col>
      <xdr:colOff>437206</xdr:colOff>
      <xdr:row>5</xdr:row>
      <xdr:rowOff>149972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Rectangle 1"/>
            <xdr:cNvSpPr/>
          </xdr:nvSpPr>
          <xdr:spPr>
            <a:xfrm>
              <a:off x="2947680" y="399514"/>
              <a:ext cx="1765543" cy="663598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Cspac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acc>
                          <m:accPr>
                            <m:chr m:val="̅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cw</m:t>
                            </m:r>
                          </m:e>
                        </m:acc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2" name="Rectangle 1"/>
            <xdr:cNvSpPr/>
          </xdr:nvSpPr>
          <xdr:spPr>
            <a:xfrm>
              <a:off x="2947680" y="399514"/>
              <a:ext cx="1765543" cy="663598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Cspac=100/((cw) ̅√N)</a:t>
              </a:r>
              <a:endParaRPr lang="en-US"/>
            </a:p>
          </xdr:txBody>
        </xdr:sp>
      </mc:Fallback>
    </mc:AlternateContent>
    <xdr:clientData/>
  </xdr:twoCellAnchor>
  <xdr:twoCellAnchor>
    <xdr:from>
      <xdr:col>7</xdr:col>
      <xdr:colOff>320040</xdr:colOff>
      <xdr:row>0</xdr:row>
      <xdr:rowOff>50594</xdr:rowOff>
    </xdr:from>
    <xdr:to>
      <xdr:col>10</xdr:col>
      <xdr:colOff>598264</xdr:colOff>
      <xdr:row>6</xdr:row>
      <xdr:rowOff>180893</xdr:rowOff>
    </xdr:to>
    <xdr:grpSp>
      <xdr:nvGrpSpPr>
        <xdr:cNvPr id="3" name="Group 2"/>
        <xdr:cNvGrpSpPr/>
      </xdr:nvGrpSpPr>
      <xdr:grpSpPr>
        <a:xfrm>
          <a:off x="4594547" y="50594"/>
          <a:ext cx="2115375" cy="1226326"/>
          <a:chOff x="3492397" y="3715006"/>
          <a:chExt cx="2113889" cy="1226005"/>
        </a:xfrm>
      </xdr:grpSpPr>
      <xdr:cxnSp macro="">
        <xdr:nvCxnSpPr>
          <xdr:cNvPr id="4" name="Straight Connector 3"/>
          <xdr:cNvCxnSpPr/>
        </xdr:nvCxnSpPr>
        <xdr:spPr>
          <a:xfrm>
            <a:off x="3935760" y="3933056"/>
            <a:ext cx="0" cy="808622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Straight Connector 4"/>
          <xdr:cNvCxnSpPr/>
        </xdr:nvCxnSpPr>
        <xdr:spPr>
          <a:xfrm>
            <a:off x="3696876" y="4401755"/>
            <a:ext cx="792088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Freeform 5"/>
          <xdr:cNvSpPr/>
        </xdr:nvSpPr>
        <xdr:spPr>
          <a:xfrm>
            <a:off x="3714735" y="3939753"/>
            <a:ext cx="812353" cy="818604"/>
          </a:xfrm>
          <a:custGeom>
            <a:avLst/>
            <a:gdLst>
              <a:gd name="connsiteX0" fmla="*/ 4040 w 812353"/>
              <a:gd name="connsiteY0" fmla="*/ 477701 h 818604"/>
              <a:gd name="connsiteX1" fmla="*/ 90972 w 812353"/>
              <a:gd name="connsiteY1" fmla="*/ 387548 h 818604"/>
              <a:gd name="connsiteX2" fmla="*/ 39457 w 812353"/>
              <a:gd name="connsiteY2" fmla="*/ 361791 h 818604"/>
              <a:gd name="connsiteX3" fmla="*/ 49116 w 812353"/>
              <a:gd name="connsiteY3" fmla="*/ 287737 h 818604"/>
              <a:gd name="connsiteX4" fmla="*/ 65214 w 812353"/>
              <a:gd name="connsiteY4" fmla="*/ 223343 h 818604"/>
              <a:gd name="connsiteX5" fmla="*/ 90972 w 812353"/>
              <a:gd name="connsiteY5" fmla="*/ 162168 h 818604"/>
              <a:gd name="connsiteX6" fmla="*/ 129609 w 812353"/>
              <a:gd name="connsiteY6" fmla="*/ 165388 h 818604"/>
              <a:gd name="connsiteX7" fmla="*/ 152147 w 812353"/>
              <a:gd name="connsiteY7" fmla="*/ 97774 h 818604"/>
              <a:gd name="connsiteX8" fmla="*/ 152147 w 812353"/>
              <a:gd name="connsiteY8" fmla="*/ 68796 h 818604"/>
              <a:gd name="connsiteX9" fmla="*/ 148927 w 812353"/>
              <a:gd name="connsiteY9" fmla="*/ 36599 h 818604"/>
              <a:gd name="connsiteX10" fmla="*/ 197223 w 812353"/>
              <a:gd name="connsiteY10" fmla="*/ 7622 h 818604"/>
              <a:gd name="connsiteX11" fmla="*/ 248738 w 812353"/>
              <a:gd name="connsiteY11" fmla="*/ 1182 h 818604"/>
              <a:gd name="connsiteX12" fmla="*/ 277716 w 812353"/>
              <a:gd name="connsiteY12" fmla="*/ 26940 h 818604"/>
              <a:gd name="connsiteX13" fmla="*/ 297034 w 812353"/>
              <a:gd name="connsiteY13" fmla="*/ 68796 h 818604"/>
              <a:gd name="connsiteX14" fmla="*/ 300254 w 812353"/>
              <a:gd name="connsiteY14" fmla="*/ 107433 h 818604"/>
              <a:gd name="connsiteX15" fmla="*/ 300254 w 812353"/>
              <a:gd name="connsiteY15" fmla="*/ 152509 h 818604"/>
              <a:gd name="connsiteX16" fmla="*/ 329231 w 812353"/>
              <a:gd name="connsiteY16" fmla="*/ 204024 h 818604"/>
              <a:gd name="connsiteX17" fmla="*/ 354989 w 812353"/>
              <a:gd name="connsiteY17" fmla="*/ 197585 h 818604"/>
              <a:gd name="connsiteX18" fmla="*/ 380747 w 812353"/>
              <a:gd name="connsiteY18" fmla="*/ 191146 h 818604"/>
              <a:gd name="connsiteX19" fmla="*/ 419383 w 812353"/>
              <a:gd name="connsiteY19" fmla="*/ 181486 h 818604"/>
              <a:gd name="connsiteX20" fmla="*/ 425823 w 812353"/>
              <a:gd name="connsiteY20" fmla="*/ 216903 h 818604"/>
              <a:gd name="connsiteX21" fmla="*/ 429042 w 812353"/>
              <a:gd name="connsiteY21" fmla="*/ 261979 h 818604"/>
              <a:gd name="connsiteX22" fmla="*/ 441921 w 812353"/>
              <a:gd name="connsiteY22" fmla="*/ 274858 h 818604"/>
              <a:gd name="connsiteX23" fmla="*/ 461240 w 812353"/>
              <a:gd name="connsiteY23" fmla="*/ 261979 h 818604"/>
              <a:gd name="connsiteX24" fmla="*/ 480558 w 812353"/>
              <a:gd name="connsiteY24" fmla="*/ 239441 h 818604"/>
              <a:gd name="connsiteX25" fmla="*/ 493437 w 812353"/>
              <a:gd name="connsiteY25" fmla="*/ 255540 h 818604"/>
              <a:gd name="connsiteX26" fmla="*/ 509535 w 812353"/>
              <a:gd name="connsiteY26" fmla="*/ 284517 h 818604"/>
              <a:gd name="connsiteX27" fmla="*/ 515975 w 812353"/>
              <a:gd name="connsiteY27" fmla="*/ 332813 h 818604"/>
              <a:gd name="connsiteX28" fmla="*/ 557831 w 812353"/>
              <a:gd name="connsiteY28" fmla="*/ 336033 h 818604"/>
              <a:gd name="connsiteX29" fmla="*/ 590028 w 812353"/>
              <a:gd name="connsiteY29" fmla="*/ 329593 h 818604"/>
              <a:gd name="connsiteX30" fmla="*/ 615786 w 812353"/>
              <a:gd name="connsiteY30" fmla="*/ 329593 h 818604"/>
              <a:gd name="connsiteX31" fmla="*/ 712378 w 812353"/>
              <a:gd name="connsiteY31" fmla="*/ 329593 h 818604"/>
              <a:gd name="connsiteX32" fmla="*/ 734916 w 812353"/>
              <a:gd name="connsiteY32" fmla="*/ 352132 h 818604"/>
              <a:gd name="connsiteX33" fmla="*/ 760673 w 812353"/>
              <a:gd name="connsiteY33" fmla="*/ 384329 h 818604"/>
              <a:gd name="connsiteX34" fmla="*/ 776772 w 812353"/>
              <a:gd name="connsiteY34" fmla="*/ 406867 h 818604"/>
              <a:gd name="connsiteX35" fmla="*/ 796090 w 812353"/>
              <a:gd name="connsiteY35" fmla="*/ 435844 h 818604"/>
              <a:gd name="connsiteX36" fmla="*/ 812189 w 812353"/>
              <a:gd name="connsiteY36" fmla="*/ 468041 h 818604"/>
              <a:gd name="connsiteX37" fmla="*/ 802530 w 812353"/>
              <a:gd name="connsiteY37" fmla="*/ 497019 h 818604"/>
              <a:gd name="connsiteX38" fmla="*/ 773552 w 812353"/>
              <a:gd name="connsiteY38" fmla="*/ 522777 h 818604"/>
              <a:gd name="connsiteX39" fmla="*/ 751014 w 812353"/>
              <a:gd name="connsiteY39" fmla="*/ 551754 h 818604"/>
              <a:gd name="connsiteX40" fmla="*/ 722037 w 812353"/>
              <a:gd name="connsiteY40" fmla="*/ 564633 h 818604"/>
              <a:gd name="connsiteX41" fmla="*/ 693059 w 812353"/>
              <a:gd name="connsiteY41" fmla="*/ 571072 h 818604"/>
              <a:gd name="connsiteX42" fmla="*/ 644764 w 812353"/>
              <a:gd name="connsiteY42" fmla="*/ 619368 h 818604"/>
              <a:gd name="connsiteX43" fmla="*/ 609347 w 812353"/>
              <a:gd name="connsiteY43" fmla="*/ 622588 h 818604"/>
              <a:gd name="connsiteX44" fmla="*/ 525634 w 812353"/>
              <a:gd name="connsiteY44" fmla="*/ 587171 h 818604"/>
              <a:gd name="connsiteX45" fmla="*/ 499876 w 812353"/>
              <a:gd name="connsiteY45" fmla="*/ 645126 h 818604"/>
              <a:gd name="connsiteX46" fmla="*/ 303473 w 812353"/>
              <a:gd name="connsiteY46" fmla="*/ 651565 h 818604"/>
              <a:gd name="connsiteX47" fmla="*/ 293814 w 812353"/>
              <a:gd name="connsiteY47" fmla="*/ 667664 h 818604"/>
              <a:gd name="connsiteX48" fmla="*/ 293814 w 812353"/>
              <a:gd name="connsiteY48" fmla="*/ 693422 h 818604"/>
              <a:gd name="connsiteX49" fmla="*/ 293814 w 812353"/>
              <a:gd name="connsiteY49" fmla="*/ 738498 h 818604"/>
              <a:gd name="connsiteX50" fmla="*/ 297034 w 812353"/>
              <a:gd name="connsiteY50" fmla="*/ 770695 h 818604"/>
              <a:gd name="connsiteX51" fmla="*/ 264837 w 812353"/>
              <a:gd name="connsiteY51" fmla="*/ 809332 h 818604"/>
              <a:gd name="connsiteX52" fmla="*/ 197223 w 812353"/>
              <a:gd name="connsiteY52" fmla="*/ 809332 h 818604"/>
              <a:gd name="connsiteX53" fmla="*/ 168245 w 812353"/>
              <a:gd name="connsiteY53" fmla="*/ 706301 h 818604"/>
              <a:gd name="connsiteX54" fmla="*/ 136048 w 812353"/>
              <a:gd name="connsiteY54" fmla="*/ 645126 h 818604"/>
              <a:gd name="connsiteX55" fmla="*/ 42676 w 812353"/>
              <a:gd name="connsiteY55" fmla="*/ 622588 h 818604"/>
              <a:gd name="connsiteX56" fmla="*/ 4040 w 812353"/>
              <a:gd name="connsiteY56" fmla="*/ 609709 h 818604"/>
              <a:gd name="connsiteX57" fmla="*/ 820 w 812353"/>
              <a:gd name="connsiteY57" fmla="*/ 580732 h 818604"/>
              <a:gd name="connsiteX58" fmla="*/ 820 w 812353"/>
              <a:gd name="connsiteY58" fmla="*/ 551754 h 818604"/>
              <a:gd name="connsiteX59" fmla="*/ 4040 w 812353"/>
              <a:gd name="connsiteY59" fmla="*/ 477701 h 81860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</a:cxnLst>
            <a:rect l="l" t="t" r="r" b="b"/>
            <a:pathLst>
              <a:path w="812353" h="818604">
                <a:moveTo>
                  <a:pt x="4040" y="477701"/>
                </a:moveTo>
                <a:cubicBezTo>
                  <a:pt x="44554" y="442283"/>
                  <a:pt x="85069" y="406866"/>
                  <a:pt x="90972" y="387548"/>
                </a:cubicBezTo>
                <a:cubicBezTo>
                  <a:pt x="96875" y="368230"/>
                  <a:pt x="46433" y="378426"/>
                  <a:pt x="39457" y="361791"/>
                </a:cubicBezTo>
                <a:cubicBezTo>
                  <a:pt x="32481" y="345156"/>
                  <a:pt x="44823" y="310812"/>
                  <a:pt x="49116" y="287737"/>
                </a:cubicBezTo>
                <a:cubicBezTo>
                  <a:pt x="53409" y="264662"/>
                  <a:pt x="58238" y="244271"/>
                  <a:pt x="65214" y="223343"/>
                </a:cubicBezTo>
                <a:cubicBezTo>
                  <a:pt x="72190" y="202415"/>
                  <a:pt x="80240" y="171827"/>
                  <a:pt x="90972" y="162168"/>
                </a:cubicBezTo>
                <a:cubicBezTo>
                  <a:pt x="101704" y="152509"/>
                  <a:pt x="119413" y="176120"/>
                  <a:pt x="129609" y="165388"/>
                </a:cubicBezTo>
                <a:cubicBezTo>
                  <a:pt x="139805" y="154656"/>
                  <a:pt x="148391" y="113873"/>
                  <a:pt x="152147" y="97774"/>
                </a:cubicBezTo>
                <a:cubicBezTo>
                  <a:pt x="155903" y="81675"/>
                  <a:pt x="152684" y="78992"/>
                  <a:pt x="152147" y="68796"/>
                </a:cubicBezTo>
                <a:cubicBezTo>
                  <a:pt x="151610" y="58600"/>
                  <a:pt x="141414" y="46795"/>
                  <a:pt x="148927" y="36599"/>
                </a:cubicBezTo>
                <a:cubicBezTo>
                  <a:pt x="156440" y="26403"/>
                  <a:pt x="180588" y="13525"/>
                  <a:pt x="197223" y="7622"/>
                </a:cubicBezTo>
                <a:cubicBezTo>
                  <a:pt x="213858" y="1719"/>
                  <a:pt x="235323" y="-2038"/>
                  <a:pt x="248738" y="1182"/>
                </a:cubicBezTo>
                <a:cubicBezTo>
                  <a:pt x="262153" y="4402"/>
                  <a:pt x="269667" y="15671"/>
                  <a:pt x="277716" y="26940"/>
                </a:cubicBezTo>
                <a:cubicBezTo>
                  <a:pt x="285765" y="38209"/>
                  <a:pt x="293278" y="55381"/>
                  <a:pt x="297034" y="68796"/>
                </a:cubicBezTo>
                <a:cubicBezTo>
                  <a:pt x="300790" y="82211"/>
                  <a:pt x="299717" y="93481"/>
                  <a:pt x="300254" y="107433"/>
                </a:cubicBezTo>
                <a:cubicBezTo>
                  <a:pt x="300791" y="121385"/>
                  <a:pt x="295425" y="136410"/>
                  <a:pt x="300254" y="152509"/>
                </a:cubicBezTo>
                <a:cubicBezTo>
                  <a:pt x="305084" y="168607"/>
                  <a:pt x="320109" y="196511"/>
                  <a:pt x="329231" y="204024"/>
                </a:cubicBezTo>
                <a:cubicBezTo>
                  <a:pt x="338353" y="211537"/>
                  <a:pt x="354989" y="197585"/>
                  <a:pt x="354989" y="197585"/>
                </a:cubicBezTo>
                <a:lnTo>
                  <a:pt x="380747" y="191146"/>
                </a:lnTo>
                <a:cubicBezTo>
                  <a:pt x="391479" y="188463"/>
                  <a:pt x="411870" y="177193"/>
                  <a:pt x="419383" y="181486"/>
                </a:cubicBezTo>
                <a:cubicBezTo>
                  <a:pt x="426896" y="185779"/>
                  <a:pt x="424213" y="203488"/>
                  <a:pt x="425823" y="216903"/>
                </a:cubicBezTo>
                <a:cubicBezTo>
                  <a:pt x="427433" y="230318"/>
                  <a:pt x="426359" y="252320"/>
                  <a:pt x="429042" y="261979"/>
                </a:cubicBezTo>
                <a:cubicBezTo>
                  <a:pt x="431725" y="271638"/>
                  <a:pt x="436555" y="274858"/>
                  <a:pt x="441921" y="274858"/>
                </a:cubicBezTo>
                <a:cubicBezTo>
                  <a:pt x="447287" y="274858"/>
                  <a:pt x="454801" y="267882"/>
                  <a:pt x="461240" y="261979"/>
                </a:cubicBezTo>
                <a:cubicBezTo>
                  <a:pt x="467679" y="256076"/>
                  <a:pt x="475192" y="240514"/>
                  <a:pt x="480558" y="239441"/>
                </a:cubicBezTo>
                <a:cubicBezTo>
                  <a:pt x="485924" y="238368"/>
                  <a:pt x="488608" y="248027"/>
                  <a:pt x="493437" y="255540"/>
                </a:cubicBezTo>
                <a:cubicBezTo>
                  <a:pt x="498266" y="263053"/>
                  <a:pt x="505779" y="271638"/>
                  <a:pt x="509535" y="284517"/>
                </a:cubicBezTo>
                <a:cubicBezTo>
                  <a:pt x="513291" y="297396"/>
                  <a:pt x="507926" y="324227"/>
                  <a:pt x="515975" y="332813"/>
                </a:cubicBezTo>
                <a:cubicBezTo>
                  <a:pt x="524024" y="341399"/>
                  <a:pt x="545489" y="336570"/>
                  <a:pt x="557831" y="336033"/>
                </a:cubicBezTo>
                <a:cubicBezTo>
                  <a:pt x="570173" y="335496"/>
                  <a:pt x="580369" y="330666"/>
                  <a:pt x="590028" y="329593"/>
                </a:cubicBezTo>
                <a:cubicBezTo>
                  <a:pt x="599687" y="328520"/>
                  <a:pt x="615786" y="329593"/>
                  <a:pt x="615786" y="329593"/>
                </a:cubicBezTo>
                <a:cubicBezTo>
                  <a:pt x="636178" y="329593"/>
                  <a:pt x="692523" y="325837"/>
                  <a:pt x="712378" y="329593"/>
                </a:cubicBezTo>
                <a:cubicBezTo>
                  <a:pt x="732233" y="333349"/>
                  <a:pt x="726867" y="343009"/>
                  <a:pt x="734916" y="352132"/>
                </a:cubicBezTo>
                <a:cubicBezTo>
                  <a:pt x="742965" y="361255"/>
                  <a:pt x="753697" y="375207"/>
                  <a:pt x="760673" y="384329"/>
                </a:cubicBezTo>
                <a:cubicBezTo>
                  <a:pt x="767649" y="393451"/>
                  <a:pt x="770869" y="398281"/>
                  <a:pt x="776772" y="406867"/>
                </a:cubicBezTo>
                <a:cubicBezTo>
                  <a:pt x="782675" y="415453"/>
                  <a:pt x="790187" y="425648"/>
                  <a:pt x="796090" y="435844"/>
                </a:cubicBezTo>
                <a:cubicBezTo>
                  <a:pt x="801993" y="446040"/>
                  <a:pt x="811116" y="457845"/>
                  <a:pt x="812189" y="468041"/>
                </a:cubicBezTo>
                <a:cubicBezTo>
                  <a:pt x="813262" y="478237"/>
                  <a:pt x="808970" y="487896"/>
                  <a:pt x="802530" y="497019"/>
                </a:cubicBezTo>
                <a:cubicBezTo>
                  <a:pt x="796090" y="506142"/>
                  <a:pt x="782138" y="513655"/>
                  <a:pt x="773552" y="522777"/>
                </a:cubicBezTo>
                <a:cubicBezTo>
                  <a:pt x="764966" y="531899"/>
                  <a:pt x="759600" y="544778"/>
                  <a:pt x="751014" y="551754"/>
                </a:cubicBezTo>
                <a:cubicBezTo>
                  <a:pt x="742428" y="558730"/>
                  <a:pt x="731696" y="561413"/>
                  <a:pt x="722037" y="564633"/>
                </a:cubicBezTo>
                <a:cubicBezTo>
                  <a:pt x="712378" y="567853"/>
                  <a:pt x="705938" y="561950"/>
                  <a:pt x="693059" y="571072"/>
                </a:cubicBezTo>
                <a:cubicBezTo>
                  <a:pt x="680180" y="580194"/>
                  <a:pt x="658716" y="610782"/>
                  <a:pt x="644764" y="619368"/>
                </a:cubicBezTo>
                <a:cubicBezTo>
                  <a:pt x="630812" y="627954"/>
                  <a:pt x="629202" y="627954"/>
                  <a:pt x="609347" y="622588"/>
                </a:cubicBezTo>
                <a:cubicBezTo>
                  <a:pt x="589492" y="617222"/>
                  <a:pt x="543879" y="583415"/>
                  <a:pt x="525634" y="587171"/>
                </a:cubicBezTo>
                <a:cubicBezTo>
                  <a:pt x="507389" y="590927"/>
                  <a:pt x="536903" y="634394"/>
                  <a:pt x="499876" y="645126"/>
                </a:cubicBezTo>
                <a:cubicBezTo>
                  <a:pt x="462849" y="655858"/>
                  <a:pt x="337817" y="647809"/>
                  <a:pt x="303473" y="651565"/>
                </a:cubicBezTo>
                <a:cubicBezTo>
                  <a:pt x="269129" y="655321"/>
                  <a:pt x="295424" y="660688"/>
                  <a:pt x="293814" y="667664"/>
                </a:cubicBezTo>
                <a:cubicBezTo>
                  <a:pt x="292204" y="674640"/>
                  <a:pt x="293814" y="693422"/>
                  <a:pt x="293814" y="693422"/>
                </a:cubicBezTo>
                <a:cubicBezTo>
                  <a:pt x="293814" y="705228"/>
                  <a:pt x="293277" y="725619"/>
                  <a:pt x="293814" y="738498"/>
                </a:cubicBezTo>
                <a:cubicBezTo>
                  <a:pt x="294351" y="751377"/>
                  <a:pt x="301863" y="758889"/>
                  <a:pt x="297034" y="770695"/>
                </a:cubicBezTo>
                <a:cubicBezTo>
                  <a:pt x="292205" y="782501"/>
                  <a:pt x="281472" y="802893"/>
                  <a:pt x="264837" y="809332"/>
                </a:cubicBezTo>
                <a:cubicBezTo>
                  <a:pt x="248202" y="815771"/>
                  <a:pt x="213322" y="826504"/>
                  <a:pt x="197223" y="809332"/>
                </a:cubicBezTo>
                <a:cubicBezTo>
                  <a:pt x="181124" y="792160"/>
                  <a:pt x="178441" y="733669"/>
                  <a:pt x="168245" y="706301"/>
                </a:cubicBezTo>
                <a:cubicBezTo>
                  <a:pt x="158049" y="678933"/>
                  <a:pt x="156976" y="659078"/>
                  <a:pt x="136048" y="645126"/>
                </a:cubicBezTo>
                <a:cubicBezTo>
                  <a:pt x="115120" y="631174"/>
                  <a:pt x="64677" y="628491"/>
                  <a:pt x="42676" y="622588"/>
                </a:cubicBezTo>
                <a:cubicBezTo>
                  <a:pt x="20675" y="616685"/>
                  <a:pt x="11016" y="616685"/>
                  <a:pt x="4040" y="609709"/>
                </a:cubicBezTo>
                <a:cubicBezTo>
                  <a:pt x="-2936" y="602733"/>
                  <a:pt x="1357" y="590391"/>
                  <a:pt x="820" y="580732"/>
                </a:cubicBezTo>
                <a:cubicBezTo>
                  <a:pt x="283" y="571073"/>
                  <a:pt x="820" y="551754"/>
                  <a:pt x="820" y="551754"/>
                </a:cubicBezTo>
                <a:lnTo>
                  <a:pt x="4040" y="477701"/>
                </a:lnTo>
                <a:close/>
              </a:path>
            </a:pathLst>
          </a:custGeom>
          <a:noFill/>
          <a:ln w="3175">
            <a:solidFill>
              <a:srgbClr val="008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TextBox 28"/>
          <xdr:cNvSpPr txBox="1"/>
        </xdr:nvSpPr>
        <xdr:spPr>
          <a:xfrm>
            <a:off x="3811177" y="3715006"/>
            <a:ext cx="648072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tx1">
                    <a:lumMod val="50000"/>
                    <a:lumOff val="50000"/>
                  </a:schemeClr>
                </a:solidFill>
              </a:rPr>
              <a:t>r</a:t>
            </a:r>
            <a:r>
              <a:rPr lang="en-US" sz="1200" baseline="-25000">
                <a:solidFill>
                  <a:schemeClr val="tx1">
                    <a:lumMod val="50000"/>
                    <a:lumOff val="50000"/>
                  </a:schemeClr>
                </a:solidFill>
              </a:rPr>
              <a:t>N</a:t>
            </a:r>
          </a:p>
        </xdr:txBody>
      </xdr:sp>
      <xdr:sp macro="" textlink="">
        <xdr:nvSpPr>
          <xdr:cNvPr id="8" name="TextBox 29"/>
          <xdr:cNvSpPr txBox="1"/>
        </xdr:nvSpPr>
        <xdr:spPr>
          <a:xfrm>
            <a:off x="3818805" y="4664012"/>
            <a:ext cx="648072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tx1">
                    <a:lumMod val="50000"/>
                    <a:lumOff val="50000"/>
                  </a:schemeClr>
                </a:solidFill>
              </a:rPr>
              <a:t>r</a:t>
            </a:r>
            <a:r>
              <a:rPr lang="en-US" sz="1200" baseline="-25000">
                <a:solidFill>
                  <a:schemeClr val="tx1">
                    <a:lumMod val="50000"/>
                    <a:lumOff val="50000"/>
                  </a:schemeClr>
                </a:solidFill>
              </a:rPr>
              <a:t>S</a:t>
            </a:r>
          </a:p>
        </xdr:txBody>
      </xdr:sp>
      <xdr:sp macro="" textlink="">
        <xdr:nvSpPr>
          <xdr:cNvPr id="9" name="TextBox 30"/>
          <xdr:cNvSpPr txBox="1"/>
        </xdr:nvSpPr>
        <xdr:spPr>
          <a:xfrm>
            <a:off x="4459249" y="4253750"/>
            <a:ext cx="648072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tx1">
                    <a:lumMod val="50000"/>
                    <a:lumOff val="50000"/>
                  </a:schemeClr>
                </a:solidFill>
              </a:rPr>
              <a:t>r</a:t>
            </a:r>
            <a:r>
              <a:rPr lang="en-US" sz="1200" baseline="-25000">
                <a:solidFill>
                  <a:schemeClr val="tx1">
                    <a:lumMod val="50000"/>
                    <a:lumOff val="50000"/>
                  </a:schemeClr>
                </a:solidFill>
              </a:rPr>
              <a:t>E</a:t>
            </a:r>
          </a:p>
        </xdr:txBody>
      </xdr:sp>
      <xdr:sp macro="" textlink="">
        <xdr:nvSpPr>
          <xdr:cNvPr id="10" name="TextBox 31"/>
          <xdr:cNvSpPr txBox="1"/>
        </xdr:nvSpPr>
        <xdr:spPr>
          <a:xfrm>
            <a:off x="3492397" y="4223867"/>
            <a:ext cx="648072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tx1">
                    <a:lumMod val="50000"/>
                    <a:lumOff val="50000"/>
                  </a:schemeClr>
                </a:solidFill>
              </a:rPr>
              <a:t>r</a:t>
            </a:r>
            <a:r>
              <a:rPr lang="en-US" sz="1200" baseline="-25000">
                <a:solidFill>
                  <a:schemeClr val="tx1">
                    <a:lumMod val="50000"/>
                    <a:lumOff val="50000"/>
                  </a:schemeClr>
                </a:solidFill>
              </a:rPr>
              <a:t>O</a:t>
            </a:r>
          </a:p>
        </xdr:txBody>
      </xdr:sp>
      <xdr:sp macro="" textlink="">
        <xdr:nvSpPr>
          <xdr:cNvPr id="11" name="TextBox 32"/>
          <xdr:cNvSpPr txBox="1"/>
        </xdr:nvSpPr>
        <xdr:spPr>
          <a:xfrm>
            <a:off x="4685098" y="3982248"/>
            <a:ext cx="921188" cy="84377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i="1">
                <a:solidFill>
                  <a:schemeClr val="tx1">
                    <a:lumMod val="50000"/>
                    <a:lumOff val="50000"/>
                  </a:schemeClr>
                </a:solidFill>
              </a:rPr>
              <a:t>Média de todos os r das árvores da parcela</a:t>
            </a:r>
          </a:p>
        </xdr:txBody>
      </xdr:sp>
    </xdr:grpSp>
    <xdr:clientData/>
  </xdr:twoCellAnchor>
  <xdr:twoCellAnchor>
    <xdr:from>
      <xdr:col>10</xdr:col>
      <xdr:colOff>0</xdr:colOff>
      <xdr:row>9</xdr:row>
      <xdr:rowOff>0</xdr:rowOff>
    </xdr:from>
    <xdr:to>
      <xdr:col>14</xdr:col>
      <xdr:colOff>287958</xdr:colOff>
      <xdr:row>11</xdr:row>
      <xdr:rowOff>98411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Rectangle 11"/>
            <xdr:cNvSpPr/>
          </xdr:nvSpPr>
          <xdr:spPr>
            <a:xfrm>
              <a:off x="6114893" y="1684587"/>
              <a:ext cx="2463751" cy="63370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400050" lvl="1" indent="0">
                <a:buNone/>
              </a:pPr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Cc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m:rPr>
                                <m:sty m:val="p"/>
                                <m:brk m:alnAt="23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i</m:t>
                            </m:r>
                            <m:r>
                              <a:rPr lang="pt-PT" altLang="en-US" i="0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sup>
                          <m:e>
                            <m:sSub>
                              <m:sSubPr>
                                <m:ctrlPr>
                                  <a:rPr lang="pt-PT" altLang="en-US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m:rPr>
                                    <m:sty m:val="p"/>
                                  </m:rPr>
                                  <a:rPr lang="pt-PT" altLang="en-US" i="0">
                                    <a:latin typeface="Cambria Math" panose="02040503050406030204" pitchFamily="18" charset="0"/>
                                  </a:rPr>
                                  <m:t>ca</m:t>
                                </m:r>
                              </m:e>
                              <m:sub>
                                <m:r>
                                  <m:rPr>
                                    <m:sty m:val="p"/>
                                  </m:rPr>
                                  <a:rPr lang="pt-PT" altLang="en-US" i="0">
                                    <a:latin typeface="Cambria Math" panose="02040503050406030204" pitchFamily="18" charset="0"/>
                                  </a:rPr>
                                  <m:t>i</m:t>
                                </m:r>
                              </m:sub>
                            </m:sSub>
                          </m:e>
                        </m:nary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A</m:t>
                        </m:r>
                      </m:den>
                    </m:f>
                    <m:r>
                      <a:rPr lang="pt-PT" altLang="en-US" i="0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pt-PT" altLang="en-US"/>
            </a:p>
          </xdr:txBody>
        </xdr:sp>
      </mc:Choice>
      <mc:Fallback xmlns="">
        <xdr:sp macro="" textlink="">
          <xdr:nvSpPr>
            <xdr:cNvPr id="12" name="Rectangle 11"/>
            <xdr:cNvSpPr/>
          </xdr:nvSpPr>
          <xdr:spPr>
            <a:xfrm>
              <a:off x="6114893" y="1684587"/>
              <a:ext cx="2463751" cy="63370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400050" lvl="1" indent="0">
                <a:buNone/>
              </a:pPr>
              <a:r>
                <a:rPr lang="pt-PT" altLang="en-US" i="0">
                  <a:latin typeface="Cambria Math" panose="02040503050406030204" pitchFamily="18" charset="0"/>
                </a:rPr>
                <a:t>Cc=(∑_(i=1)^n▒ca_i )/A  100</a:t>
              </a:r>
              <a:endParaRPr lang="pt-PT" altLang="en-US"/>
            </a:p>
          </xdr:txBody>
        </xdr:sp>
      </mc:Fallback>
    </mc:AlternateContent>
    <xdr:clientData/>
  </xdr:twoCellAnchor>
  <xdr:twoCellAnchor editAs="oneCell">
    <xdr:from>
      <xdr:col>10</xdr:col>
      <xdr:colOff>119744</xdr:colOff>
      <xdr:row>11</xdr:row>
      <xdr:rowOff>32657</xdr:rowOff>
    </xdr:from>
    <xdr:to>
      <xdr:col>14</xdr:col>
      <xdr:colOff>67850</xdr:colOff>
      <xdr:row>18</xdr:row>
      <xdr:rowOff>91472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31402" y="2256027"/>
          <a:ext cx="2192352" cy="14105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28"/>
  <sheetViews>
    <sheetView topLeftCell="A10" zoomScale="95" zoomScaleNormal="95" workbookViewId="0">
      <selection activeCell="AH3" sqref="AH3"/>
    </sheetView>
  </sheetViews>
  <sheetFormatPr defaultRowHeight="14.4" x14ac:dyDescent="0.3"/>
  <cols>
    <col min="1" max="1" width="1.77734375" customWidth="1"/>
    <col min="2" max="3" width="4.5546875" customWidth="1"/>
    <col min="4" max="12" width="2.33203125" customWidth="1"/>
    <col min="13" max="13" width="3" customWidth="1"/>
    <col min="14" max="16" width="2.33203125" customWidth="1"/>
    <col min="17" max="17" width="5.5546875" customWidth="1"/>
    <col min="18" max="19" width="3.109375" customWidth="1"/>
    <col min="20" max="32" width="3" customWidth="1"/>
    <col min="34" max="41" width="4.21875" customWidth="1"/>
  </cols>
  <sheetData>
    <row r="2" spans="2:41" ht="15" thickBot="1" x14ac:dyDescent="0.35">
      <c r="B2" s="298" t="s">
        <v>6</v>
      </c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</row>
    <row r="3" spans="2:41" ht="15.6" thickTop="1" thickBot="1" x14ac:dyDescent="0.35">
      <c r="B3" s="196" t="s">
        <v>7</v>
      </c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8"/>
      <c r="Q3" s="199" t="s">
        <v>8</v>
      </c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1"/>
    </row>
    <row r="4" spans="2:41" ht="16.2" customHeight="1" thickTop="1" thickBot="1" x14ac:dyDescent="0.35">
      <c r="B4" s="202" t="s">
        <v>9</v>
      </c>
      <c r="C4" s="203"/>
      <c r="D4" s="204" t="s">
        <v>10</v>
      </c>
      <c r="E4" s="205"/>
      <c r="F4" s="205"/>
      <c r="G4" s="205"/>
      <c r="H4" s="205"/>
      <c r="I4" s="205"/>
      <c r="J4" s="205"/>
      <c r="K4" s="205"/>
      <c r="L4" s="205"/>
      <c r="M4" s="206"/>
      <c r="N4" s="207" t="s">
        <v>11</v>
      </c>
      <c r="O4" s="208"/>
      <c r="P4" s="209"/>
      <c r="Q4" s="210" t="s">
        <v>12</v>
      </c>
      <c r="R4" s="211"/>
      <c r="S4" s="211"/>
      <c r="T4" s="211"/>
      <c r="U4" s="211"/>
      <c r="V4" s="211"/>
      <c r="W4" s="211"/>
      <c r="X4" s="211"/>
      <c r="Y4" s="211"/>
      <c r="Z4" s="211"/>
      <c r="AA4" s="212"/>
      <c r="AB4" s="207" t="s">
        <v>13</v>
      </c>
      <c r="AC4" s="208"/>
      <c r="AD4" s="208"/>
      <c r="AE4" s="208"/>
      <c r="AF4" s="209"/>
    </row>
    <row r="5" spans="2:41" ht="15.6" thickTop="1" thickBot="1" x14ac:dyDescent="0.35">
      <c r="B5" s="219" t="s">
        <v>14</v>
      </c>
      <c r="C5" s="220"/>
      <c r="D5" s="250"/>
      <c r="E5" s="251"/>
      <c r="F5" s="252"/>
      <c r="G5" s="251"/>
      <c r="H5" s="252"/>
      <c r="I5" s="251"/>
      <c r="J5" s="252"/>
      <c r="K5" s="251"/>
      <c r="L5" s="221"/>
      <c r="M5" s="222"/>
      <c r="N5" s="226"/>
      <c r="O5" s="227"/>
      <c r="P5" s="5"/>
      <c r="Q5" s="25">
        <v>30.6</v>
      </c>
      <c r="R5" s="228">
        <v>19.600000000000001</v>
      </c>
      <c r="S5" s="229"/>
      <c r="T5" s="230"/>
      <c r="U5" s="231"/>
      <c r="V5" s="228"/>
      <c r="W5" s="229"/>
      <c r="X5" s="230"/>
      <c r="Y5" s="231"/>
      <c r="Z5" s="228"/>
      <c r="AA5" s="229"/>
      <c r="AB5" s="230">
        <v>8.4</v>
      </c>
      <c r="AC5" s="231"/>
      <c r="AD5" s="228"/>
      <c r="AE5" s="229"/>
      <c r="AF5" s="6"/>
      <c r="AH5" s="232" t="s">
        <v>15</v>
      </c>
      <c r="AI5" s="233"/>
      <c r="AJ5" s="234"/>
      <c r="AK5" s="227"/>
      <c r="AL5" s="234"/>
      <c r="AM5" s="227"/>
      <c r="AN5" s="234"/>
      <c r="AO5" s="227"/>
    </row>
    <row r="6" spans="2:41" ht="15" thickBot="1" x14ac:dyDescent="0.35">
      <c r="B6" s="217" t="s">
        <v>16</v>
      </c>
      <c r="C6" s="218"/>
      <c r="D6" s="250"/>
      <c r="E6" s="251"/>
      <c r="F6" s="252"/>
      <c r="G6" s="251"/>
      <c r="H6" s="252"/>
      <c r="I6" s="251"/>
      <c r="J6" s="252"/>
      <c r="K6" s="251"/>
      <c r="L6" s="221"/>
      <c r="M6" s="222"/>
      <c r="N6" s="223"/>
      <c r="O6" s="216"/>
      <c r="P6" s="5"/>
      <c r="Q6" s="26">
        <v>26.4</v>
      </c>
      <c r="R6" s="224">
        <v>21.7</v>
      </c>
      <c r="S6" s="225"/>
      <c r="T6" s="235"/>
      <c r="U6" s="236"/>
      <c r="V6" s="224"/>
      <c r="W6" s="225"/>
      <c r="X6" s="235"/>
      <c r="Y6" s="236"/>
      <c r="Z6" s="224"/>
      <c r="AA6" s="225"/>
      <c r="AB6" s="235"/>
      <c r="AC6" s="236"/>
      <c r="AD6" s="224"/>
      <c r="AE6" s="225"/>
      <c r="AF6" s="6"/>
      <c r="AH6" s="213" t="s">
        <v>15</v>
      </c>
      <c r="AI6" s="214"/>
      <c r="AJ6" s="215"/>
      <c r="AK6" s="216"/>
      <c r="AL6" s="215"/>
      <c r="AM6" s="216"/>
      <c r="AN6" s="215"/>
      <c r="AO6" s="216"/>
    </row>
    <row r="7" spans="2:41" ht="15" thickBot="1" x14ac:dyDescent="0.35">
      <c r="B7" s="241" t="s">
        <v>17</v>
      </c>
      <c r="C7" s="242"/>
      <c r="D7" s="250" t="s">
        <v>15</v>
      </c>
      <c r="E7" s="251"/>
      <c r="F7" s="252"/>
      <c r="G7" s="251"/>
      <c r="H7" s="252"/>
      <c r="I7" s="251"/>
      <c r="J7" s="252"/>
      <c r="K7" s="251"/>
      <c r="L7" s="221"/>
      <c r="M7" s="222"/>
      <c r="N7" s="223"/>
      <c r="O7" s="216"/>
      <c r="P7" s="5"/>
      <c r="Q7" s="27">
        <v>14.6</v>
      </c>
      <c r="R7" s="224">
        <v>23.2</v>
      </c>
      <c r="S7" s="225"/>
      <c r="T7" s="235"/>
      <c r="U7" s="236"/>
      <c r="V7" s="224"/>
      <c r="W7" s="225"/>
      <c r="X7" s="235"/>
      <c r="Y7" s="236"/>
      <c r="Z7" s="224"/>
      <c r="AA7" s="225"/>
      <c r="AB7" s="235"/>
      <c r="AC7" s="236"/>
      <c r="AD7" s="224"/>
      <c r="AE7" s="225"/>
      <c r="AF7" s="6"/>
      <c r="AH7" s="213" t="s">
        <v>18</v>
      </c>
      <c r="AI7" s="214"/>
      <c r="AJ7" s="215"/>
      <c r="AK7" s="216"/>
      <c r="AL7" s="215"/>
      <c r="AM7" s="216"/>
      <c r="AN7" s="215"/>
      <c r="AO7" s="216"/>
    </row>
    <row r="8" spans="2:41" ht="15" thickBot="1" x14ac:dyDescent="0.35">
      <c r="B8" s="239" t="s">
        <v>19</v>
      </c>
      <c r="C8" s="240"/>
      <c r="D8" s="250"/>
      <c r="E8" s="251"/>
      <c r="F8" s="252"/>
      <c r="G8" s="251"/>
      <c r="H8" s="252"/>
      <c r="I8" s="251"/>
      <c r="J8" s="252"/>
      <c r="K8" s="251"/>
      <c r="L8" s="221"/>
      <c r="M8" s="222"/>
      <c r="N8" s="223"/>
      <c r="O8" s="216"/>
      <c r="P8" s="5"/>
      <c r="Q8" s="14">
        <v>24.1</v>
      </c>
      <c r="R8" s="224">
        <v>25.4</v>
      </c>
      <c r="S8" s="225"/>
      <c r="T8" s="235"/>
      <c r="U8" s="236"/>
      <c r="V8" s="224"/>
      <c r="W8" s="225"/>
      <c r="X8" s="235"/>
      <c r="Y8" s="236"/>
      <c r="Z8" s="224"/>
      <c r="AA8" s="225"/>
      <c r="AB8" s="235"/>
      <c r="AC8" s="236"/>
      <c r="AD8" s="224"/>
      <c r="AE8" s="225"/>
      <c r="AF8" s="6"/>
      <c r="AH8" s="237" t="s">
        <v>18</v>
      </c>
      <c r="AI8" s="238"/>
      <c r="AJ8" s="215" t="s">
        <v>18</v>
      </c>
      <c r="AK8" s="216"/>
      <c r="AL8" s="215"/>
      <c r="AM8" s="216"/>
      <c r="AN8" s="215"/>
      <c r="AO8" s="216"/>
    </row>
    <row r="9" spans="2:41" ht="15" thickBot="1" x14ac:dyDescent="0.35">
      <c r="B9" s="248" t="s">
        <v>20</v>
      </c>
      <c r="C9" s="249"/>
      <c r="D9" s="250" t="s">
        <v>39</v>
      </c>
      <c r="E9" s="251"/>
      <c r="F9" s="252" t="s">
        <v>15</v>
      </c>
      <c r="G9" s="251"/>
      <c r="H9" s="252"/>
      <c r="I9" s="251"/>
      <c r="J9" s="252"/>
      <c r="K9" s="251"/>
      <c r="L9" s="221"/>
      <c r="M9" s="222"/>
      <c r="N9" s="223"/>
      <c r="O9" s="216"/>
      <c r="P9" s="5"/>
      <c r="Q9" s="14">
        <v>26</v>
      </c>
      <c r="R9" s="224">
        <v>14.5</v>
      </c>
      <c r="S9" s="225"/>
      <c r="T9" s="235"/>
      <c r="U9" s="236"/>
      <c r="V9" s="224"/>
      <c r="W9" s="225"/>
      <c r="X9" s="235"/>
      <c r="Y9" s="236"/>
      <c r="Z9" s="224"/>
      <c r="AA9" s="225"/>
      <c r="AB9" s="235"/>
      <c r="AC9" s="236"/>
      <c r="AD9" s="224"/>
      <c r="AE9" s="225"/>
      <c r="AF9" s="6"/>
      <c r="AH9" s="237" t="s">
        <v>18</v>
      </c>
      <c r="AI9" s="238"/>
      <c r="AJ9" s="243" t="s">
        <v>18</v>
      </c>
      <c r="AK9" s="238"/>
      <c r="AL9" s="244" t="s">
        <v>18</v>
      </c>
      <c r="AM9" s="245"/>
      <c r="AN9" s="215"/>
      <c r="AO9" s="216"/>
    </row>
    <row r="10" spans="2:41" ht="15" thickBot="1" x14ac:dyDescent="0.35">
      <c r="B10" s="246" t="s">
        <v>21</v>
      </c>
      <c r="C10" s="247"/>
      <c r="D10" s="250" t="s">
        <v>22</v>
      </c>
      <c r="E10" s="251"/>
      <c r="F10" s="252"/>
      <c r="G10" s="251"/>
      <c r="H10" s="252"/>
      <c r="I10" s="251"/>
      <c r="J10" s="252"/>
      <c r="K10" s="251"/>
      <c r="L10" s="221"/>
      <c r="M10" s="222"/>
      <c r="N10" s="223"/>
      <c r="O10" s="216"/>
      <c r="P10" s="5"/>
      <c r="Q10" s="14">
        <v>23.8</v>
      </c>
      <c r="R10" s="224">
        <v>22.1</v>
      </c>
      <c r="S10" s="225"/>
      <c r="T10" s="235"/>
      <c r="U10" s="236"/>
      <c r="V10" s="224"/>
      <c r="W10" s="225"/>
      <c r="X10" s="235"/>
      <c r="Y10" s="236"/>
      <c r="Z10" s="224"/>
      <c r="AA10" s="225"/>
      <c r="AB10" s="235"/>
      <c r="AC10" s="236"/>
      <c r="AD10" s="224"/>
      <c r="AE10" s="225"/>
      <c r="AF10" s="6"/>
      <c r="AH10" s="213" t="s">
        <v>15</v>
      </c>
      <c r="AI10" s="214"/>
      <c r="AJ10" s="215"/>
      <c r="AK10" s="216"/>
      <c r="AL10" s="215"/>
      <c r="AM10" s="216"/>
      <c r="AN10" s="215"/>
      <c r="AO10" s="216"/>
    </row>
    <row r="11" spans="2:41" ht="15" thickBot="1" x14ac:dyDescent="0.35">
      <c r="B11" s="253" t="s">
        <v>23</v>
      </c>
      <c r="C11" s="254"/>
      <c r="D11" s="250"/>
      <c r="E11" s="251"/>
      <c r="F11" s="252"/>
      <c r="G11" s="251"/>
      <c r="H11" s="252"/>
      <c r="I11" s="251"/>
      <c r="J11" s="252"/>
      <c r="K11" s="251"/>
      <c r="L11" s="221"/>
      <c r="M11" s="222"/>
      <c r="N11" s="223"/>
      <c r="O11" s="216"/>
      <c r="P11" s="5"/>
      <c r="Q11" s="15">
        <v>13.9</v>
      </c>
      <c r="R11" s="224">
        <v>20.3</v>
      </c>
      <c r="S11" s="225"/>
      <c r="T11" s="235"/>
      <c r="U11" s="236"/>
      <c r="V11" s="224"/>
      <c r="W11" s="225"/>
      <c r="X11" s="235"/>
      <c r="Y11" s="236"/>
      <c r="Z11" s="224"/>
      <c r="AA11" s="225"/>
      <c r="AB11" s="235"/>
      <c r="AC11" s="236"/>
      <c r="AD11" s="224"/>
      <c r="AE11" s="225"/>
      <c r="AF11" s="6"/>
      <c r="AH11" s="213"/>
      <c r="AI11" s="214"/>
      <c r="AJ11" s="215"/>
      <c r="AK11" s="216"/>
      <c r="AL11" s="215"/>
      <c r="AM11" s="216"/>
      <c r="AN11" s="215"/>
      <c r="AO11" s="216"/>
    </row>
    <row r="12" spans="2:41" ht="15" thickBot="1" x14ac:dyDescent="0.35">
      <c r="B12" s="253" t="s">
        <v>24</v>
      </c>
      <c r="C12" s="254"/>
      <c r="D12" s="250"/>
      <c r="E12" s="251"/>
      <c r="F12" s="252"/>
      <c r="G12" s="251"/>
      <c r="H12" s="252"/>
      <c r="I12" s="251"/>
      <c r="J12" s="252"/>
      <c r="K12" s="251"/>
      <c r="L12" s="221"/>
      <c r="M12" s="222"/>
      <c r="N12" s="223"/>
      <c r="O12" s="216"/>
      <c r="P12" s="5"/>
      <c r="Q12" s="14">
        <v>22.7</v>
      </c>
      <c r="R12" s="224">
        <v>23.5</v>
      </c>
      <c r="S12" s="225"/>
      <c r="T12" s="235"/>
      <c r="U12" s="236"/>
      <c r="V12" s="224"/>
      <c r="W12" s="225"/>
      <c r="X12" s="235"/>
      <c r="Y12" s="236"/>
      <c r="Z12" s="224"/>
      <c r="AA12" s="225"/>
      <c r="AB12" s="235"/>
      <c r="AC12" s="236"/>
      <c r="AD12" s="224"/>
      <c r="AE12" s="225"/>
      <c r="AF12" s="6"/>
      <c r="AH12" s="213"/>
      <c r="AI12" s="214"/>
      <c r="AJ12" s="215"/>
      <c r="AK12" s="216"/>
      <c r="AL12" s="215"/>
      <c r="AM12" s="216"/>
      <c r="AN12" s="215"/>
      <c r="AO12" s="216"/>
    </row>
    <row r="13" spans="2:41" ht="15" thickBot="1" x14ac:dyDescent="0.35">
      <c r="B13" s="253" t="s">
        <v>25</v>
      </c>
      <c r="C13" s="254"/>
      <c r="D13" s="250"/>
      <c r="E13" s="251"/>
      <c r="F13" s="252"/>
      <c r="G13" s="251"/>
      <c r="H13" s="252"/>
      <c r="I13" s="251"/>
      <c r="J13" s="252"/>
      <c r="K13" s="251"/>
      <c r="L13" s="221"/>
      <c r="M13" s="222"/>
      <c r="N13" s="223"/>
      <c r="O13" s="216"/>
      <c r="P13" s="5"/>
      <c r="Q13" s="28">
        <v>25.7</v>
      </c>
      <c r="R13" s="224">
        <v>17.100000000000001</v>
      </c>
      <c r="S13" s="225"/>
      <c r="T13" s="235"/>
      <c r="U13" s="236"/>
      <c r="V13" s="224"/>
      <c r="W13" s="225"/>
      <c r="X13" s="235"/>
      <c r="Y13" s="236"/>
      <c r="Z13" s="224"/>
      <c r="AA13" s="225"/>
      <c r="AB13" s="235"/>
      <c r="AC13" s="236"/>
      <c r="AD13" s="224"/>
      <c r="AE13" s="225"/>
      <c r="AF13" s="6"/>
      <c r="AH13" s="213"/>
      <c r="AI13" s="214"/>
      <c r="AJ13" s="215"/>
      <c r="AK13" s="216"/>
      <c r="AL13" s="215"/>
      <c r="AM13" s="216"/>
      <c r="AN13" s="215"/>
      <c r="AO13" s="216"/>
    </row>
    <row r="14" spans="2:41" ht="15" thickBot="1" x14ac:dyDescent="0.35">
      <c r="B14" s="253" t="s">
        <v>26</v>
      </c>
      <c r="C14" s="254"/>
      <c r="D14" s="250"/>
      <c r="E14" s="251"/>
      <c r="F14" s="252"/>
      <c r="G14" s="251"/>
      <c r="H14" s="252"/>
      <c r="I14" s="251"/>
      <c r="J14" s="252"/>
      <c r="K14" s="251"/>
      <c r="L14" s="221"/>
      <c r="M14" s="222"/>
      <c r="N14" s="223"/>
      <c r="O14" s="216"/>
      <c r="P14" s="5"/>
      <c r="Q14" s="18">
        <v>22.7</v>
      </c>
      <c r="R14" s="224">
        <v>24.1</v>
      </c>
      <c r="S14" s="225"/>
      <c r="T14" s="235"/>
      <c r="U14" s="236"/>
      <c r="V14" s="224"/>
      <c r="W14" s="225"/>
      <c r="X14" s="235"/>
      <c r="Y14" s="236"/>
      <c r="Z14" s="224"/>
      <c r="AA14" s="225"/>
      <c r="AB14" s="235"/>
      <c r="AC14" s="236"/>
      <c r="AD14" s="224"/>
      <c r="AE14" s="225"/>
      <c r="AF14" s="6"/>
      <c r="AH14" s="213"/>
      <c r="AI14" s="214"/>
      <c r="AJ14" s="215"/>
      <c r="AK14" s="216"/>
      <c r="AL14" s="215"/>
      <c r="AM14" s="216"/>
      <c r="AN14" s="215"/>
      <c r="AO14" s="216"/>
    </row>
    <row r="15" spans="2:41" ht="15" thickBot="1" x14ac:dyDescent="0.35">
      <c r="B15" s="253" t="s">
        <v>27</v>
      </c>
      <c r="C15" s="254"/>
      <c r="D15" s="250"/>
      <c r="E15" s="251"/>
      <c r="F15" s="252"/>
      <c r="G15" s="251"/>
      <c r="H15" s="252"/>
      <c r="I15" s="251"/>
      <c r="J15" s="252"/>
      <c r="K15" s="251"/>
      <c r="L15" s="221"/>
      <c r="M15" s="222"/>
      <c r="N15" s="223"/>
      <c r="O15" s="216"/>
      <c r="P15" s="5"/>
      <c r="Q15" s="17">
        <v>11.5</v>
      </c>
      <c r="R15" s="224">
        <v>25.4</v>
      </c>
      <c r="S15" s="225"/>
      <c r="T15" s="235"/>
      <c r="U15" s="236"/>
      <c r="V15" s="224"/>
      <c r="W15" s="225"/>
      <c r="X15" s="235"/>
      <c r="Y15" s="236"/>
      <c r="Z15" s="224"/>
      <c r="AA15" s="225"/>
      <c r="AB15" s="235"/>
      <c r="AC15" s="236"/>
      <c r="AD15" s="224"/>
      <c r="AE15" s="225"/>
      <c r="AF15" s="7"/>
      <c r="AH15" s="213"/>
      <c r="AI15" s="214"/>
      <c r="AJ15" s="215"/>
      <c r="AK15" s="216"/>
      <c r="AL15" s="215"/>
      <c r="AM15" s="216"/>
      <c r="AN15" s="215"/>
      <c r="AO15" s="216"/>
    </row>
    <row r="16" spans="2:41" ht="15" thickBot="1" x14ac:dyDescent="0.35">
      <c r="B16" s="253" t="s">
        <v>28</v>
      </c>
      <c r="C16" s="254"/>
      <c r="D16" s="250"/>
      <c r="E16" s="251"/>
      <c r="F16" s="252"/>
      <c r="G16" s="251"/>
      <c r="H16" s="252"/>
      <c r="I16" s="251"/>
      <c r="J16" s="252"/>
      <c r="K16" s="251"/>
      <c r="L16" s="221"/>
      <c r="M16" s="222"/>
      <c r="N16" s="223"/>
      <c r="O16" s="216"/>
      <c r="P16" s="5"/>
      <c r="Q16" s="17">
        <v>11.1</v>
      </c>
      <c r="R16" s="224"/>
      <c r="S16" s="225"/>
      <c r="T16" s="235"/>
      <c r="U16" s="236"/>
      <c r="V16" s="224"/>
      <c r="W16" s="225"/>
      <c r="X16" s="235"/>
      <c r="Y16" s="236"/>
      <c r="Z16" s="224"/>
      <c r="AA16" s="225"/>
      <c r="AB16" s="235"/>
      <c r="AC16" s="236"/>
      <c r="AD16" s="224"/>
      <c r="AE16" s="225"/>
      <c r="AF16" s="8"/>
      <c r="AH16" s="213"/>
      <c r="AI16" s="214"/>
      <c r="AJ16" s="215"/>
      <c r="AK16" s="216"/>
      <c r="AL16" s="215"/>
      <c r="AM16" s="216"/>
      <c r="AN16" s="215"/>
      <c r="AO16" s="216"/>
    </row>
    <row r="17" spans="2:41" ht="15" thickBot="1" x14ac:dyDescent="0.35">
      <c r="B17" s="253" t="s">
        <v>29</v>
      </c>
      <c r="C17" s="254"/>
      <c r="D17" s="250"/>
      <c r="E17" s="251"/>
      <c r="F17" s="252"/>
      <c r="G17" s="251"/>
      <c r="H17" s="252"/>
      <c r="I17" s="251"/>
      <c r="J17" s="252"/>
      <c r="K17" s="251"/>
      <c r="L17" s="221"/>
      <c r="M17" s="222"/>
      <c r="N17" s="223"/>
      <c r="O17" s="216"/>
      <c r="P17" s="5"/>
      <c r="Q17" s="19">
        <v>23.2</v>
      </c>
      <c r="R17" s="224"/>
      <c r="S17" s="225"/>
      <c r="T17" s="235"/>
      <c r="U17" s="236"/>
      <c r="V17" s="224"/>
      <c r="W17" s="225"/>
      <c r="X17" s="235"/>
      <c r="Y17" s="236"/>
      <c r="Z17" s="224"/>
      <c r="AA17" s="225"/>
      <c r="AB17" s="235"/>
      <c r="AC17" s="236"/>
      <c r="AD17" s="224"/>
      <c r="AE17" s="225"/>
      <c r="AF17" s="7"/>
      <c r="AH17" s="213"/>
      <c r="AI17" s="214"/>
      <c r="AJ17" s="215"/>
      <c r="AK17" s="216"/>
      <c r="AL17" s="215"/>
      <c r="AM17" s="216"/>
      <c r="AN17" s="215"/>
      <c r="AO17" s="216"/>
    </row>
    <row r="18" spans="2:41" ht="15" thickBot="1" x14ac:dyDescent="0.35">
      <c r="B18" s="261" t="s">
        <v>30</v>
      </c>
      <c r="C18" s="262"/>
      <c r="D18" s="300"/>
      <c r="E18" s="301"/>
      <c r="F18" s="302"/>
      <c r="G18" s="301"/>
      <c r="H18" s="302"/>
      <c r="I18" s="301"/>
      <c r="J18" s="302"/>
      <c r="K18" s="301"/>
      <c r="L18" s="259"/>
      <c r="M18" s="214"/>
      <c r="N18" s="260"/>
      <c r="O18" s="258"/>
      <c r="P18" s="9"/>
      <c r="Q18" s="24">
        <v>21.6</v>
      </c>
      <c r="R18" s="224"/>
      <c r="S18" s="225"/>
      <c r="T18" s="235"/>
      <c r="U18" s="236"/>
      <c r="V18" s="224"/>
      <c r="W18" s="225"/>
      <c r="X18" s="235"/>
      <c r="Y18" s="236"/>
      <c r="Z18" s="224"/>
      <c r="AA18" s="225"/>
      <c r="AB18" s="235"/>
      <c r="AC18" s="236"/>
      <c r="AD18" s="224"/>
      <c r="AE18" s="225"/>
      <c r="AF18" s="10"/>
      <c r="AH18" s="255"/>
      <c r="AI18" s="256"/>
      <c r="AJ18" s="257"/>
      <c r="AK18" s="258"/>
      <c r="AL18" s="257"/>
      <c r="AM18" s="258"/>
      <c r="AN18" s="257"/>
      <c r="AO18" s="258"/>
    </row>
    <row r="19" spans="2:41" ht="15.6" thickTop="1" thickBot="1" x14ac:dyDescent="0.35">
      <c r="B19" s="199" t="s">
        <v>31</v>
      </c>
      <c r="C19" s="200"/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00"/>
      <c r="O19" s="200"/>
      <c r="P19" s="201"/>
      <c r="Q19" s="20">
        <v>18.2</v>
      </c>
      <c r="R19" s="224"/>
      <c r="S19" s="225"/>
      <c r="T19" s="235"/>
      <c r="U19" s="236"/>
      <c r="V19" s="224"/>
      <c r="W19" s="225"/>
      <c r="X19" s="235"/>
      <c r="Y19" s="236"/>
      <c r="Z19" s="224"/>
      <c r="AA19" s="225"/>
      <c r="AB19" s="235"/>
      <c r="AC19" s="236"/>
      <c r="AD19" s="224"/>
      <c r="AE19" s="225"/>
      <c r="AF19" s="10"/>
    </row>
    <row r="20" spans="2:41" ht="15.6" thickTop="1" thickBot="1" x14ac:dyDescent="0.35">
      <c r="B20" s="11" t="s">
        <v>32</v>
      </c>
      <c r="C20" s="263" t="s">
        <v>33</v>
      </c>
      <c r="D20" s="264"/>
      <c r="E20" s="263" t="s">
        <v>34</v>
      </c>
      <c r="F20" s="264"/>
      <c r="G20" s="263" t="s">
        <v>5</v>
      </c>
      <c r="H20" s="264"/>
      <c r="I20" s="263" t="s">
        <v>35</v>
      </c>
      <c r="J20" s="264"/>
      <c r="K20" s="263" t="s">
        <v>36</v>
      </c>
      <c r="L20" s="264"/>
      <c r="M20" s="263" t="s">
        <v>37</v>
      </c>
      <c r="N20" s="264"/>
      <c r="O20" s="263"/>
      <c r="P20" s="203"/>
      <c r="Q20" s="21">
        <v>24.2</v>
      </c>
      <c r="R20" s="224"/>
      <c r="S20" s="225"/>
      <c r="T20" s="235"/>
      <c r="U20" s="236"/>
      <c r="V20" s="224"/>
      <c r="W20" s="225"/>
      <c r="X20" s="235"/>
      <c r="Y20" s="236"/>
      <c r="Z20" s="224"/>
      <c r="AA20" s="225"/>
      <c r="AB20" s="235"/>
      <c r="AC20" s="236"/>
      <c r="AD20" s="224"/>
      <c r="AE20" s="225"/>
      <c r="AF20" s="8"/>
    </row>
    <row r="21" spans="2:41" ht="15.6" thickTop="1" thickBot="1" x14ac:dyDescent="0.35">
      <c r="B21" s="12">
        <v>1</v>
      </c>
      <c r="C21" s="275" t="s">
        <v>38</v>
      </c>
      <c r="D21" s="276"/>
      <c r="E21" s="277">
        <v>30.6</v>
      </c>
      <c r="F21" s="278"/>
      <c r="G21" s="273">
        <v>14.2</v>
      </c>
      <c r="H21" s="279"/>
      <c r="I21" s="273">
        <v>6.2</v>
      </c>
      <c r="J21" s="279"/>
      <c r="K21" s="273">
        <v>1.5</v>
      </c>
      <c r="L21" s="279"/>
      <c r="M21" s="273">
        <v>1.7</v>
      </c>
      <c r="N21" s="279"/>
      <c r="O21" s="273"/>
      <c r="P21" s="274"/>
      <c r="Q21" s="22">
        <v>21.5</v>
      </c>
      <c r="R21" s="224"/>
      <c r="S21" s="225"/>
      <c r="T21" s="235"/>
      <c r="U21" s="236"/>
      <c r="V21" s="224"/>
      <c r="W21" s="225"/>
      <c r="X21" s="235"/>
      <c r="Y21" s="236"/>
      <c r="Z21" s="224"/>
      <c r="AA21" s="225"/>
      <c r="AB21" s="235"/>
      <c r="AC21" s="236"/>
      <c r="AD21" s="224"/>
      <c r="AE21" s="225"/>
      <c r="AF21" s="6"/>
    </row>
    <row r="22" spans="2:41" ht="15" thickBot="1" x14ac:dyDescent="0.35">
      <c r="B22" s="12">
        <v>2</v>
      </c>
      <c r="C22" s="266" t="s">
        <v>38</v>
      </c>
      <c r="D22" s="267"/>
      <c r="E22" s="268">
        <v>26.4</v>
      </c>
      <c r="F22" s="269"/>
      <c r="G22" s="270">
        <v>14.9</v>
      </c>
      <c r="H22" s="271"/>
      <c r="I22" s="270">
        <v>6.3</v>
      </c>
      <c r="J22" s="271"/>
      <c r="K22" s="270">
        <v>2</v>
      </c>
      <c r="L22" s="271"/>
      <c r="M22" s="270">
        <v>1.5</v>
      </c>
      <c r="N22" s="271"/>
      <c r="O22" s="270"/>
      <c r="P22" s="272"/>
      <c r="Q22" s="22">
        <v>22.4</v>
      </c>
      <c r="R22" s="224"/>
      <c r="S22" s="225"/>
      <c r="T22" s="235"/>
      <c r="U22" s="236"/>
      <c r="V22" s="224"/>
      <c r="W22" s="225"/>
      <c r="X22" s="235"/>
      <c r="Y22" s="236"/>
      <c r="Z22" s="224"/>
      <c r="AA22" s="225"/>
      <c r="AB22" s="235"/>
      <c r="AC22" s="236"/>
      <c r="AD22" s="224"/>
      <c r="AE22" s="225"/>
      <c r="AF22" s="6"/>
    </row>
    <row r="23" spans="2:41" ht="15" thickBot="1" x14ac:dyDescent="0.35">
      <c r="B23" s="12">
        <v>3</v>
      </c>
      <c r="C23" s="266" t="s">
        <v>38</v>
      </c>
      <c r="D23" s="267"/>
      <c r="E23" s="282">
        <v>14.6</v>
      </c>
      <c r="F23" s="283"/>
      <c r="G23" s="270">
        <v>9.4</v>
      </c>
      <c r="H23" s="271"/>
      <c r="I23" s="270">
        <v>3.9</v>
      </c>
      <c r="J23" s="271"/>
      <c r="K23" s="270">
        <v>1.1000000000000001</v>
      </c>
      <c r="L23" s="271"/>
      <c r="M23" s="270">
        <v>1</v>
      </c>
      <c r="N23" s="271"/>
      <c r="O23" s="270"/>
      <c r="P23" s="272"/>
      <c r="Q23" s="16">
        <v>27.5</v>
      </c>
      <c r="R23" s="224"/>
      <c r="S23" s="225"/>
      <c r="T23" s="235"/>
      <c r="U23" s="236"/>
      <c r="V23" s="224"/>
      <c r="W23" s="225"/>
      <c r="X23" s="235"/>
      <c r="Y23" s="236"/>
      <c r="Z23" s="224"/>
      <c r="AA23" s="225"/>
      <c r="AB23" s="235"/>
      <c r="AC23" s="236"/>
      <c r="AD23" s="224"/>
      <c r="AE23" s="225"/>
      <c r="AF23" s="6"/>
    </row>
    <row r="24" spans="2:41" ht="15" thickBot="1" x14ac:dyDescent="0.35">
      <c r="B24" s="12">
        <v>4</v>
      </c>
      <c r="C24" s="266" t="s">
        <v>38</v>
      </c>
      <c r="D24" s="267"/>
      <c r="E24" s="280">
        <v>25.7</v>
      </c>
      <c r="F24" s="281"/>
      <c r="G24" s="270">
        <v>15.2</v>
      </c>
      <c r="H24" s="271"/>
      <c r="I24" s="270">
        <v>4.9000000000000004</v>
      </c>
      <c r="J24" s="271"/>
      <c r="K24" s="270">
        <v>2.2000000000000002</v>
      </c>
      <c r="L24" s="271"/>
      <c r="M24" s="270">
        <v>1.6</v>
      </c>
      <c r="N24" s="271"/>
      <c r="O24" s="270"/>
      <c r="P24" s="272"/>
      <c r="Q24" s="22">
        <v>21.1</v>
      </c>
      <c r="R24" s="224"/>
      <c r="S24" s="225"/>
      <c r="T24" s="235"/>
      <c r="U24" s="236"/>
      <c r="V24" s="224"/>
      <c r="W24" s="225"/>
      <c r="X24" s="235"/>
      <c r="Y24" s="236"/>
      <c r="Z24" s="224"/>
      <c r="AA24" s="225"/>
      <c r="AB24" s="235"/>
      <c r="AC24" s="236"/>
      <c r="AD24" s="224"/>
      <c r="AE24" s="225"/>
      <c r="AF24" s="6"/>
    </row>
    <row r="25" spans="2:41" ht="15" thickBot="1" x14ac:dyDescent="0.35">
      <c r="B25" s="12">
        <v>5</v>
      </c>
      <c r="C25" s="266" t="s">
        <v>38</v>
      </c>
      <c r="D25" s="267"/>
      <c r="E25" s="288">
        <v>11.5</v>
      </c>
      <c r="F25" s="289"/>
      <c r="G25" s="270">
        <v>10.5</v>
      </c>
      <c r="H25" s="271"/>
      <c r="I25" s="270">
        <v>5.0999999999999996</v>
      </c>
      <c r="J25" s="271"/>
      <c r="K25" s="270">
        <v>0.9</v>
      </c>
      <c r="L25" s="271"/>
      <c r="M25" s="270">
        <v>0.9</v>
      </c>
      <c r="N25" s="271"/>
      <c r="O25" s="270"/>
      <c r="P25" s="272"/>
      <c r="Q25" s="23">
        <v>25.2</v>
      </c>
      <c r="R25" s="286"/>
      <c r="S25" s="287"/>
      <c r="T25" s="284"/>
      <c r="U25" s="285"/>
      <c r="V25" s="286"/>
      <c r="W25" s="287"/>
      <c r="X25" s="284"/>
      <c r="Y25" s="285"/>
      <c r="Z25" s="286"/>
      <c r="AA25" s="287"/>
      <c r="AB25" s="284"/>
      <c r="AC25" s="285"/>
      <c r="AD25" s="286"/>
      <c r="AE25" s="287"/>
      <c r="AF25" s="13"/>
    </row>
    <row r="26" spans="2:41" ht="15.6" thickTop="1" thickBot="1" x14ac:dyDescent="0.35">
      <c r="B26" s="12">
        <v>6</v>
      </c>
      <c r="C26" s="266" t="s">
        <v>38</v>
      </c>
      <c r="D26" s="267"/>
      <c r="E26" s="288">
        <v>21.6</v>
      </c>
      <c r="F26" s="289"/>
      <c r="G26" s="270">
        <v>17.7</v>
      </c>
      <c r="H26" s="271"/>
      <c r="I26" s="270">
        <v>5.8</v>
      </c>
      <c r="J26" s="271"/>
      <c r="K26" s="270">
        <v>0.6</v>
      </c>
      <c r="L26" s="271"/>
      <c r="M26" s="270">
        <v>1.9</v>
      </c>
      <c r="N26" s="271"/>
      <c r="O26" s="270"/>
      <c r="P26" s="272"/>
      <c r="Q26" s="290" t="s">
        <v>31</v>
      </c>
      <c r="R26" s="291"/>
      <c r="S26" s="291"/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2"/>
    </row>
    <row r="27" spans="2:41" ht="15" thickBot="1" x14ac:dyDescent="0.35">
      <c r="B27" s="12">
        <v>7</v>
      </c>
      <c r="C27" s="266" t="s">
        <v>38</v>
      </c>
      <c r="D27" s="267"/>
      <c r="E27" s="288">
        <v>19.600000000000001</v>
      </c>
      <c r="F27" s="289"/>
      <c r="G27" s="270">
        <v>16.100000000000001</v>
      </c>
      <c r="H27" s="271"/>
      <c r="I27" s="270">
        <v>10</v>
      </c>
      <c r="J27" s="271"/>
      <c r="K27" s="270">
        <v>0.8</v>
      </c>
      <c r="L27" s="271"/>
      <c r="M27" s="270">
        <v>1.2</v>
      </c>
      <c r="N27" s="271"/>
      <c r="O27" s="270"/>
      <c r="P27" s="272"/>
      <c r="Q27" s="293" t="s">
        <v>32</v>
      </c>
      <c r="R27" s="294"/>
      <c r="S27" s="295" t="s">
        <v>33</v>
      </c>
      <c r="T27" s="294"/>
      <c r="U27" s="295" t="s">
        <v>34</v>
      </c>
      <c r="V27" s="294"/>
      <c r="W27" s="295" t="s">
        <v>5</v>
      </c>
      <c r="X27" s="294"/>
      <c r="Y27" s="295" t="s">
        <v>35</v>
      </c>
      <c r="Z27" s="294"/>
      <c r="AA27" s="295" t="s">
        <v>36</v>
      </c>
      <c r="AB27" s="294"/>
      <c r="AC27" s="295" t="s">
        <v>37</v>
      </c>
      <c r="AD27" s="294"/>
      <c r="AE27" s="295"/>
      <c r="AF27" s="294"/>
    </row>
    <row r="28" spans="2:41" ht="15" thickBot="1" x14ac:dyDescent="0.35">
      <c r="B28" s="12">
        <v>8</v>
      </c>
      <c r="C28" s="266" t="s">
        <v>38</v>
      </c>
      <c r="D28" s="267"/>
      <c r="E28" s="288">
        <v>23.2</v>
      </c>
      <c r="F28" s="289"/>
      <c r="G28" s="270">
        <v>14.5</v>
      </c>
      <c r="H28" s="271"/>
      <c r="I28" s="270">
        <v>7.6</v>
      </c>
      <c r="J28" s="271"/>
      <c r="K28" s="270">
        <v>2.8</v>
      </c>
      <c r="L28" s="271"/>
      <c r="M28" s="270">
        <v>1</v>
      </c>
      <c r="N28" s="271"/>
      <c r="O28" s="270"/>
      <c r="P28" s="272"/>
      <c r="Q28" s="299"/>
      <c r="R28" s="297"/>
      <c r="S28" s="296"/>
      <c r="T28" s="297"/>
      <c r="U28" s="296"/>
      <c r="V28" s="297"/>
      <c r="W28" s="296"/>
      <c r="X28" s="297"/>
      <c r="Y28" s="296"/>
      <c r="Z28" s="297"/>
      <c r="AA28" s="296"/>
      <c r="AB28" s="297"/>
      <c r="AC28" s="296"/>
      <c r="AD28" s="297"/>
      <c r="AE28" s="296"/>
      <c r="AF28" s="297"/>
    </row>
  </sheetData>
  <mergeCells count="390">
    <mergeCell ref="D12:E12"/>
    <mergeCell ref="F12:G12"/>
    <mergeCell ref="H12:I12"/>
    <mergeCell ref="J12:K12"/>
    <mergeCell ref="D13:E13"/>
    <mergeCell ref="F13:G13"/>
    <mergeCell ref="H13:I13"/>
    <mergeCell ref="J13:K13"/>
    <mergeCell ref="D18:E18"/>
    <mergeCell ref="F18:G18"/>
    <mergeCell ref="H18:I18"/>
    <mergeCell ref="J18:K18"/>
    <mergeCell ref="D16:E16"/>
    <mergeCell ref="F16:G16"/>
    <mergeCell ref="H16:I16"/>
    <mergeCell ref="J16:K16"/>
    <mergeCell ref="D17:E17"/>
    <mergeCell ref="F17:G17"/>
    <mergeCell ref="H17:I17"/>
    <mergeCell ref="J17:K17"/>
    <mergeCell ref="D11:E11"/>
    <mergeCell ref="F11:G11"/>
    <mergeCell ref="H11:I11"/>
    <mergeCell ref="J11:K11"/>
    <mergeCell ref="J6:K6"/>
    <mergeCell ref="D7:E7"/>
    <mergeCell ref="F7:G7"/>
    <mergeCell ref="H7:I7"/>
    <mergeCell ref="J7:K7"/>
    <mergeCell ref="D8:E8"/>
    <mergeCell ref="F8:G8"/>
    <mergeCell ref="H8:I8"/>
    <mergeCell ref="J8:K8"/>
    <mergeCell ref="AC28:AD28"/>
    <mergeCell ref="AE28:AF28"/>
    <mergeCell ref="B2:AF2"/>
    <mergeCell ref="D5:E5"/>
    <mergeCell ref="F5:G5"/>
    <mergeCell ref="H5:I5"/>
    <mergeCell ref="J5:K5"/>
    <mergeCell ref="D6:E6"/>
    <mergeCell ref="F6:G6"/>
    <mergeCell ref="H6:I6"/>
    <mergeCell ref="Q28:R28"/>
    <mergeCell ref="S28:T28"/>
    <mergeCell ref="U28:V28"/>
    <mergeCell ref="W28:X28"/>
    <mergeCell ref="Y28:Z28"/>
    <mergeCell ref="AA28:AB28"/>
    <mergeCell ref="AA27:AB27"/>
    <mergeCell ref="AC27:AD27"/>
    <mergeCell ref="AE27:AF27"/>
    <mergeCell ref="C28:D28"/>
    <mergeCell ref="E28:F28"/>
    <mergeCell ref="G28:H28"/>
    <mergeCell ref="I28:J28"/>
    <mergeCell ref="K28:L28"/>
    <mergeCell ref="M28:N28"/>
    <mergeCell ref="O28:P28"/>
    <mergeCell ref="O27:P27"/>
    <mergeCell ref="Q27:R27"/>
    <mergeCell ref="S27:T27"/>
    <mergeCell ref="U27:V27"/>
    <mergeCell ref="W27:X27"/>
    <mergeCell ref="Y27:Z27"/>
    <mergeCell ref="C27:D27"/>
    <mergeCell ref="E27:F27"/>
    <mergeCell ref="G27:H27"/>
    <mergeCell ref="I27:J27"/>
    <mergeCell ref="K27:L27"/>
    <mergeCell ref="M27:N27"/>
    <mergeCell ref="AB25:AC25"/>
    <mergeCell ref="AD25:AE25"/>
    <mergeCell ref="C26:D26"/>
    <mergeCell ref="E26:F26"/>
    <mergeCell ref="G26:H26"/>
    <mergeCell ref="I26:J26"/>
    <mergeCell ref="K26:L26"/>
    <mergeCell ref="M26:N26"/>
    <mergeCell ref="O26:P26"/>
    <mergeCell ref="Q26:AF26"/>
    <mergeCell ref="O25:P25"/>
    <mergeCell ref="R25:S25"/>
    <mergeCell ref="T25:U25"/>
    <mergeCell ref="V25:W25"/>
    <mergeCell ref="X25:Y25"/>
    <mergeCell ref="Z25:AA25"/>
    <mergeCell ref="C25:D25"/>
    <mergeCell ref="E25:F25"/>
    <mergeCell ref="G25:H25"/>
    <mergeCell ref="I25:J25"/>
    <mergeCell ref="K25:L25"/>
    <mergeCell ref="M25:N25"/>
    <mergeCell ref="C24:D24"/>
    <mergeCell ref="E24:F24"/>
    <mergeCell ref="G24:H24"/>
    <mergeCell ref="I24:J24"/>
    <mergeCell ref="K24:L24"/>
    <mergeCell ref="M24:N24"/>
    <mergeCell ref="O24:P24"/>
    <mergeCell ref="R24:S24"/>
    <mergeCell ref="O23:P23"/>
    <mergeCell ref="R23:S23"/>
    <mergeCell ref="C23:D23"/>
    <mergeCell ref="E23:F23"/>
    <mergeCell ref="AB22:AC22"/>
    <mergeCell ref="T24:U24"/>
    <mergeCell ref="V24:W24"/>
    <mergeCell ref="X24:Y24"/>
    <mergeCell ref="Z24:AA24"/>
    <mergeCell ref="AB24:AC24"/>
    <mergeCell ref="AD24:AE24"/>
    <mergeCell ref="AB23:AC23"/>
    <mergeCell ref="AD23:AE23"/>
    <mergeCell ref="T23:U23"/>
    <mergeCell ref="V23:W23"/>
    <mergeCell ref="X23:Y23"/>
    <mergeCell ref="Z23:AA23"/>
    <mergeCell ref="M21:N21"/>
    <mergeCell ref="G23:H23"/>
    <mergeCell ref="I23:J23"/>
    <mergeCell ref="K23:L23"/>
    <mergeCell ref="M23:N23"/>
    <mergeCell ref="T22:U22"/>
    <mergeCell ref="V22:W22"/>
    <mergeCell ref="X22:Y22"/>
    <mergeCell ref="Z22:AA22"/>
    <mergeCell ref="X19:Y19"/>
    <mergeCell ref="Z19:AA19"/>
    <mergeCell ref="AD22:AE22"/>
    <mergeCell ref="AB21:AC21"/>
    <mergeCell ref="AD21:AE21"/>
    <mergeCell ref="C22:D22"/>
    <mergeCell ref="E22:F22"/>
    <mergeCell ref="G22:H22"/>
    <mergeCell ref="I22:J22"/>
    <mergeCell ref="K22:L22"/>
    <mergeCell ref="M22:N22"/>
    <mergeCell ref="O22:P22"/>
    <mergeCell ref="R22:S22"/>
    <mergeCell ref="O21:P21"/>
    <mergeCell ref="R21:S21"/>
    <mergeCell ref="T21:U21"/>
    <mergeCell ref="V21:W21"/>
    <mergeCell ref="X21:Y21"/>
    <mergeCell ref="Z21:AA21"/>
    <mergeCell ref="C21:D21"/>
    <mergeCell ref="E21:F21"/>
    <mergeCell ref="G21:H21"/>
    <mergeCell ref="I21:J21"/>
    <mergeCell ref="K21:L21"/>
    <mergeCell ref="AB17:AC17"/>
    <mergeCell ref="AD17:AE17"/>
    <mergeCell ref="B18:C18"/>
    <mergeCell ref="B17:C17"/>
    <mergeCell ref="T20:U20"/>
    <mergeCell ref="V20:W20"/>
    <mergeCell ref="X20:Y20"/>
    <mergeCell ref="Z20:AA20"/>
    <mergeCell ref="AB20:AC20"/>
    <mergeCell ref="AD20:AE20"/>
    <mergeCell ref="AB19:AC19"/>
    <mergeCell ref="AD19:AE19"/>
    <mergeCell ref="C20:D20"/>
    <mergeCell ref="E20:F20"/>
    <mergeCell ref="G20:H20"/>
    <mergeCell ref="I20:J20"/>
    <mergeCell ref="K20:L20"/>
    <mergeCell ref="M20:N20"/>
    <mergeCell ref="O20:P20"/>
    <mergeCell ref="R20:S20"/>
    <mergeCell ref="B19:P19"/>
    <mergeCell ref="R19:S19"/>
    <mergeCell ref="T19:U19"/>
    <mergeCell ref="V19:W19"/>
    <mergeCell ref="AH18:AI18"/>
    <mergeCell ref="AJ18:AK18"/>
    <mergeCell ref="AL18:AM18"/>
    <mergeCell ref="AN18:AO18"/>
    <mergeCell ref="L18:M18"/>
    <mergeCell ref="N18:O18"/>
    <mergeCell ref="R18:S18"/>
    <mergeCell ref="N17:O17"/>
    <mergeCell ref="R17:S17"/>
    <mergeCell ref="T17:U17"/>
    <mergeCell ref="V17:W17"/>
    <mergeCell ref="X17:Y17"/>
    <mergeCell ref="Z17:AA17"/>
    <mergeCell ref="AH17:AI17"/>
    <mergeCell ref="AJ17:AK17"/>
    <mergeCell ref="AL17:AM17"/>
    <mergeCell ref="AN17:AO17"/>
    <mergeCell ref="L17:M17"/>
    <mergeCell ref="T18:U18"/>
    <mergeCell ref="V18:W18"/>
    <mergeCell ref="X18:Y18"/>
    <mergeCell ref="Z18:AA18"/>
    <mergeCell ref="AB18:AC18"/>
    <mergeCell ref="AD18:AE18"/>
    <mergeCell ref="AJ16:AK16"/>
    <mergeCell ref="AL16:AM16"/>
    <mergeCell ref="AN16:AO16"/>
    <mergeCell ref="L16:M16"/>
    <mergeCell ref="N16:O16"/>
    <mergeCell ref="R16:S16"/>
    <mergeCell ref="N15:O15"/>
    <mergeCell ref="R15:S15"/>
    <mergeCell ref="T15:U15"/>
    <mergeCell ref="V15:W15"/>
    <mergeCell ref="X15:Y15"/>
    <mergeCell ref="Z15:AA15"/>
    <mergeCell ref="AH15:AI15"/>
    <mergeCell ref="AJ15:AK15"/>
    <mergeCell ref="AL15:AM15"/>
    <mergeCell ref="AN15:AO15"/>
    <mergeCell ref="L15:M15"/>
    <mergeCell ref="T16:U16"/>
    <mergeCell ref="V16:W16"/>
    <mergeCell ref="X16:Y16"/>
    <mergeCell ref="Z16:AA16"/>
    <mergeCell ref="AB16:AC16"/>
    <mergeCell ref="AD16:AE16"/>
    <mergeCell ref="AB15:AC15"/>
    <mergeCell ref="X14:Y14"/>
    <mergeCell ref="Z14:AA14"/>
    <mergeCell ref="AB14:AC14"/>
    <mergeCell ref="AD14:AE14"/>
    <mergeCell ref="AB13:AC13"/>
    <mergeCell ref="AD13:AE13"/>
    <mergeCell ref="B14:C14"/>
    <mergeCell ref="B13:C13"/>
    <mergeCell ref="AH16:AI16"/>
    <mergeCell ref="AD15:AE15"/>
    <mergeCell ref="B16:C16"/>
    <mergeCell ref="B15:C15"/>
    <mergeCell ref="D14:E14"/>
    <mergeCell ref="F14:G14"/>
    <mergeCell ref="H14:I14"/>
    <mergeCell ref="J14:K14"/>
    <mergeCell ref="D15:E15"/>
    <mergeCell ref="F15:G15"/>
    <mergeCell ref="H15:I15"/>
    <mergeCell ref="J15:K15"/>
    <mergeCell ref="AB11:AC11"/>
    <mergeCell ref="AD11:AE11"/>
    <mergeCell ref="B12:C12"/>
    <mergeCell ref="B11:C11"/>
    <mergeCell ref="AH14:AI14"/>
    <mergeCell ref="AJ14:AK14"/>
    <mergeCell ref="AL14:AM14"/>
    <mergeCell ref="AN14:AO14"/>
    <mergeCell ref="L14:M14"/>
    <mergeCell ref="N14:O14"/>
    <mergeCell ref="R14:S14"/>
    <mergeCell ref="N13:O13"/>
    <mergeCell ref="R13:S13"/>
    <mergeCell ref="T13:U13"/>
    <mergeCell ref="V13:W13"/>
    <mergeCell ref="X13:Y13"/>
    <mergeCell ref="Z13:AA13"/>
    <mergeCell ref="AH13:AI13"/>
    <mergeCell ref="AJ13:AK13"/>
    <mergeCell ref="AL13:AM13"/>
    <mergeCell ref="AN13:AO13"/>
    <mergeCell ref="L13:M13"/>
    <mergeCell ref="T14:U14"/>
    <mergeCell ref="V14:W14"/>
    <mergeCell ref="AH12:AI12"/>
    <mergeCell ref="AJ12:AK12"/>
    <mergeCell ref="AL12:AM12"/>
    <mergeCell ref="AN12:AO12"/>
    <mergeCell ref="L12:M12"/>
    <mergeCell ref="N12:O12"/>
    <mergeCell ref="R12:S12"/>
    <mergeCell ref="N11:O11"/>
    <mergeCell ref="R11:S11"/>
    <mergeCell ref="T11:U11"/>
    <mergeCell ref="V11:W11"/>
    <mergeCell ref="X11:Y11"/>
    <mergeCell ref="Z11:AA11"/>
    <mergeCell ref="AH11:AI11"/>
    <mergeCell ref="AJ11:AK11"/>
    <mergeCell ref="AL11:AM11"/>
    <mergeCell ref="AN11:AO11"/>
    <mergeCell ref="L11:M11"/>
    <mergeCell ref="T12:U12"/>
    <mergeCell ref="V12:W12"/>
    <mergeCell ref="X12:Y12"/>
    <mergeCell ref="Z12:AA12"/>
    <mergeCell ref="AB12:AC12"/>
    <mergeCell ref="AD12:AE12"/>
    <mergeCell ref="X10:Y10"/>
    <mergeCell ref="Z10:AA10"/>
    <mergeCell ref="AB10:AC10"/>
    <mergeCell ref="AD10:AE10"/>
    <mergeCell ref="AB9:AC9"/>
    <mergeCell ref="AD9:AE9"/>
    <mergeCell ref="B10:C10"/>
    <mergeCell ref="B9:C9"/>
    <mergeCell ref="D9:E9"/>
    <mergeCell ref="F9:G9"/>
    <mergeCell ref="H9:I9"/>
    <mergeCell ref="J9:K9"/>
    <mergeCell ref="D10:E10"/>
    <mergeCell ref="F10:G10"/>
    <mergeCell ref="H10:I10"/>
    <mergeCell ref="J10:K10"/>
    <mergeCell ref="AB7:AC7"/>
    <mergeCell ref="AD7:AE7"/>
    <mergeCell ref="B8:C8"/>
    <mergeCell ref="B7:C7"/>
    <mergeCell ref="AH10:AI10"/>
    <mergeCell ref="AJ10:AK10"/>
    <mergeCell ref="AL10:AM10"/>
    <mergeCell ref="AN10:AO10"/>
    <mergeCell ref="L10:M10"/>
    <mergeCell ref="N10:O10"/>
    <mergeCell ref="R10:S10"/>
    <mergeCell ref="N9:O9"/>
    <mergeCell ref="R9:S9"/>
    <mergeCell ref="T9:U9"/>
    <mergeCell ref="V9:W9"/>
    <mergeCell ref="X9:Y9"/>
    <mergeCell ref="Z9:AA9"/>
    <mergeCell ref="AH9:AI9"/>
    <mergeCell ref="AJ9:AK9"/>
    <mergeCell ref="AL9:AM9"/>
    <mergeCell ref="AN9:AO9"/>
    <mergeCell ref="L9:M9"/>
    <mergeCell ref="T10:U10"/>
    <mergeCell ref="V10:W10"/>
    <mergeCell ref="AH8:AI8"/>
    <mergeCell ref="AJ8:AK8"/>
    <mergeCell ref="AL8:AM8"/>
    <mergeCell ref="AN8:AO8"/>
    <mergeCell ref="L8:M8"/>
    <mergeCell ref="N8:O8"/>
    <mergeCell ref="R8:S8"/>
    <mergeCell ref="N7:O7"/>
    <mergeCell ref="R7:S7"/>
    <mergeCell ref="T7:U7"/>
    <mergeCell ref="V7:W7"/>
    <mergeCell ref="X7:Y7"/>
    <mergeCell ref="Z7:AA7"/>
    <mergeCell ref="AH7:AI7"/>
    <mergeCell ref="AJ7:AK7"/>
    <mergeCell ref="AL7:AM7"/>
    <mergeCell ref="AN7:AO7"/>
    <mergeCell ref="L7:M7"/>
    <mergeCell ref="T8:U8"/>
    <mergeCell ref="V8:W8"/>
    <mergeCell ref="X8:Y8"/>
    <mergeCell ref="Z8:AA8"/>
    <mergeCell ref="AB8:AC8"/>
    <mergeCell ref="AD8:AE8"/>
    <mergeCell ref="AL6:AM6"/>
    <mergeCell ref="AN6:AO6"/>
    <mergeCell ref="L6:M6"/>
    <mergeCell ref="N6:O6"/>
    <mergeCell ref="R6:S6"/>
    <mergeCell ref="N5:O5"/>
    <mergeCell ref="R5:S5"/>
    <mergeCell ref="T5:U5"/>
    <mergeCell ref="V5:W5"/>
    <mergeCell ref="X5:Y5"/>
    <mergeCell ref="Z5:AA5"/>
    <mergeCell ref="AH5:AI5"/>
    <mergeCell ref="AJ5:AK5"/>
    <mergeCell ref="AL5:AM5"/>
    <mergeCell ref="AN5:AO5"/>
    <mergeCell ref="L5:M5"/>
    <mergeCell ref="T6:U6"/>
    <mergeCell ref="V6:W6"/>
    <mergeCell ref="X6:Y6"/>
    <mergeCell ref="Z6:AA6"/>
    <mergeCell ref="AB6:AC6"/>
    <mergeCell ref="AD6:AE6"/>
    <mergeCell ref="AB5:AC5"/>
    <mergeCell ref="AD5:AE5"/>
    <mergeCell ref="B3:P3"/>
    <mergeCell ref="Q3:AF3"/>
    <mergeCell ref="B4:C4"/>
    <mergeCell ref="D4:M4"/>
    <mergeCell ref="N4:P4"/>
    <mergeCell ref="Q4:AA4"/>
    <mergeCell ref="AB4:AF4"/>
    <mergeCell ref="AH6:AI6"/>
    <mergeCell ref="AJ6:AK6"/>
    <mergeCell ref="B6:C6"/>
    <mergeCell ref="B5:C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104"/>
  <sheetViews>
    <sheetView tabSelected="1" topLeftCell="AE17" zoomScale="99" zoomScaleNormal="99" workbookViewId="0">
      <selection activeCell="AL36" sqref="AL35:AR36"/>
    </sheetView>
  </sheetViews>
  <sheetFormatPr defaultRowHeight="14.4" x14ac:dyDescent="0.3"/>
  <cols>
    <col min="9" max="9" width="7.5546875" bestFit="1" customWidth="1"/>
    <col min="10" max="10" width="8.88671875" style="48"/>
    <col min="11" max="11" width="9" customWidth="1"/>
    <col min="12" max="12" width="6.88671875" style="38" customWidth="1"/>
    <col min="13" max="13" width="7.88671875" customWidth="1"/>
    <col min="14" max="14" width="7.88671875" style="2" customWidth="1"/>
    <col min="15" max="15" width="10.21875" bestFit="1" customWidth="1"/>
    <col min="16" max="16" width="11.109375" customWidth="1"/>
    <col min="18" max="18" width="10.21875" bestFit="1" customWidth="1"/>
    <col min="32" max="33" width="10" customWidth="1"/>
    <col min="41" max="41" width="12.6640625" bestFit="1" customWidth="1"/>
    <col min="44" max="44" width="47.6640625" customWidth="1"/>
  </cols>
  <sheetData>
    <row r="1" spans="1:49" s="38" customFormat="1" ht="16.2" customHeight="1" x14ac:dyDescent="0.3">
      <c r="C1" s="305" t="s">
        <v>41</v>
      </c>
      <c r="D1" s="305"/>
      <c r="E1" s="305"/>
      <c r="F1" s="305"/>
      <c r="G1" s="305"/>
      <c r="H1" s="305"/>
      <c r="I1" s="305"/>
      <c r="J1" s="305"/>
      <c r="K1" s="81">
        <f>AVERAGE(L24:L103)</f>
        <v>25.403571428571428</v>
      </c>
      <c r="L1" s="79"/>
      <c r="N1" s="2"/>
      <c r="O1" s="66"/>
      <c r="P1" s="67"/>
      <c r="Q1" s="67"/>
      <c r="R1" s="67"/>
      <c r="S1" s="67"/>
      <c r="T1" s="67"/>
      <c r="U1" s="68"/>
      <c r="AC1" s="62"/>
      <c r="AD1" s="44"/>
      <c r="AF1" s="314" t="s">
        <v>115</v>
      </c>
      <c r="AG1" s="314"/>
      <c r="AJ1" s="171"/>
      <c r="AK1" s="303" t="s">
        <v>131</v>
      </c>
      <c r="AL1" s="303"/>
    </row>
    <row r="2" spans="1:49" s="38" customFormat="1" x14ac:dyDescent="0.3">
      <c r="C2" s="308" t="s">
        <v>51</v>
      </c>
      <c r="D2" s="308"/>
      <c r="E2" s="308"/>
      <c r="F2" s="308"/>
      <c r="G2" s="308"/>
      <c r="H2" s="308"/>
      <c r="I2" s="308"/>
      <c r="J2" s="308"/>
      <c r="K2" s="97">
        <f>AVERAGE(K24:K103)</f>
        <v>22.45</v>
      </c>
      <c r="L2" s="79"/>
      <c r="N2" s="2"/>
      <c r="O2" s="93" t="s">
        <v>34</v>
      </c>
      <c r="P2" s="69" t="s">
        <v>0</v>
      </c>
      <c r="Q2" s="70" t="s">
        <v>61</v>
      </c>
      <c r="R2" s="71"/>
      <c r="S2" s="71"/>
      <c r="T2" s="71"/>
      <c r="U2" s="72"/>
      <c r="V2" s="2"/>
      <c r="W2" s="2"/>
      <c r="X2" s="2"/>
      <c r="Y2" s="2"/>
      <c r="Z2" s="100" t="s">
        <v>74</v>
      </c>
      <c r="AA2" s="105">
        <f>100/(K2*SQRT(K4))</f>
        <v>0.20712274163709449</v>
      </c>
      <c r="AC2" s="41"/>
      <c r="AD2" s="42"/>
      <c r="AE2" s="148"/>
      <c r="AF2" s="314"/>
      <c r="AG2" s="314"/>
      <c r="AJ2" s="172"/>
      <c r="AK2" s="303"/>
      <c r="AL2" s="303"/>
    </row>
    <row r="3" spans="1:49" s="38" customFormat="1" ht="14.4" customHeight="1" x14ac:dyDescent="0.35">
      <c r="C3" s="309" t="s">
        <v>40</v>
      </c>
      <c r="D3" s="309"/>
      <c r="E3" s="309"/>
      <c r="F3" s="309"/>
      <c r="G3" s="309"/>
      <c r="H3" s="309"/>
      <c r="I3" s="309"/>
      <c r="J3" s="309"/>
      <c r="K3" s="64">
        <f>C17*(K2/C17)^((B13/E17)^D17)</f>
        <v>19.622712320193607</v>
      </c>
      <c r="L3" s="64"/>
      <c r="N3" s="2"/>
      <c r="O3" s="93">
        <v>28.65</v>
      </c>
      <c r="P3" s="73">
        <v>25.5</v>
      </c>
      <c r="Q3" s="70">
        <v>1</v>
      </c>
      <c r="R3" s="79"/>
      <c r="S3" s="71" t="s">
        <v>63</v>
      </c>
      <c r="T3" s="74">
        <f>AVERAGE(P3:P16)</f>
        <v>22.45</v>
      </c>
      <c r="U3" s="72"/>
      <c r="V3" s="320" t="s">
        <v>97</v>
      </c>
      <c r="W3" s="321"/>
      <c r="X3" s="321"/>
      <c r="Y3" s="321"/>
      <c r="Z3" s="321"/>
      <c r="AA3" s="29" t="s">
        <v>72</v>
      </c>
      <c r="AB3" s="36">
        <v>0.27</v>
      </c>
      <c r="AC3" s="41"/>
      <c r="AD3" s="42"/>
      <c r="AE3" s="148"/>
      <c r="AF3" s="314"/>
      <c r="AG3" s="314"/>
      <c r="AJ3" s="172"/>
      <c r="AK3" s="303"/>
      <c r="AL3" s="303"/>
    </row>
    <row r="4" spans="1:49" ht="15.6" x14ac:dyDescent="0.35">
      <c r="C4" s="310" t="s">
        <v>52</v>
      </c>
      <c r="D4" s="310"/>
      <c r="E4" s="310"/>
      <c r="F4" s="310"/>
      <c r="G4" s="310"/>
      <c r="H4" s="310"/>
      <c r="I4" s="310"/>
      <c r="J4" s="310"/>
      <c r="K4" s="55">
        <f>COUNTIF(F24:F103,0)*B11</f>
        <v>462.5</v>
      </c>
      <c r="L4" s="55"/>
      <c r="O4" s="93">
        <v>29.4</v>
      </c>
      <c r="P4" s="73">
        <v>23.5</v>
      </c>
      <c r="Q4" s="70">
        <v>1</v>
      </c>
      <c r="R4" s="71"/>
      <c r="S4" s="71" t="s">
        <v>70</v>
      </c>
      <c r="T4" s="94">
        <f>AVERAGE(O3:O16)</f>
        <v>25.403571428571428</v>
      </c>
      <c r="U4" s="72"/>
      <c r="V4" s="320"/>
      <c r="W4" s="321"/>
      <c r="X4" s="321"/>
      <c r="Y4" s="321"/>
      <c r="Z4" s="321"/>
      <c r="AA4" s="29" t="s">
        <v>96</v>
      </c>
      <c r="AB4" s="104">
        <f>100^2/(K2^2*AB3^2)</f>
        <v>272.16970401592317</v>
      </c>
      <c r="AC4" s="41"/>
      <c r="AD4" s="42"/>
      <c r="AE4" s="148"/>
      <c r="AF4" s="314"/>
      <c r="AG4" s="314"/>
      <c r="AJ4" s="172"/>
      <c r="AK4" s="303"/>
      <c r="AL4" s="303"/>
    </row>
    <row r="5" spans="1:49" ht="15.6" x14ac:dyDescent="0.35">
      <c r="C5" s="310" t="s">
        <v>53</v>
      </c>
      <c r="D5" s="310"/>
      <c r="E5" s="310"/>
      <c r="F5" s="310"/>
      <c r="G5" s="310"/>
      <c r="H5" s="310"/>
      <c r="I5" s="310"/>
      <c r="J5" s="310"/>
      <c r="K5" s="55">
        <f>COUNTIF(F24:F103,1)*B11</f>
        <v>0</v>
      </c>
      <c r="L5" s="55"/>
      <c r="O5" s="93">
        <v>28.15</v>
      </c>
      <c r="P5" s="73">
        <v>23.5</v>
      </c>
      <c r="Q5" s="70">
        <v>1</v>
      </c>
      <c r="R5" s="71"/>
      <c r="S5" s="71"/>
      <c r="T5" s="71"/>
      <c r="U5" s="72"/>
      <c r="V5" s="320"/>
      <c r="W5" s="321"/>
      <c r="X5" s="321"/>
      <c r="Y5" s="321"/>
      <c r="Z5" s="321"/>
      <c r="AA5" s="29" t="s">
        <v>73</v>
      </c>
      <c r="AB5" s="104">
        <f>K4-AB4</f>
        <v>190.33029598407683</v>
      </c>
      <c r="AC5" s="107"/>
      <c r="AD5" s="108"/>
      <c r="AE5" s="148"/>
      <c r="AF5" s="314"/>
      <c r="AG5" s="314"/>
      <c r="AJ5" s="172"/>
      <c r="AK5" s="303"/>
      <c r="AL5" s="303"/>
    </row>
    <row r="6" spans="1:49" ht="16.2" x14ac:dyDescent="0.3">
      <c r="C6" s="311" t="s">
        <v>54</v>
      </c>
      <c r="D6" s="311"/>
      <c r="E6" s="311"/>
      <c r="F6" s="311"/>
      <c r="G6" s="311"/>
      <c r="H6" s="311"/>
      <c r="I6" s="311"/>
      <c r="J6" s="311"/>
      <c r="K6" s="54">
        <f>H16*B11</f>
        <v>19.821083632184365</v>
      </c>
      <c r="L6" s="54"/>
      <c r="O6" s="93">
        <v>28</v>
      </c>
      <c r="P6" s="73">
        <v>23.3</v>
      </c>
      <c r="Q6" s="70">
        <v>1</v>
      </c>
      <c r="R6" s="71"/>
      <c r="S6" s="306" t="s">
        <v>64</v>
      </c>
      <c r="T6" s="306"/>
      <c r="U6" s="72"/>
      <c r="V6" s="2"/>
      <c r="W6" s="2"/>
      <c r="X6" s="2"/>
      <c r="Y6" s="2"/>
      <c r="Z6" s="100" t="s">
        <v>75</v>
      </c>
      <c r="AA6" s="106">
        <f>K4*(K7/25)^1.6</f>
        <v>414.90468960947948</v>
      </c>
      <c r="AE6" s="148"/>
      <c r="AF6" s="314"/>
      <c r="AG6" s="314"/>
      <c r="AJ6" s="172"/>
      <c r="AK6" s="303"/>
      <c r="AL6" s="303"/>
    </row>
    <row r="7" spans="1:49" ht="26.4" customHeight="1" thickBot="1" x14ac:dyDescent="0.35">
      <c r="C7" s="312" t="s">
        <v>68</v>
      </c>
      <c r="D7" s="313"/>
      <c r="E7" s="313"/>
      <c r="F7" s="313"/>
      <c r="G7" s="313"/>
      <c r="H7" s="313"/>
      <c r="I7" s="313"/>
      <c r="J7" s="313"/>
      <c r="K7" s="65">
        <f>SQRT(4*K6/(PI()*K4))*100</f>
        <v>23.359464775430851</v>
      </c>
      <c r="L7" s="80"/>
      <c r="O7" s="93">
        <v>26.9</v>
      </c>
      <c r="P7" s="73">
        <v>23</v>
      </c>
      <c r="Q7" s="70">
        <v>1</v>
      </c>
      <c r="R7" s="71"/>
      <c r="S7" s="306"/>
      <c r="T7" s="306"/>
      <c r="U7" s="72"/>
      <c r="Z7" s="121" t="s">
        <v>95</v>
      </c>
      <c r="AA7" s="2"/>
      <c r="AE7" s="148"/>
      <c r="AF7" s="314"/>
      <c r="AG7" s="314"/>
      <c r="AJ7" s="172"/>
      <c r="AK7" s="303"/>
      <c r="AL7" s="303"/>
      <c r="AO7" s="358" t="s">
        <v>212</v>
      </c>
      <c r="AP7" s="358"/>
      <c r="AQ7" s="358"/>
      <c r="AR7" s="358"/>
      <c r="AS7" s="358"/>
      <c r="AT7" s="358"/>
    </row>
    <row r="8" spans="1:49" ht="16.8" customHeight="1" x14ac:dyDescent="0.3">
      <c r="C8" s="39"/>
      <c r="D8" s="307" t="s">
        <v>66</v>
      </c>
      <c r="E8" s="307"/>
      <c r="F8" s="307"/>
      <c r="G8" s="307"/>
      <c r="H8" s="307"/>
      <c r="I8" s="307"/>
      <c r="J8" s="307"/>
      <c r="K8" s="38"/>
      <c r="O8" s="93">
        <v>26.45</v>
      </c>
      <c r="P8" s="73">
        <v>23</v>
      </c>
      <c r="Q8" s="70">
        <v>1</v>
      </c>
      <c r="R8" s="71"/>
      <c r="S8" s="306"/>
      <c r="T8" s="306"/>
      <c r="U8" s="72"/>
      <c r="V8" s="322" t="s">
        <v>120</v>
      </c>
      <c r="W8" s="323"/>
      <c r="X8" s="323"/>
      <c r="Y8" s="323"/>
      <c r="Z8" s="323"/>
      <c r="AA8" s="105">
        <f>SUM(O24:O97)*$B$11</f>
        <v>187.97341535083297</v>
      </c>
      <c r="AF8" s="38"/>
      <c r="AG8" s="146" t="s">
        <v>116</v>
      </c>
      <c r="AH8" s="150">
        <f>SUM(T24:T103)*$B$11</f>
        <v>23.63117017910427</v>
      </c>
      <c r="AJ8" s="171"/>
      <c r="AK8" s="171"/>
      <c r="AL8" s="173" t="s">
        <v>135</v>
      </c>
      <c r="AM8" s="150">
        <f>SUM(Z24:Z97)*$B$11</f>
        <v>2.696276428607959</v>
      </c>
      <c r="AO8" s="359" t="s">
        <v>213</v>
      </c>
      <c r="AP8" s="360"/>
      <c r="AQ8" s="360"/>
      <c r="AR8" s="360"/>
      <c r="AS8" s="360"/>
      <c r="AT8" s="361"/>
    </row>
    <row r="9" spans="1:49" ht="16.8" customHeight="1" x14ac:dyDescent="0.3">
      <c r="C9" s="39"/>
      <c r="D9" s="307"/>
      <c r="E9" s="307"/>
      <c r="F9" s="307"/>
      <c r="G9" s="307"/>
      <c r="H9" s="307"/>
      <c r="I9" s="307"/>
      <c r="J9" s="307"/>
      <c r="O9" s="93">
        <v>27.1</v>
      </c>
      <c r="P9" s="73">
        <v>22.5</v>
      </c>
      <c r="Q9" s="70">
        <v>1</v>
      </c>
      <c r="R9" s="71"/>
      <c r="S9" s="306"/>
      <c r="T9" s="306"/>
      <c r="U9" s="72"/>
      <c r="V9" s="322" t="s">
        <v>121</v>
      </c>
      <c r="W9" s="323"/>
      <c r="X9" s="323"/>
      <c r="Y9" s="323"/>
      <c r="Z9" s="323"/>
      <c r="AA9" s="105">
        <f>SUM(P24:P97)*$B$11</f>
        <v>152.25074398891442</v>
      </c>
      <c r="AE9" s="315" t="s">
        <v>117</v>
      </c>
      <c r="AF9" s="315"/>
      <c r="AG9" s="315"/>
      <c r="AH9" s="150"/>
      <c r="AJ9" s="304" t="s">
        <v>132</v>
      </c>
      <c r="AK9" s="304"/>
      <c r="AL9" s="304"/>
      <c r="AO9" s="362"/>
      <c r="AP9" s="363"/>
      <c r="AQ9" s="363"/>
      <c r="AR9" s="363"/>
      <c r="AS9" s="363"/>
      <c r="AT9" s="364"/>
      <c r="AV9" s="33"/>
    </row>
    <row r="10" spans="1:49" x14ac:dyDescent="0.3">
      <c r="A10" s="29" t="s">
        <v>58</v>
      </c>
      <c r="B10" s="36">
        <v>1600</v>
      </c>
      <c r="C10" s="39"/>
      <c r="D10" s="307"/>
      <c r="E10" s="307"/>
      <c r="F10" s="307"/>
      <c r="G10" s="307"/>
      <c r="H10" s="307"/>
      <c r="I10" s="307"/>
      <c r="J10" s="307"/>
      <c r="O10" s="93">
        <v>21.45</v>
      </c>
      <c r="P10" s="73">
        <v>22.5</v>
      </c>
      <c r="Q10" s="70">
        <v>1</v>
      </c>
      <c r="R10" s="71"/>
      <c r="S10" s="306"/>
      <c r="T10" s="306"/>
      <c r="U10" s="72"/>
      <c r="AE10" s="315"/>
      <c r="AF10" s="315"/>
      <c r="AG10" s="315"/>
      <c r="AH10" s="150"/>
      <c r="AJ10" s="304"/>
      <c r="AK10" s="304"/>
      <c r="AL10" s="304"/>
      <c r="AO10" s="362"/>
      <c r="AP10" s="363"/>
      <c r="AQ10" s="363"/>
      <c r="AR10" s="363"/>
      <c r="AS10" s="363"/>
      <c r="AT10" s="364"/>
      <c r="AV10" s="33"/>
    </row>
    <row r="11" spans="1:49" ht="14.4" customHeight="1" x14ac:dyDescent="0.3">
      <c r="A11" s="29" t="s">
        <v>57</v>
      </c>
      <c r="B11" s="61">
        <f>10000/B10</f>
        <v>6.25</v>
      </c>
      <c r="C11" s="62"/>
      <c r="D11" s="43"/>
      <c r="E11" s="44"/>
      <c r="H11" s="32"/>
      <c r="I11" s="32"/>
      <c r="J11" s="51"/>
      <c r="K11" s="32"/>
      <c r="L11" s="32"/>
      <c r="M11" s="32"/>
      <c r="O11" s="93">
        <v>21.25</v>
      </c>
      <c r="P11" s="73">
        <v>22.5</v>
      </c>
      <c r="Q11" s="70">
        <v>1</v>
      </c>
      <c r="R11" s="71"/>
      <c r="S11" s="306"/>
      <c r="T11" s="306"/>
      <c r="U11" s="72"/>
      <c r="V11" s="127"/>
      <c r="W11" s="127"/>
      <c r="X11" s="127"/>
      <c r="Y11" s="123"/>
      <c r="Z11" s="123"/>
      <c r="AA11" s="123"/>
      <c r="AB11" s="143" t="s">
        <v>100</v>
      </c>
      <c r="AC11" s="143"/>
      <c r="AD11" s="143"/>
      <c r="AE11" s="315"/>
      <c r="AF11" s="315"/>
      <c r="AG11" s="315"/>
      <c r="AH11" s="150">
        <f>SUM(U24:U103)*$B$11</f>
        <v>116.66833069565354</v>
      </c>
      <c r="AJ11" s="304"/>
      <c r="AK11" s="304"/>
      <c r="AL11" s="304"/>
      <c r="AM11" s="150">
        <f>SUM(AA24:AA97)*$B$11</f>
        <v>137.60322444614991</v>
      </c>
      <c r="AO11" s="362"/>
      <c r="AP11" s="363"/>
      <c r="AQ11" s="363"/>
      <c r="AR11" s="363"/>
      <c r="AS11" s="363"/>
      <c r="AT11" s="364"/>
      <c r="AV11" s="33"/>
    </row>
    <row r="12" spans="1:49" ht="15" thickBot="1" x14ac:dyDescent="0.35">
      <c r="A12" t="s">
        <v>59</v>
      </c>
      <c r="B12" s="36">
        <f>B10/100</f>
        <v>16</v>
      </c>
      <c r="C12" s="41"/>
      <c r="D12" s="35"/>
      <c r="E12" s="42"/>
      <c r="G12" s="34"/>
      <c r="H12" s="85"/>
      <c r="I12" s="85"/>
      <c r="J12" s="86"/>
      <c r="K12" s="85"/>
      <c r="L12" s="85"/>
      <c r="M12" s="85"/>
      <c r="N12" s="88"/>
      <c r="O12" s="93">
        <v>26.9</v>
      </c>
      <c r="P12" s="73">
        <v>22</v>
      </c>
      <c r="Q12" s="70">
        <v>1</v>
      </c>
      <c r="R12" s="71"/>
      <c r="S12" s="306"/>
      <c r="T12" s="306"/>
      <c r="U12" s="72"/>
      <c r="V12" s="128" t="s">
        <v>98</v>
      </c>
      <c r="W12" s="128"/>
      <c r="X12" s="128"/>
      <c r="Y12" s="124" t="s">
        <v>99</v>
      </c>
      <c r="Z12" s="123"/>
      <c r="AA12" s="123"/>
      <c r="AB12" s="143"/>
      <c r="AC12" s="143"/>
      <c r="AD12" s="143"/>
      <c r="AG12" s="146" t="s">
        <v>118</v>
      </c>
      <c r="AH12" s="150">
        <f>SUM(V24:V103)*$B$11</f>
        <v>11.430359745558025</v>
      </c>
      <c r="AJ12" s="171"/>
      <c r="AK12" s="171"/>
      <c r="AL12" s="173" t="s">
        <v>133</v>
      </c>
      <c r="AM12" s="150">
        <f>SUM(AB24:AB97)*$B$11</f>
        <v>11.430359745558025</v>
      </c>
      <c r="AO12" s="365"/>
      <c r="AP12" s="366"/>
      <c r="AQ12" s="366"/>
      <c r="AR12" s="366"/>
      <c r="AS12" s="366"/>
      <c r="AT12" s="367"/>
      <c r="AV12" s="33"/>
    </row>
    <row r="13" spans="1:49" ht="15" thickBot="1" x14ac:dyDescent="0.35">
      <c r="A13" s="29" t="s">
        <v>71</v>
      </c>
      <c r="B13" s="36">
        <v>13</v>
      </c>
      <c r="C13" s="41"/>
      <c r="D13" s="35"/>
      <c r="E13" s="42"/>
      <c r="G13" s="34"/>
      <c r="H13" s="85"/>
      <c r="I13" s="85"/>
      <c r="J13" s="86"/>
      <c r="K13" s="85"/>
      <c r="L13" s="85"/>
      <c r="M13" s="85"/>
      <c r="N13" s="88"/>
      <c r="O13" s="93">
        <v>24.9</v>
      </c>
      <c r="P13" s="73">
        <v>22</v>
      </c>
      <c r="Q13" s="70">
        <v>1</v>
      </c>
      <c r="R13" s="71"/>
      <c r="S13" s="306"/>
      <c r="T13" s="306"/>
      <c r="U13" s="72"/>
      <c r="V13" s="129"/>
      <c r="W13" s="129"/>
      <c r="X13" s="129"/>
      <c r="Y13" s="123"/>
      <c r="Z13" s="123"/>
      <c r="AA13" s="123"/>
      <c r="AB13" s="143"/>
      <c r="AC13" s="143"/>
      <c r="AD13" s="143"/>
      <c r="AG13" s="147" t="s">
        <v>119</v>
      </c>
      <c r="AH13" s="150">
        <f>SUM(W24:W103)*$B$11</f>
        <v>0.5208833685986739</v>
      </c>
      <c r="AJ13" s="171"/>
      <c r="AK13" s="171"/>
      <c r="AL13" s="174" t="s">
        <v>134</v>
      </c>
      <c r="AM13" s="150">
        <f>SUM(AC24:AC97)*$B$11</f>
        <v>0.5208833685986739</v>
      </c>
      <c r="AO13" s="353" t="s">
        <v>214</v>
      </c>
      <c r="AP13" s="185" t="s">
        <v>211</v>
      </c>
      <c r="AQ13" s="185" t="s">
        <v>44</v>
      </c>
      <c r="AR13" s="185" t="s">
        <v>45</v>
      </c>
      <c r="AS13" s="185" t="s">
        <v>46</v>
      </c>
      <c r="AT13" s="185" t="s">
        <v>215</v>
      </c>
      <c r="AU13" s="349">
        <v>9.9640000000000006E-3</v>
      </c>
      <c r="AV13" s="349">
        <v>1.780459</v>
      </c>
      <c r="AW13" s="350">
        <v>1.369618</v>
      </c>
    </row>
    <row r="14" spans="1:49" ht="42" customHeight="1" x14ac:dyDescent="0.3">
      <c r="C14" s="41"/>
      <c r="D14" s="35"/>
      <c r="E14" s="42"/>
      <c r="G14" s="34"/>
      <c r="H14" s="87"/>
      <c r="I14" s="87"/>
      <c r="J14" s="86"/>
      <c r="K14" s="85"/>
      <c r="L14" s="85"/>
      <c r="M14" s="85"/>
      <c r="N14" s="88"/>
      <c r="O14" s="93">
        <v>24.35</v>
      </c>
      <c r="P14" s="73">
        <v>22</v>
      </c>
      <c r="Q14" s="70">
        <v>1</v>
      </c>
      <c r="R14" s="71"/>
      <c r="S14" s="306"/>
      <c r="T14" s="306"/>
      <c r="U14" s="72"/>
      <c r="V14" s="129"/>
      <c r="W14" s="129"/>
      <c r="X14" s="129"/>
      <c r="Y14" s="123"/>
      <c r="Z14" s="123"/>
      <c r="AA14" s="123"/>
      <c r="AB14" s="143"/>
      <c r="AC14" s="143"/>
      <c r="AD14" s="143"/>
      <c r="AO14" s="354" t="s">
        <v>216</v>
      </c>
      <c r="AP14" s="368">
        <v>1</v>
      </c>
      <c r="AQ14" s="368">
        <v>9.9640000000000006E-3</v>
      </c>
      <c r="AR14" s="376" t="s">
        <v>218</v>
      </c>
      <c r="AS14" s="387">
        <v>1.369618</v>
      </c>
      <c r="AT14" s="370" t="s">
        <v>219</v>
      </c>
      <c r="AU14">
        <v>-0.70909</v>
      </c>
      <c r="AV14" s="33">
        <v>0.627861</v>
      </c>
    </row>
    <row r="15" spans="1:49" ht="15" thickBot="1" x14ac:dyDescent="0.35">
      <c r="C15" s="63" t="s">
        <v>42</v>
      </c>
      <c r="D15" s="35"/>
      <c r="E15" s="42"/>
      <c r="J15" s="89" t="s">
        <v>43</v>
      </c>
      <c r="K15" s="85"/>
      <c r="L15" s="85"/>
      <c r="M15" s="85"/>
      <c r="N15" s="82"/>
      <c r="O15" s="93">
        <v>19.55</v>
      </c>
      <c r="P15" s="73">
        <v>20.5</v>
      </c>
      <c r="Q15" s="70">
        <v>1</v>
      </c>
      <c r="R15" s="71"/>
      <c r="S15" s="306"/>
      <c r="T15" s="306"/>
      <c r="U15" s="72"/>
      <c r="V15" s="129"/>
      <c r="W15" s="129"/>
      <c r="X15" s="129"/>
      <c r="Y15" s="123"/>
      <c r="Z15" s="123"/>
      <c r="AA15" s="123"/>
      <c r="AB15" s="143"/>
      <c r="AC15" s="143"/>
      <c r="AD15" s="143"/>
      <c r="AO15" s="355" t="s">
        <v>217</v>
      </c>
      <c r="AP15" s="369"/>
      <c r="AQ15" s="369"/>
      <c r="AR15" s="377"/>
      <c r="AS15" s="388"/>
      <c r="AT15" s="371"/>
      <c r="AU15">
        <v>1.780459</v>
      </c>
      <c r="AV15" s="33"/>
    </row>
    <row r="16" spans="1:49" ht="42" customHeight="1" thickBot="1" x14ac:dyDescent="0.35">
      <c r="C16" s="31" t="s">
        <v>48</v>
      </c>
      <c r="D16" s="31" t="s">
        <v>49</v>
      </c>
      <c r="E16" s="49" t="s">
        <v>50</v>
      </c>
      <c r="G16" s="92" t="s">
        <v>56</v>
      </c>
      <c r="H16" s="53">
        <f>SUM(H24:H103)</f>
        <v>3.1713733811494986</v>
      </c>
      <c r="J16" s="84" t="s">
        <v>44</v>
      </c>
      <c r="K16" s="84" t="s">
        <v>45</v>
      </c>
      <c r="L16" s="84" t="s">
        <v>46</v>
      </c>
      <c r="M16" s="84" t="s">
        <v>47</v>
      </c>
      <c r="N16" s="83"/>
      <c r="O16" s="93">
        <v>22.6</v>
      </c>
      <c r="P16" s="73">
        <v>18.5</v>
      </c>
      <c r="Q16" s="70">
        <v>1</v>
      </c>
      <c r="R16" s="71"/>
      <c r="S16" s="71"/>
      <c r="T16" s="71"/>
      <c r="U16" s="72"/>
      <c r="V16" s="130">
        <v>0.21049999999999999</v>
      </c>
      <c r="W16" s="131">
        <v>1.8190999999999999</v>
      </c>
      <c r="X16" s="131">
        <v>1.0703</v>
      </c>
      <c r="Y16" s="125">
        <v>0.1241</v>
      </c>
      <c r="Z16" s="126">
        <v>1.7828999999999999</v>
      </c>
      <c r="AA16" s="126">
        <v>1.1564000000000001</v>
      </c>
      <c r="AB16" s="144">
        <v>0.60219999999999996</v>
      </c>
      <c r="AC16" s="145">
        <v>4.7766999999999999</v>
      </c>
      <c r="AD16" s="145">
        <v>4.4124999999999996</v>
      </c>
      <c r="AO16" s="354" t="s">
        <v>220</v>
      </c>
      <c r="AP16" s="368">
        <v>1</v>
      </c>
      <c r="AQ16" s="368">
        <v>5.9400000000000002E-4</v>
      </c>
      <c r="AR16" s="376" t="s">
        <v>222</v>
      </c>
      <c r="AS16" s="389">
        <v>1.0849880000000001</v>
      </c>
      <c r="AT16" s="370" t="s">
        <v>219</v>
      </c>
      <c r="AU16">
        <v>-0.69950999999999997</v>
      </c>
      <c r="AV16" s="33">
        <v>0.45855000000000001</v>
      </c>
    </row>
    <row r="17" spans="2:48" s="38" customFormat="1" ht="15" thickBot="1" x14ac:dyDescent="0.35">
      <c r="C17" s="56">
        <v>61.1372</v>
      </c>
      <c r="D17" s="56">
        <v>0.48049999999999998</v>
      </c>
      <c r="E17" s="57">
        <v>10</v>
      </c>
      <c r="J17" s="30">
        <v>-1.770086</v>
      </c>
      <c r="K17" s="46">
        <v>-0.233239</v>
      </c>
      <c r="L17" s="46">
        <v>0.54879800000000001</v>
      </c>
      <c r="M17" s="46">
        <v>-5.5273999999999997E-2</v>
      </c>
      <c r="N17" s="2"/>
      <c r="O17" s="75"/>
      <c r="P17" s="76"/>
      <c r="Q17" s="77"/>
      <c r="R17" s="76"/>
      <c r="S17" s="76"/>
      <c r="T17" s="76"/>
      <c r="U17" s="78"/>
      <c r="AF17" s="178" t="s">
        <v>123</v>
      </c>
      <c r="AG17" s="178" t="s">
        <v>124</v>
      </c>
      <c r="AH17" s="178" t="s">
        <v>125</v>
      </c>
      <c r="AI17" s="178" t="s">
        <v>126</v>
      </c>
      <c r="AJ17" s="178" t="s">
        <v>127</v>
      </c>
      <c r="AO17" s="355" t="s">
        <v>221</v>
      </c>
      <c r="AP17" s="369"/>
      <c r="AQ17" s="369"/>
      <c r="AR17" s="377"/>
      <c r="AS17" s="390"/>
      <c r="AT17" s="371"/>
      <c r="AU17" s="38">
        <v>2.3794749999999998</v>
      </c>
      <c r="AV17" s="33"/>
    </row>
    <row r="18" spans="2:48" s="38" customFormat="1" ht="21" thickBot="1" x14ac:dyDescent="0.35">
      <c r="J18" s="48"/>
      <c r="N18" s="2"/>
      <c r="O18" s="33"/>
      <c r="P18" s="33"/>
      <c r="Q18" s="50"/>
      <c r="R18" s="33"/>
      <c r="S18" s="33"/>
      <c r="T18" s="33"/>
      <c r="U18" s="33"/>
      <c r="AF18" s="1">
        <v>1.0988</v>
      </c>
      <c r="AG18" s="1">
        <v>0.38690000000000002</v>
      </c>
      <c r="AH18" s="1">
        <v>2.8460999999999999</v>
      </c>
      <c r="AI18" s="1">
        <v>-1.0988</v>
      </c>
      <c r="AJ18" s="1">
        <v>0.38690000000000002</v>
      </c>
      <c r="AO18" s="355" t="s">
        <v>223</v>
      </c>
      <c r="AP18" s="356">
        <v>2</v>
      </c>
      <c r="AQ18" s="356">
        <v>9.5602999999999994E-2</v>
      </c>
      <c r="AR18" s="187">
        <v>1.6746529999999999</v>
      </c>
      <c r="AS18" s="391">
        <v>-0.85072999999999999</v>
      </c>
      <c r="AT18" s="357" t="s">
        <v>219</v>
      </c>
      <c r="AV18" s="33"/>
    </row>
    <row r="19" spans="2:48" s="38" customFormat="1" ht="21" thickBot="1" x14ac:dyDescent="0.35">
      <c r="J19" s="48"/>
      <c r="N19" s="2"/>
      <c r="O19" s="33"/>
      <c r="P19" s="33"/>
      <c r="Q19" s="319" t="s">
        <v>114</v>
      </c>
      <c r="R19" s="319"/>
      <c r="S19" s="319"/>
      <c r="T19" s="319"/>
      <c r="U19" s="319"/>
      <c r="V19" s="319"/>
      <c r="W19" s="319"/>
      <c r="X19" s="319"/>
      <c r="AF19" s="170"/>
      <c r="AO19" s="355" t="s">
        <v>224</v>
      </c>
      <c r="AP19" s="356">
        <v>2</v>
      </c>
      <c r="AQ19" s="356">
        <v>0.24895200000000001</v>
      </c>
      <c r="AR19" s="351">
        <v>1.264033</v>
      </c>
      <c r="AS19" s="352">
        <v>-0.71209999999999996</v>
      </c>
      <c r="AT19" s="357" t="s">
        <v>219</v>
      </c>
      <c r="AV19" s="33"/>
    </row>
    <row r="20" spans="2:48" s="38" customFormat="1" ht="11.4" customHeight="1" x14ac:dyDescent="0.3">
      <c r="J20" s="48"/>
      <c r="N20" s="2"/>
      <c r="O20" s="33"/>
      <c r="P20" s="33"/>
      <c r="Q20" s="50"/>
      <c r="R20" s="33"/>
      <c r="S20" s="33"/>
      <c r="T20" s="33"/>
      <c r="U20" s="33"/>
      <c r="AD20" s="29" t="s">
        <v>231</v>
      </c>
      <c r="AE20" s="170">
        <f>K2</f>
        <v>22.45</v>
      </c>
      <c r="AO20" s="382" t="s">
        <v>225</v>
      </c>
      <c r="AP20" s="382" t="s">
        <v>226</v>
      </c>
      <c r="AQ20" s="378"/>
      <c r="AR20" s="378"/>
      <c r="AS20" s="384"/>
      <c r="AT20" s="383" t="s">
        <v>219</v>
      </c>
      <c r="AV20" s="33"/>
    </row>
    <row r="21" spans="2:48" s="38" customFormat="1" ht="15" thickBot="1" x14ac:dyDescent="0.35">
      <c r="J21" s="48"/>
      <c r="N21" s="2"/>
      <c r="O21" s="33"/>
      <c r="P21" s="33"/>
      <c r="Q21" s="317" t="s">
        <v>105</v>
      </c>
      <c r="R21" s="317"/>
      <c r="S21" s="317"/>
      <c r="T21" s="318" t="s">
        <v>106</v>
      </c>
      <c r="U21" s="318"/>
      <c r="V21" s="318"/>
      <c r="W21" s="318"/>
      <c r="AD21" s="38">
        <f>SUM(AD24:AD97)</f>
        <v>13813.386971334054</v>
      </c>
      <c r="AE21" s="38">
        <f t="shared" ref="AE21:AJ21" si="0">SUM(AE24:AE97)</f>
        <v>2314.2477946403965</v>
      </c>
      <c r="AF21" s="38">
        <f t="shared" si="0"/>
        <v>1484.3217959771669</v>
      </c>
      <c r="AG21" s="38">
        <f t="shared" si="0"/>
        <v>1033.270909860139</v>
      </c>
      <c r="AH21" s="38">
        <f t="shared" si="0"/>
        <v>18645.227471811759</v>
      </c>
      <c r="AI21" s="38">
        <f t="shared" si="0"/>
        <v>4637.0680722395864</v>
      </c>
      <c r="AJ21" s="38">
        <f t="shared" si="0"/>
        <v>23282.295544051351</v>
      </c>
      <c r="AO21" s="380"/>
      <c r="AP21" s="380"/>
      <c r="AQ21" s="372"/>
      <c r="AR21" s="372"/>
      <c r="AS21" s="381"/>
      <c r="AT21" s="379"/>
      <c r="AV21" s="33"/>
    </row>
    <row r="22" spans="2:48" s="38" customFormat="1" ht="37.799999999999997" customHeight="1" thickBot="1" x14ac:dyDescent="0.35">
      <c r="J22" s="48"/>
      <c r="N22" s="2"/>
      <c r="O22" s="33"/>
      <c r="P22" s="33"/>
      <c r="Q22" s="316" t="s">
        <v>104</v>
      </c>
      <c r="R22" s="316"/>
      <c r="S22" s="316"/>
      <c r="T22" s="175" t="s">
        <v>107</v>
      </c>
      <c r="U22" s="175" t="s">
        <v>108</v>
      </c>
      <c r="V22" s="175" t="s">
        <v>109</v>
      </c>
      <c r="W22" s="175" t="s">
        <v>110</v>
      </c>
      <c r="AD22" s="386" t="s">
        <v>239</v>
      </c>
      <c r="AE22" s="386"/>
      <c r="AF22" s="386"/>
      <c r="AG22" s="386"/>
      <c r="AH22" s="386"/>
      <c r="AI22" s="386"/>
      <c r="AJ22" s="386"/>
      <c r="AO22" s="355" t="s">
        <v>227</v>
      </c>
      <c r="AP22" s="380" t="s">
        <v>228</v>
      </c>
      <c r="AQ22" s="372"/>
      <c r="AR22" s="372"/>
      <c r="AS22" s="381"/>
      <c r="AT22" s="357" t="s">
        <v>229</v>
      </c>
      <c r="AV22" s="33"/>
    </row>
    <row r="23" spans="2:48" ht="30" customHeight="1" thickBot="1" x14ac:dyDescent="0.35">
      <c r="B23" s="46" t="s">
        <v>1</v>
      </c>
      <c r="C23" s="46" t="s">
        <v>3</v>
      </c>
      <c r="D23" s="46" t="s">
        <v>2</v>
      </c>
      <c r="E23" s="45" t="s">
        <v>0</v>
      </c>
      <c r="F23" s="59" t="s">
        <v>60</v>
      </c>
      <c r="G23" s="47" t="s">
        <v>4</v>
      </c>
      <c r="H23" s="58" t="s">
        <v>55</v>
      </c>
      <c r="I23" s="52" t="s">
        <v>65</v>
      </c>
      <c r="J23" s="70" t="s">
        <v>61</v>
      </c>
      <c r="K23" s="90" t="s">
        <v>62</v>
      </c>
      <c r="L23" s="90" t="s">
        <v>69</v>
      </c>
      <c r="M23" s="60" t="s">
        <v>67</v>
      </c>
      <c r="N23" s="98" t="s">
        <v>5</v>
      </c>
      <c r="O23" s="139" t="s">
        <v>113</v>
      </c>
      <c r="P23" s="140" t="s">
        <v>103</v>
      </c>
      <c r="Q23" s="141">
        <v>25</v>
      </c>
      <c r="R23" s="141">
        <v>12</v>
      </c>
      <c r="S23" s="142">
        <v>6</v>
      </c>
      <c r="T23" s="176">
        <v>25</v>
      </c>
      <c r="U23" s="176" t="s">
        <v>101</v>
      </c>
      <c r="V23" s="176" t="s">
        <v>102</v>
      </c>
      <c r="W23" s="176" t="s">
        <v>111</v>
      </c>
      <c r="X23" s="149" t="s">
        <v>112</v>
      </c>
      <c r="Y23" s="177" t="s">
        <v>122</v>
      </c>
      <c r="Z23" s="177" t="s">
        <v>128</v>
      </c>
      <c r="AA23" s="177" t="s">
        <v>129</v>
      </c>
      <c r="AB23" s="177" t="s">
        <v>130</v>
      </c>
      <c r="AC23" s="177" t="s">
        <v>110</v>
      </c>
      <c r="AD23" s="385" t="s">
        <v>232</v>
      </c>
      <c r="AE23" s="385" t="s">
        <v>233</v>
      </c>
      <c r="AF23" s="385" t="s">
        <v>234</v>
      </c>
      <c r="AG23" s="385" t="s">
        <v>235</v>
      </c>
      <c r="AH23" s="385" t="s">
        <v>236</v>
      </c>
      <c r="AI23" s="385" t="s">
        <v>237</v>
      </c>
      <c r="AJ23" s="385" t="s">
        <v>238</v>
      </c>
      <c r="AO23" s="373" t="s">
        <v>230</v>
      </c>
      <c r="AP23" s="374"/>
      <c r="AQ23" s="374"/>
      <c r="AR23" s="374"/>
      <c r="AS23" s="374"/>
      <c r="AT23" s="375"/>
      <c r="AV23" s="33"/>
    </row>
    <row r="24" spans="2:48" x14ac:dyDescent="0.3">
      <c r="B24" s="4">
        <v>71</v>
      </c>
      <c r="C24" s="4">
        <v>284</v>
      </c>
      <c r="D24" s="4">
        <v>289</v>
      </c>
      <c r="E24" s="4">
        <v>25.5</v>
      </c>
      <c r="F24" s="40">
        <f t="shared" ref="F24:F55" si="1">IF(C24=0,1,0)</f>
        <v>0</v>
      </c>
      <c r="G24" s="1">
        <f>(C24+D24)/20</f>
        <v>28.65</v>
      </c>
      <c r="H24" s="37">
        <f t="shared" ref="H24:H55" si="2">PI()/40000*G24^2</f>
        <v>6.4467248397530194E-2</v>
      </c>
      <c r="I24" s="1">
        <v>1</v>
      </c>
      <c r="J24" s="70">
        <f>IF(I24&lt;=14,1,0)</f>
        <v>1</v>
      </c>
      <c r="K24" s="96">
        <f>IF(J24=1,E24*J24,"")</f>
        <v>25.5</v>
      </c>
      <c r="L24" s="91">
        <f>IF(J24=1,G24*J24,"")</f>
        <v>28.65</v>
      </c>
      <c r="M24" s="95">
        <f>$K$2*EXP(($J$17+$K$17*$K$2+$L$17*$K$4/1000+$M$17*$K$7)*(1/G24-1/$K$1))</f>
        <v>23.270106888731416</v>
      </c>
      <c r="N24" s="99">
        <f>IF(E24&lt;&gt;"",E24,M24)</f>
        <v>25.5</v>
      </c>
      <c r="O24" s="122">
        <f>$V$16*(G24/100)^$W$16*N24^$X$16</f>
        <v>0.69362935247632651</v>
      </c>
      <c r="P24" s="122">
        <f>$Y$16*(G24/100)^$Z$16*N24^$AA$16</f>
        <v>0.5654605905192347</v>
      </c>
      <c r="Q24" s="132">
        <f>$P24*EXP(-$AB$16*Q$23^$AC$16/$G24^$AD$16)</f>
        <v>0.19475374296251943</v>
      </c>
      <c r="R24" s="132">
        <f>$P24*EXP(-$AB$16*R$23^$AC$16/$G24^$AD$16)</f>
        <v>0.54765418345614891</v>
      </c>
      <c r="S24" s="133">
        <f t="shared" ref="R24:S39" si="3">$P24*EXP(-$AB$16*S$23^$AC$16/$G24^$AD$16)</f>
        <v>0.56480092723645392</v>
      </c>
      <c r="T24" s="134">
        <f>Q24</f>
        <v>0.19475374296251943</v>
      </c>
      <c r="U24" s="137">
        <f t="shared" ref="U24:U55" si="4">R24-Q24</f>
        <v>0.35290044049362945</v>
      </c>
      <c r="V24" s="137">
        <f t="shared" ref="V24:V55" si="5">S24-R24</f>
        <v>1.7146743780305007E-2</v>
      </c>
      <c r="W24" s="138">
        <f>P24-S24</f>
        <v>6.5966328278077579E-4</v>
      </c>
      <c r="X24" s="136">
        <f>P24-SUM(T24:W24)</f>
        <v>0</v>
      </c>
      <c r="Y24">
        <f t="shared" ref="Y24:Y55" si="6">G24*($AF$18+$AG$18*LN(1-(3.1/N24)^(1/$AH$18)*(1-EXP($AI$18/$AJ$18))))</f>
        <v>24.872812818466929</v>
      </c>
      <c r="Z24">
        <f>IF(Y24&gt;=$Q$23,T24,0)</f>
        <v>0</v>
      </c>
      <c r="AA24" s="136">
        <f>R24-Z24</f>
        <v>0.54765418345614891</v>
      </c>
      <c r="AB24" s="136">
        <f>S24-R24</f>
        <v>1.7146743780305007E-2</v>
      </c>
      <c r="AC24" s="170">
        <f>P24-S24</f>
        <v>6.5966328278077579E-4</v>
      </c>
      <c r="AD24">
        <f>$AQ$14*G24^$AU$15*N24^$AS$14</f>
        <v>330.52713770202553</v>
      </c>
      <c r="AE24">
        <f>$AQ$16*G24^$AU$17*N24^$AS$16</f>
        <v>58.48672216984319</v>
      </c>
      <c r="AF24">
        <f>$AQ$18*G24^$AR$18*(N24/G24)^$AS$18</f>
        <v>29.085956682842589</v>
      </c>
      <c r="AG24">
        <f>$AQ$19*G24^$AR$19*(N24/G24)^$AS$19</f>
        <v>18.79275345715903</v>
      </c>
      <c r="AH24">
        <f>AG24+AF24+AE24+AD24</f>
        <v>436.89257001187036</v>
      </c>
      <c r="AI24">
        <f>0.2487*AH24</f>
        <v>108.65518216195215</v>
      </c>
      <c r="AJ24">
        <f>AH24+AI24</f>
        <v>545.54775217382257</v>
      </c>
      <c r="AO24" s="392"/>
    </row>
    <row r="25" spans="2:48" x14ac:dyDescent="0.3">
      <c r="B25" s="3">
        <v>11</v>
      </c>
      <c r="C25" s="4">
        <v>295</v>
      </c>
      <c r="D25" s="4">
        <v>293</v>
      </c>
      <c r="E25" s="4">
        <v>23.5</v>
      </c>
      <c r="F25" s="40">
        <f t="shared" si="1"/>
        <v>0</v>
      </c>
      <c r="G25" s="1">
        <f t="shared" ref="G25:G55" si="7">(C25+D25)/20</f>
        <v>29.4</v>
      </c>
      <c r="H25" s="37">
        <f t="shared" si="2"/>
        <v>6.7886675651421827E-2</v>
      </c>
      <c r="I25" s="1">
        <v>2</v>
      </c>
      <c r="J25" s="70">
        <f t="shared" ref="J25:J88" si="8">IF(I25&lt;=14,1,0)</f>
        <v>1</v>
      </c>
      <c r="K25" s="91">
        <f t="shared" ref="K25:K88" si="9">IF(J25=1,E25*J25,"")</f>
        <v>23.5</v>
      </c>
      <c r="L25" s="91">
        <f t="shared" ref="L25:L88" si="10">IF(J25=1,G25*J25,"")</f>
        <v>29.4</v>
      </c>
      <c r="M25" s="95">
        <f t="shared" ref="M25:M88" si="11">$K$2*EXP(($J$17+$K$17*$K$2+$L$17*$K$4/1000+$M$17*$K$7)*(1/G25-1/$K$1))</f>
        <v>23.437368858597107</v>
      </c>
      <c r="N25" s="99">
        <f t="shared" ref="N25:N88" si="12">IF(E25&lt;&gt;"",E25,M25)</f>
        <v>23.5</v>
      </c>
      <c r="O25" s="122">
        <f t="shared" ref="O25:O88" si="13">$V$16*(G25/100)^$W$16*N25^$X$16</f>
        <v>0.66615710135844031</v>
      </c>
      <c r="P25" s="122">
        <f t="shared" ref="P25:P88" si="14">$Y$16*(G25/100)^$Z$16*N25^$AA$16</f>
        <v>0.53875475077311796</v>
      </c>
      <c r="Q25" s="132">
        <f t="shared" ref="Q25:S88" si="15">$P25*EXP(-$AB$16*Q$23^$AC$16/$G25^$AD$16)</f>
        <v>0.20814225156495897</v>
      </c>
      <c r="R25" s="132">
        <f t="shared" si="3"/>
        <v>0.52359158622779511</v>
      </c>
      <c r="S25" s="133">
        <f t="shared" si="3"/>
        <v>0.53819393759505962</v>
      </c>
      <c r="T25" s="134">
        <f t="shared" ref="T25:T88" si="16">Q25</f>
        <v>0.20814225156495897</v>
      </c>
      <c r="U25" s="134">
        <f t="shared" si="4"/>
        <v>0.31544933466283614</v>
      </c>
      <c r="V25" s="134">
        <f t="shared" si="5"/>
        <v>1.460235136726451E-2</v>
      </c>
      <c r="W25" s="122">
        <f t="shared" ref="W25:W55" si="17">P25-S25</f>
        <v>5.6081317805833919E-4</v>
      </c>
      <c r="X25" s="136">
        <f t="shared" ref="X25:X88" si="18">P25-SUM(T25:W25)</f>
        <v>0</v>
      </c>
      <c r="Y25" s="38">
        <f t="shared" si="6"/>
        <v>25.250756802144462</v>
      </c>
      <c r="Z25" s="38">
        <f t="shared" ref="Z25:Z88" si="19">IF(Y25&gt;=$Q$23,T25,0)</f>
        <v>0.20814225156495897</v>
      </c>
      <c r="AA25" s="136">
        <f t="shared" ref="AA25:AA88" si="20">R25-Z25</f>
        <v>0.31544933466283614</v>
      </c>
      <c r="AB25" s="136">
        <f t="shared" ref="AB25:AB88" si="21">S25-R25</f>
        <v>1.460235136726451E-2</v>
      </c>
      <c r="AC25" s="170">
        <f t="shared" ref="AC25:AC88" si="22">P25-S25</f>
        <v>5.6081317805833919E-4</v>
      </c>
      <c r="AD25" s="38">
        <f t="shared" ref="AD25:AD88" si="23">$AQ$14*G25^$AU$15*N25^$AS$14</f>
        <v>309.46045647241147</v>
      </c>
      <c r="AE25" s="38">
        <f t="shared" ref="AE25:AE88" si="24">$AQ$16*G25^$AU$17*N25^$AS$16</f>
        <v>56.921244504273503</v>
      </c>
      <c r="AF25" s="38">
        <f t="shared" ref="AF25:AF88" si="25">$AQ$18*G25^$AR$18*(N25/G25)^$AS$18</f>
        <v>33.281458054645086</v>
      </c>
      <c r="AG25" s="38">
        <f t="shared" ref="AG25:AG88" si="26">$AQ$19*G25^$AR$19*(N25/G25)^$AS$19</f>
        <v>20.961763171890581</v>
      </c>
      <c r="AH25" s="38">
        <f t="shared" ref="AH25:AH88" si="27">AG25+AF25+AE25+AD25</f>
        <v>420.62492220322065</v>
      </c>
      <c r="AI25" s="38">
        <f t="shared" ref="AI25:AI88" si="28">0.2487*AH25</f>
        <v>104.60941815194097</v>
      </c>
      <c r="AJ25" s="38">
        <f t="shared" ref="AJ25:AJ88" si="29">AH25+AI25</f>
        <v>525.23434035516163</v>
      </c>
    </row>
    <row r="26" spans="2:48" ht="16.2" x14ac:dyDescent="0.3">
      <c r="B26" s="4">
        <v>58</v>
      </c>
      <c r="C26" s="4">
        <v>288</v>
      </c>
      <c r="D26" s="4">
        <v>275</v>
      </c>
      <c r="E26" s="4">
        <v>23.5</v>
      </c>
      <c r="F26" s="40">
        <f t="shared" si="1"/>
        <v>0</v>
      </c>
      <c r="G26" s="1">
        <f t="shared" si="7"/>
        <v>28.15</v>
      </c>
      <c r="H26" s="37">
        <f t="shared" si="2"/>
        <v>6.2236717613481436E-2</v>
      </c>
      <c r="I26" s="1">
        <v>3</v>
      </c>
      <c r="J26" s="70">
        <f t="shared" si="8"/>
        <v>1</v>
      </c>
      <c r="K26" s="91">
        <f t="shared" si="9"/>
        <v>23.5</v>
      </c>
      <c r="L26" s="91">
        <f t="shared" si="10"/>
        <v>28.15</v>
      </c>
      <c r="M26" s="95">
        <f t="shared" si="11"/>
        <v>23.154352811583031</v>
      </c>
      <c r="N26" s="99">
        <f t="shared" si="12"/>
        <v>23.5</v>
      </c>
      <c r="O26" s="122">
        <f t="shared" si="13"/>
        <v>0.61553420160827776</v>
      </c>
      <c r="P26" s="122">
        <f t="shared" si="14"/>
        <v>0.49859703933783106</v>
      </c>
      <c r="Q26" s="132">
        <f t="shared" si="15"/>
        <v>0.1575566855027149</v>
      </c>
      <c r="R26" s="132">
        <f t="shared" si="3"/>
        <v>0.48164958565168536</v>
      </c>
      <c r="S26" s="133">
        <f t="shared" si="3"/>
        <v>0.49796841937370412</v>
      </c>
      <c r="T26" s="134">
        <f t="shared" si="16"/>
        <v>0.1575566855027149</v>
      </c>
      <c r="U26" s="134">
        <f t="shared" si="4"/>
        <v>0.32409290014897046</v>
      </c>
      <c r="V26" s="134">
        <f t="shared" si="5"/>
        <v>1.6318833722018755E-2</v>
      </c>
      <c r="W26" s="122">
        <f t="shared" si="17"/>
        <v>6.2861996412694188E-4</v>
      </c>
      <c r="X26" s="136">
        <f t="shared" si="18"/>
        <v>0</v>
      </c>
      <c r="Y26" s="38">
        <f t="shared" si="6"/>
        <v>24.17717020341383</v>
      </c>
      <c r="Z26" s="38">
        <f t="shared" si="19"/>
        <v>0</v>
      </c>
      <c r="AA26" s="136">
        <f t="shared" si="20"/>
        <v>0.48164958565168536</v>
      </c>
      <c r="AB26" s="136">
        <f t="shared" si="21"/>
        <v>1.6318833722018755E-2</v>
      </c>
      <c r="AC26" s="170">
        <f t="shared" si="22"/>
        <v>6.2861996412694188E-4</v>
      </c>
      <c r="AD26" s="38">
        <f t="shared" si="23"/>
        <v>286.42426241394998</v>
      </c>
      <c r="AE26" s="38">
        <f t="shared" si="24"/>
        <v>51.330587697051577</v>
      </c>
      <c r="AF26" s="38">
        <f t="shared" si="25"/>
        <v>29.822981990448472</v>
      </c>
      <c r="AG26" s="38">
        <f t="shared" si="26"/>
        <v>19.237130551380901</v>
      </c>
      <c r="AH26" s="38">
        <f t="shared" si="27"/>
        <v>386.8149626528309</v>
      </c>
      <c r="AI26" s="38">
        <f t="shared" si="28"/>
        <v>96.20088121175904</v>
      </c>
      <c r="AJ26" s="38">
        <f t="shared" si="29"/>
        <v>483.01584386458995</v>
      </c>
      <c r="AO26" s="184" t="s">
        <v>183</v>
      </c>
    </row>
    <row r="27" spans="2:48" x14ac:dyDescent="0.3">
      <c r="B27" s="4">
        <v>64</v>
      </c>
      <c r="C27" s="4">
        <v>285</v>
      </c>
      <c r="D27" s="4">
        <v>275</v>
      </c>
      <c r="E27" s="4">
        <v>23.3</v>
      </c>
      <c r="F27" s="40">
        <f t="shared" si="1"/>
        <v>0</v>
      </c>
      <c r="G27" s="1">
        <f t="shared" si="7"/>
        <v>28</v>
      </c>
      <c r="H27" s="37">
        <f t="shared" si="2"/>
        <v>6.1575216010359944E-2</v>
      </c>
      <c r="I27" s="1">
        <v>4</v>
      </c>
      <c r="J27" s="70">
        <f t="shared" si="8"/>
        <v>1</v>
      </c>
      <c r="K27" s="91">
        <f t="shared" si="9"/>
        <v>23.3</v>
      </c>
      <c r="L27" s="91">
        <f t="shared" si="10"/>
        <v>28</v>
      </c>
      <c r="M27" s="95">
        <f t="shared" si="11"/>
        <v>23.118936080654183</v>
      </c>
      <c r="N27" s="99">
        <f t="shared" si="12"/>
        <v>23.3</v>
      </c>
      <c r="O27" s="122">
        <f t="shared" si="13"/>
        <v>0.60402973331811127</v>
      </c>
      <c r="P27" s="122">
        <f t="shared" si="14"/>
        <v>0.48901279509393814</v>
      </c>
      <c r="Q27" s="132">
        <f t="shared" si="15"/>
        <v>0.15033918874891228</v>
      </c>
      <c r="R27" s="132">
        <f t="shared" si="3"/>
        <v>0.4720015729957619</v>
      </c>
      <c r="S27" s="133">
        <f t="shared" si="3"/>
        <v>0.48838156050806303</v>
      </c>
      <c r="T27" s="134">
        <f t="shared" si="16"/>
        <v>0.15033918874891228</v>
      </c>
      <c r="U27" s="134">
        <f t="shared" si="4"/>
        <v>0.32166238424684962</v>
      </c>
      <c r="V27" s="134">
        <f t="shared" si="5"/>
        <v>1.6379987512301131E-2</v>
      </c>
      <c r="W27" s="122">
        <f t="shared" si="17"/>
        <v>6.3123458587510672E-4</v>
      </c>
      <c r="X27" s="136">
        <f t="shared" si="18"/>
        <v>0</v>
      </c>
      <c r="Y27" s="38">
        <f t="shared" si="6"/>
        <v>24.02030986699932</v>
      </c>
      <c r="Z27" s="38">
        <f t="shared" si="19"/>
        <v>0</v>
      </c>
      <c r="AA27" s="136">
        <f t="shared" si="20"/>
        <v>0.4720015729957619</v>
      </c>
      <c r="AB27" s="136">
        <f t="shared" si="21"/>
        <v>1.6379987512301131E-2</v>
      </c>
      <c r="AC27" s="170">
        <f t="shared" si="22"/>
        <v>6.3123458587510672E-4</v>
      </c>
      <c r="AD27" s="38">
        <f t="shared" si="23"/>
        <v>280.4106744812633</v>
      </c>
      <c r="AE27" s="38">
        <f t="shared" si="24"/>
        <v>50.214317893218457</v>
      </c>
      <c r="AF27" s="38">
        <f t="shared" si="25"/>
        <v>29.63801466040081</v>
      </c>
      <c r="AG27" s="38">
        <f t="shared" si="26"/>
        <v>19.151297828595514</v>
      </c>
      <c r="AH27" s="38">
        <f t="shared" si="27"/>
        <v>379.41430486347809</v>
      </c>
      <c r="AI27" s="38">
        <f t="shared" si="28"/>
        <v>94.36033761954701</v>
      </c>
      <c r="AJ27" s="38">
        <f t="shared" si="29"/>
        <v>473.7746424830251</v>
      </c>
      <c r="AO27" s="184" t="s">
        <v>184</v>
      </c>
      <c r="AP27" s="179">
        <f>AD21*$B$11/1000</f>
        <v>86.33366857083783</v>
      </c>
    </row>
    <row r="28" spans="2:48" x14ac:dyDescent="0.3">
      <c r="B28" s="3">
        <v>31</v>
      </c>
      <c r="C28" s="4">
        <v>260</v>
      </c>
      <c r="D28" s="4">
        <v>278</v>
      </c>
      <c r="E28" s="4">
        <v>23</v>
      </c>
      <c r="F28" s="40">
        <f t="shared" si="1"/>
        <v>0</v>
      </c>
      <c r="G28" s="1">
        <f t="shared" si="7"/>
        <v>26.9</v>
      </c>
      <c r="H28" s="37">
        <f t="shared" si="2"/>
        <v>5.6832196501602747E-2</v>
      </c>
      <c r="I28" s="1">
        <v>5</v>
      </c>
      <c r="J28" s="70">
        <f t="shared" si="8"/>
        <v>1</v>
      </c>
      <c r="K28" s="91">
        <f t="shared" si="9"/>
        <v>23</v>
      </c>
      <c r="L28" s="91">
        <f t="shared" si="10"/>
        <v>26.9</v>
      </c>
      <c r="M28" s="95">
        <f t="shared" si="11"/>
        <v>22.848941410634261</v>
      </c>
      <c r="N28" s="99">
        <f t="shared" si="12"/>
        <v>23</v>
      </c>
      <c r="O28" s="122">
        <f t="shared" si="13"/>
        <v>0.55382400461120296</v>
      </c>
      <c r="P28" s="122">
        <f t="shared" si="14"/>
        <v>0.44851729171578875</v>
      </c>
      <c r="Q28" s="132">
        <f t="shared" si="15"/>
        <v>0.10975863392766272</v>
      </c>
      <c r="R28" s="132">
        <f t="shared" si="3"/>
        <v>0.42995978202429069</v>
      </c>
      <c r="S28" s="133">
        <f t="shared" si="3"/>
        <v>0.44782641845069465</v>
      </c>
      <c r="T28" s="134">
        <f t="shared" si="16"/>
        <v>0.10975863392766272</v>
      </c>
      <c r="U28" s="134">
        <f t="shared" si="4"/>
        <v>0.32020114809662797</v>
      </c>
      <c r="V28" s="134">
        <f t="shared" si="5"/>
        <v>1.7866636426403959E-2</v>
      </c>
      <c r="W28" s="122">
        <f t="shared" si="17"/>
        <v>6.9087326509409408E-4</v>
      </c>
      <c r="X28" s="136">
        <f t="shared" si="18"/>
        <v>0</v>
      </c>
      <c r="Y28" s="38">
        <f t="shared" si="6"/>
        <v>23.035536390250137</v>
      </c>
      <c r="Z28" s="38">
        <f t="shared" si="19"/>
        <v>0</v>
      </c>
      <c r="AA28" s="136">
        <f t="shared" si="20"/>
        <v>0.42995978202429069</v>
      </c>
      <c r="AB28" s="136">
        <f t="shared" si="21"/>
        <v>1.7866636426403959E-2</v>
      </c>
      <c r="AC28" s="170">
        <f t="shared" si="22"/>
        <v>6.9087326509409408E-4</v>
      </c>
      <c r="AD28" s="38">
        <f t="shared" si="23"/>
        <v>256.50509079751464</v>
      </c>
      <c r="AE28" s="38">
        <f t="shared" si="24"/>
        <v>45.009543973239367</v>
      </c>
      <c r="AF28" s="38">
        <f t="shared" si="25"/>
        <v>27.082010413312705</v>
      </c>
      <c r="AG28" s="38">
        <f t="shared" si="26"/>
        <v>17.857057206249731</v>
      </c>
      <c r="AH28" s="38">
        <f t="shared" si="27"/>
        <v>346.45370239031644</v>
      </c>
      <c r="AI28" s="38">
        <f t="shared" si="28"/>
        <v>86.163035784471703</v>
      </c>
      <c r="AJ28" s="38">
        <f t="shared" si="29"/>
        <v>432.61673817478811</v>
      </c>
      <c r="AO28" s="146" t="s">
        <v>185</v>
      </c>
      <c r="AP28" s="393">
        <f>AE21*$B$11/1000</f>
        <v>14.464048716502479</v>
      </c>
    </row>
    <row r="29" spans="2:48" x14ac:dyDescent="0.3">
      <c r="B29" s="3">
        <v>8</v>
      </c>
      <c r="C29" s="4">
        <v>262</v>
      </c>
      <c r="D29" s="4">
        <v>267</v>
      </c>
      <c r="E29" s="4">
        <v>23</v>
      </c>
      <c r="F29" s="40">
        <f t="shared" si="1"/>
        <v>0</v>
      </c>
      <c r="G29" s="1">
        <f t="shared" si="7"/>
        <v>26.45</v>
      </c>
      <c r="H29" s="37">
        <f t="shared" si="2"/>
        <v>5.4946651860826326E-2</v>
      </c>
      <c r="I29" s="1">
        <v>6</v>
      </c>
      <c r="J29" s="70">
        <f t="shared" si="8"/>
        <v>1</v>
      </c>
      <c r="K29" s="91">
        <f t="shared" si="9"/>
        <v>23</v>
      </c>
      <c r="L29" s="91">
        <f t="shared" si="10"/>
        <v>26.45</v>
      </c>
      <c r="M29" s="95">
        <f t="shared" si="11"/>
        <v>22.732997012395373</v>
      </c>
      <c r="N29" s="99">
        <f t="shared" si="12"/>
        <v>23</v>
      </c>
      <c r="O29" s="122">
        <f t="shared" si="13"/>
        <v>0.53708614716677139</v>
      </c>
      <c r="P29" s="122">
        <f t="shared" si="14"/>
        <v>0.43522776142818442</v>
      </c>
      <c r="Q29" s="132">
        <f t="shared" si="15"/>
        <v>9.5528208895455075E-2</v>
      </c>
      <c r="R29" s="132">
        <f>$P29*EXP(-$AB$16*R$23^$AC$16/$G29^$AD$16)</f>
        <v>0.41585989317419525</v>
      </c>
      <c r="S29" s="133">
        <f t="shared" si="3"/>
        <v>0.43450559289349572</v>
      </c>
      <c r="T29" s="134">
        <f t="shared" si="16"/>
        <v>9.5528208895455075E-2</v>
      </c>
      <c r="U29" s="134">
        <f t="shared" si="4"/>
        <v>0.32033168427874015</v>
      </c>
      <c r="V29" s="134">
        <f t="shared" si="5"/>
        <v>1.8645699719300468E-2</v>
      </c>
      <c r="W29" s="122">
        <f t="shared" si="17"/>
        <v>7.2216853468870523E-4</v>
      </c>
      <c r="X29" s="136">
        <f t="shared" si="18"/>
        <v>0</v>
      </c>
      <c r="Y29" s="38">
        <f t="shared" si="6"/>
        <v>22.650183551008034</v>
      </c>
      <c r="Z29" s="38">
        <f t="shared" si="19"/>
        <v>0</v>
      </c>
      <c r="AA29" s="136">
        <f t="shared" si="20"/>
        <v>0.41585989317419525</v>
      </c>
      <c r="AB29" s="136">
        <f t="shared" si="21"/>
        <v>1.8645699719300468E-2</v>
      </c>
      <c r="AC29" s="170">
        <f t="shared" si="22"/>
        <v>7.2216853468870523E-4</v>
      </c>
      <c r="AD29" s="38">
        <f t="shared" si="23"/>
        <v>248.91511626428345</v>
      </c>
      <c r="AE29" s="38">
        <f t="shared" si="24"/>
        <v>43.238552100889621</v>
      </c>
      <c r="AF29" s="38">
        <f t="shared" si="25"/>
        <v>25.95245343503678</v>
      </c>
      <c r="AG29" s="38">
        <f t="shared" si="26"/>
        <v>17.271559246951927</v>
      </c>
      <c r="AH29" s="38">
        <f t="shared" si="27"/>
        <v>335.37768104716179</v>
      </c>
      <c r="AI29" s="38">
        <f t="shared" si="28"/>
        <v>83.408429276429132</v>
      </c>
      <c r="AJ29" s="38">
        <f t="shared" si="29"/>
        <v>418.78611032359095</v>
      </c>
      <c r="AO29" s="146" t="s">
        <v>186</v>
      </c>
      <c r="AP29" s="393">
        <f>AG21*$B$11/1000</f>
        <v>6.4579431866258696</v>
      </c>
    </row>
    <row r="30" spans="2:48" x14ac:dyDescent="0.3">
      <c r="B30" s="4">
        <v>73</v>
      </c>
      <c r="C30" s="4">
        <v>269</v>
      </c>
      <c r="D30" s="4">
        <v>273</v>
      </c>
      <c r="E30" s="4">
        <v>22.5</v>
      </c>
      <c r="F30" s="40">
        <f t="shared" si="1"/>
        <v>0</v>
      </c>
      <c r="G30" s="1">
        <f t="shared" si="7"/>
        <v>27.1</v>
      </c>
      <c r="H30" s="37">
        <f t="shared" si="2"/>
        <v>5.7680426518072002E-2</v>
      </c>
      <c r="I30" s="1">
        <v>7</v>
      </c>
      <c r="J30" s="70">
        <f t="shared" si="8"/>
        <v>1</v>
      </c>
      <c r="K30" s="91">
        <f t="shared" si="9"/>
        <v>22.5</v>
      </c>
      <c r="L30" s="91">
        <f t="shared" si="10"/>
        <v>27.1</v>
      </c>
      <c r="M30" s="95">
        <f t="shared" si="11"/>
        <v>22.89941999324931</v>
      </c>
      <c r="N30" s="99">
        <f t="shared" si="12"/>
        <v>22.5</v>
      </c>
      <c r="O30" s="122">
        <f t="shared" si="13"/>
        <v>0.54828641615977003</v>
      </c>
      <c r="P30" s="122">
        <f t="shared" si="14"/>
        <v>0.44307433480730629</v>
      </c>
      <c r="Q30" s="132">
        <f t="shared" si="15"/>
        <v>0.11344750181038626</v>
      </c>
      <c r="R30" s="132">
        <f t="shared" si="3"/>
        <v>0.42531956459733566</v>
      </c>
      <c r="S30" s="133">
        <f t="shared" si="3"/>
        <v>0.44241377599443465</v>
      </c>
      <c r="T30" s="134">
        <f t="shared" si="16"/>
        <v>0.11344750181038626</v>
      </c>
      <c r="U30" s="134">
        <f t="shared" si="4"/>
        <v>0.3118720627869494</v>
      </c>
      <c r="V30" s="134">
        <f t="shared" si="5"/>
        <v>1.7094211397098991E-2</v>
      </c>
      <c r="W30" s="122">
        <f t="shared" si="17"/>
        <v>6.6055881287163665E-4</v>
      </c>
      <c r="X30" s="136">
        <f t="shared" si="18"/>
        <v>0</v>
      </c>
      <c r="Y30" s="38">
        <f t="shared" si="6"/>
        <v>23.135735512494055</v>
      </c>
      <c r="Z30" s="38">
        <f t="shared" si="19"/>
        <v>0</v>
      </c>
      <c r="AA30" s="136">
        <f t="shared" si="20"/>
        <v>0.42531956459733566</v>
      </c>
      <c r="AB30" s="136">
        <f t="shared" si="21"/>
        <v>1.7094211397098991E-2</v>
      </c>
      <c r="AC30" s="170">
        <f t="shared" si="22"/>
        <v>6.6055881287163665E-4</v>
      </c>
      <c r="AD30" s="38">
        <f t="shared" si="23"/>
        <v>252.20303329690478</v>
      </c>
      <c r="AE30" s="38">
        <f t="shared" si="24"/>
        <v>44.730407466385991</v>
      </c>
      <c r="AF30" s="38">
        <f t="shared" si="25"/>
        <v>28.114189875594949</v>
      </c>
      <c r="AG30" s="38">
        <f t="shared" si="26"/>
        <v>18.406209130123067</v>
      </c>
      <c r="AH30" s="38">
        <f t="shared" si="27"/>
        <v>343.45383976900882</v>
      </c>
      <c r="AI30" s="38">
        <f t="shared" si="28"/>
        <v>85.416969950552499</v>
      </c>
      <c r="AJ30" s="38">
        <f t="shared" si="29"/>
        <v>428.87080971956129</v>
      </c>
      <c r="AO30" s="146" t="s">
        <v>187</v>
      </c>
      <c r="AP30" s="393">
        <f>AF21*$B$11/1000</f>
        <v>9.2770112248572936</v>
      </c>
    </row>
    <row r="31" spans="2:48" x14ac:dyDescent="0.3">
      <c r="B31" s="3">
        <v>3</v>
      </c>
      <c r="C31" s="4">
        <v>212</v>
      </c>
      <c r="D31" s="4">
        <v>217</v>
      </c>
      <c r="E31" s="4">
        <v>22.5</v>
      </c>
      <c r="F31" s="40">
        <f t="shared" si="1"/>
        <v>0</v>
      </c>
      <c r="G31" s="1">
        <f t="shared" si="7"/>
        <v>21.45</v>
      </c>
      <c r="H31" s="37">
        <f t="shared" si="2"/>
        <v>3.6136365847457441E-2</v>
      </c>
      <c r="I31" s="1">
        <v>8</v>
      </c>
      <c r="J31" s="70">
        <f t="shared" si="8"/>
        <v>1</v>
      </c>
      <c r="K31" s="91">
        <f t="shared" si="9"/>
        <v>22.5</v>
      </c>
      <c r="L31" s="91">
        <f t="shared" si="10"/>
        <v>21.45</v>
      </c>
      <c r="M31" s="95">
        <f t="shared" si="11"/>
        <v>21.177300210950463</v>
      </c>
      <c r="N31" s="99">
        <f t="shared" si="12"/>
        <v>22.5</v>
      </c>
      <c r="O31" s="122">
        <f t="shared" si="13"/>
        <v>0.35833765261820488</v>
      </c>
      <c r="P31" s="122">
        <f t="shared" si="14"/>
        <v>0.29203665973355097</v>
      </c>
      <c r="Q31" s="132">
        <f t="shared" si="15"/>
        <v>6.3871505013816509E-3</v>
      </c>
      <c r="R31" s="132">
        <f t="shared" si="3"/>
        <v>0.26037735363289238</v>
      </c>
      <c r="S31" s="133">
        <f t="shared" si="3"/>
        <v>0.29081671104199275</v>
      </c>
      <c r="T31" s="134">
        <f t="shared" si="16"/>
        <v>6.3871505013816509E-3</v>
      </c>
      <c r="U31" s="134">
        <f t="shared" si="4"/>
        <v>0.25399020313151072</v>
      </c>
      <c r="V31" s="134">
        <f t="shared" si="5"/>
        <v>3.0439357409100365E-2</v>
      </c>
      <c r="W31" s="122">
        <f t="shared" si="17"/>
        <v>1.2199486915582258E-3</v>
      </c>
      <c r="X31" s="136">
        <f t="shared" si="18"/>
        <v>0</v>
      </c>
      <c r="Y31" s="38">
        <f t="shared" si="6"/>
        <v>18.312233459151198</v>
      </c>
      <c r="Z31" s="38">
        <f t="shared" si="19"/>
        <v>0</v>
      </c>
      <c r="AA31" s="136">
        <f t="shared" si="20"/>
        <v>0.26037735363289238</v>
      </c>
      <c r="AB31" s="136">
        <f t="shared" si="21"/>
        <v>3.0439357409100365E-2</v>
      </c>
      <c r="AC31" s="170">
        <f t="shared" si="22"/>
        <v>1.2199486915582258E-3</v>
      </c>
      <c r="AD31" s="38">
        <f t="shared" si="23"/>
        <v>166.32554221006052</v>
      </c>
      <c r="AE31" s="38">
        <f t="shared" si="24"/>
        <v>25.644026519352838</v>
      </c>
      <c r="AF31" s="38">
        <f t="shared" si="25"/>
        <v>15.577334552310354</v>
      </c>
      <c r="AG31" s="38">
        <f t="shared" si="26"/>
        <v>11.595884106726119</v>
      </c>
      <c r="AH31" s="38">
        <f t="shared" si="27"/>
        <v>219.14278738844985</v>
      </c>
      <c r="AI31" s="38">
        <f t="shared" si="28"/>
        <v>54.500811223507476</v>
      </c>
      <c r="AJ31" s="38">
        <f t="shared" si="29"/>
        <v>273.64359861195732</v>
      </c>
      <c r="AO31" s="146" t="s">
        <v>188</v>
      </c>
      <c r="AP31" s="393">
        <f>AH21*$B$11/1000</f>
        <v>116.53267169882349</v>
      </c>
    </row>
    <row r="32" spans="2:48" x14ac:dyDescent="0.3">
      <c r="B32" s="3">
        <v>21</v>
      </c>
      <c r="C32" s="4">
        <v>212</v>
      </c>
      <c r="D32" s="4">
        <v>213</v>
      </c>
      <c r="E32" s="4">
        <v>22.5</v>
      </c>
      <c r="F32" s="40">
        <f t="shared" si="1"/>
        <v>0</v>
      </c>
      <c r="G32" s="1">
        <f t="shared" si="7"/>
        <v>21.25</v>
      </c>
      <c r="H32" s="37">
        <f t="shared" si="2"/>
        <v>3.5465635815916025E-2</v>
      </c>
      <c r="I32" s="1">
        <v>9</v>
      </c>
      <c r="J32" s="70">
        <f t="shared" si="8"/>
        <v>1</v>
      </c>
      <c r="K32" s="91">
        <f t="shared" si="9"/>
        <v>22.5</v>
      </c>
      <c r="L32" s="91">
        <f t="shared" si="10"/>
        <v>21.25</v>
      </c>
      <c r="M32" s="95">
        <f t="shared" si="11"/>
        <v>21.102689436783585</v>
      </c>
      <c r="N32" s="99">
        <f t="shared" si="12"/>
        <v>22.5</v>
      </c>
      <c r="O32" s="122">
        <f t="shared" si="13"/>
        <v>0.35228300061772372</v>
      </c>
      <c r="P32" s="122">
        <f t="shared" si="14"/>
        <v>0.28719963892237343</v>
      </c>
      <c r="Q32" s="132">
        <f t="shared" si="15"/>
        <v>5.3455680719343692E-3</v>
      </c>
      <c r="R32" s="132">
        <f t="shared" si="3"/>
        <v>0.25482771200360183</v>
      </c>
      <c r="S32" s="133">
        <f t="shared" si="3"/>
        <v>0.28594937587157776</v>
      </c>
      <c r="T32" s="134">
        <f t="shared" si="16"/>
        <v>5.3455680719343692E-3</v>
      </c>
      <c r="U32" s="134">
        <f t="shared" si="4"/>
        <v>0.24948214393166745</v>
      </c>
      <c r="V32" s="134">
        <f t="shared" si="5"/>
        <v>3.1121663867975935E-2</v>
      </c>
      <c r="W32" s="122">
        <f t="shared" si="17"/>
        <v>1.2502630507956747E-3</v>
      </c>
      <c r="X32" s="136">
        <f t="shared" si="18"/>
        <v>0</v>
      </c>
      <c r="Y32" s="38">
        <f t="shared" si="6"/>
        <v>18.141490023634635</v>
      </c>
      <c r="Z32" s="38">
        <f t="shared" si="19"/>
        <v>0</v>
      </c>
      <c r="AA32" s="136">
        <f t="shared" si="20"/>
        <v>0.25482771200360183</v>
      </c>
      <c r="AB32" s="136">
        <f t="shared" si="21"/>
        <v>3.1121663867975935E-2</v>
      </c>
      <c r="AC32" s="170">
        <f t="shared" si="22"/>
        <v>1.2502630507956747E-3</v>
      </c>
      <c r="AD32" s="38">
        <f t="shared" si="23"/>
        <v>163.5744225823197</v>
      </c>
      <c r="AE32" s="38">
        <f t="shared" si="24"/>
        <v>25.078736440103764</v>
      </c>
      <c r="AF32" s="38">
        <f t="shared" si="25"/>
        <v>15.213143951437615</v>
      </c>
      <c r="AG32" s="38">
        <f t="shared" si="26"/>
        <v>11.383196728428869</v>
      </c>
      <c r="AH32" s="38">
        <f t="shared" si="27"/>
        <v>215.24949970228994</v>
      </c>
      <c r="AI32" s="38">
        <f t="shared" si="28"/>
        <v>53.532550575959512</v>
      </c>
      <c r="AJ32" s="38">
        <f t="shared" si="29"/>
        <v>268.78205027824947</v>
      </c>
      <c r="AO32" s="146" t="s">
        <v>189</v>
      </c>
      <c r="AP32" s="393">
        <f>AI21*$B$11/1000</f>
        <v>28.981675451497416</v>
      </c>
    </row>
    <row r="33" spans="2:43" x14ac:dyDescent="0.3">
      <c r="B33" s="4">
        <v>52</v>
      </c>
      <c r="C33" s="4">
        <v>266</v>
      </c>
      <c r="D33" s="4">
        <v>272</v>
      </c>
      <c r="E33" s="4">
        <v>22</v>
      </c>
      <c r="F33" s="40">
        <f t="shared" si="1"/>
        <v>0</v>
      </c>
      <c r="G33" s="1">
        <f t="shared" si="7"/>
        <v>26.9</v>
      </c>
      <c r="H33" s="37">
        <f t="shared" si="2"/>
        <v>5.6832196501602747E-2</v>
      </c>
      <c r="I33" s="1">
        <v>10</v>
      </c>
      <c r="J33" s="70">
        <f t="shared" si="8"/>
        <v>1</v>
      </c>
      <c r="K33" s="91">
        <f t="shared" si="9"/>
        <v>22</v>
      </c>
      <c r="L33" s="91">
        <f t="shared" si="10"/>
        <v>26.9</v>
      </c>
      <c r="M33" s="95">
        <f t="shared" si="11"/>
        <v>22.848941410634261</v>
      </c>
      <c r="N33" s="99">
        <f t="shared" si="12"/>
        <v>22</v>
      </c>
      <c r="O33" s="122">
        <f t="shared" si="13"/>
        <v>0.52809185352688404</v>
      </c>
      <c r="P33" s="122">
        <f t="shared" si="14"/>
        <v>0.42604425125880291</v>
      </c>
      <c r="Q33" s="132">
        <f t="shared" si="15"/>
        <v>0.1042591576168968</v>
      </c>
      <c r="R33" s="132">
        <f t="shared" si="3"/>
        <v>0.40841656896477835</v>
      </c>
      <c r="S33" s="133">
        <f t="shared" si="3"/>
        <v>0.42538799432428037</v>
      </c>
      <c r="T33" s="134">
        <f t="shared" si="16"/>
        <v>0.1042591576168968</v>
      </c>
      <c r="U33" s="134">
        <f t="shared" si="4"/>
        <v>0.30415741134788155</v>
      </c>
      <c r="V33" s="134">
        <f t="shared" si="5"/>
        <v>1.6971425359502024E-2</v>
      </c>
      <c r="W33" s="122">
        <f t="shared" si="17"/>
        <v>6.5625693452253664E-4</v>
      </c>
      <c r="X33" s="136">
        <f t="shared" si="18"/>
        <v>0</v>
      </c>
      <c r="Y33" s="38">
        <f t="shared" si="6"/>
        <v>22.891793138196181</v>
      </c>
      <c r="Z33" s="38">
        <f t="shared" si="19"/>
        <v>0</v>
      </c>
      <c r="AA33" s="136">
        <f t="shared" si="20"/>
        <v>0.40841656896477835</v>
      </c>
      <c r="AB33" s="136">
        <f t="shared" si="21"/>
        <v>1.6971425359502024E-2</v>
      </c>
      <c r="AC33" s="170">
        <f t="shared" si="22"/>
        <v>6.5625693452253664E-4</v>
      </c>
      <c r="AD33" s="38">
        <f t="shared" si="23"/>
        <v>241.35444457899251</v>
      </c>
      <c r="AE33" s="38">
        <f t="shared" si="24"/>
        <v>42.890267123182717</v>
      </c>
      <c r="AF33" s="38">
        <f t="shared" si="25"/>
        <v>28.125767050037833</v>
      </c>
      <c r="AG33" s="38">
        <f t="shared" si="26"/>
        <v>18.431347655116625</v>
      </c>
      <c r="AH33" s="38">
        <f t="shared" si="27"/>
        <v>330.80182640732971</v>
      </c>
      <c r="AI33" s="38">
        <f t="shared" si="28"/>
        <v>82.270414227502897</v>
      </c>
      <c r="AJ33" s="38">
        <f t="shared" si="29"/>
        <v>413.07224063483261</v>
      </c>
      <c r="AO33" s="146" t="s">
        <v>190</v>
      </c>
      <c r="AP33" s="393">
        <f>AJ21*$B$11/1000</f>
        <v>145.51434715032093</v>
      </c>
    </row>
    <row r="34" spans="2:43" x14ac:dyDescent="0.3">
      <c r="B34" s="3">
        <v>39</v>
      </c>
      <c r="C34" s="4">
        <v>247</v>
      </c>
      <c r="D34" s="4">
        <v>251</v>
      </c>
      <c r="E34" s="4">
        <v>22</v>
      </c>
      <c r="F34" s="40">
        <f t="shared" si="1"/>
        <v>0</v>
      </c>
      <c r="G34" s="1">
        <f t="shared" si="7"/>
        <v>24.9</v>
      </c>
      <c r="H34" s="37">
        <f t="shared" si="2"/>
        <v>4.8695471528805177E-2</v>
      </c>
      <c r="I34" s="1">
        <v>11</v>
      </c>
      <c r="J34" s="70">
        <f t="shared" si="8"/>
        <v>1</v>
      </c>
      <c r="K34" s="91">
        <f t="shared" si="9"/>
        <v>22</v>
      </c>
      <c r="L34" s="91">
        <f t="shared" si="10"/>
        <v>24.9</v>
      </c>
      <c r="M34" s="95">
        <f t="shared" si="11"/>
        <v>22.306699769724158</v>
      </c>
      <c r="N34" s="99">
        <f t="shared" si="12"/>
        <v>22</v>
      </c>
      <c r="O34" s="122">
        <f t="shared" si="13"/>
        <v>0.45885273826408113</v>
      </c>
      <c r="P34" s="122">
        <f t="shared" si="14"/>
        <v>0.37122155493723757</v>
      </c>
      <c r="Q34" s="132">
        <f t="shared" si="15"/>
        <v>5.1280923637985781E-2</v>
      </c>
      <c r="R34" s="132">
        <f t="shared" si="3"/>
        <v>0.34980595371454243</v>
      </c>
      <c r="S34" s="133">
        <f t="shared" si="3"/>
        <v>0.37041771651177879</v>
      </c>
      <c r="T34" s="134">
        <f t="shared" si="16"/>
        <v>5.1280923637985781E-2</v>
      </c>
      <c r="U34" s="134">
        <f t="shared" si="4"/>
        <v>0.29852503007655662</v>
      </c>
      <c r="V34" s="134">
        <f t="shared" si="5"/>
        <v>2.0611762797236366E-2</v>
      </c>
      <c r="W34" s="122">
        <f t="shared" si="17"/>
        <v>8.0383842545878048E-4</v>
      </c>
      <c r="X34" s="136">
        <f t="shared" si="18"/>
        <v>0</v>
      </c>
      <c r="Y34" s="38">
        <f t="shared" si="6"/>
        <v>21.189801083311707</v>
      </c>
      <c r="Z34" s="38">
        <f t="shared" si="19"/>
        <v>0</v>
      </c>
      <c r="AA34" s="136">
        <f t="shared" si="20"/>
        <v>0.34980595371454243</v>
      </c>
      <c r="AB34" s="136">
        <f t="shared" si="21"/>
        <v>2.0611762797236366E-2</v>
      </c>
      <c r="AC34" s="170">
        <f t="shared" si="22"/>
        <v>8.0383842545878048E-4</v>
      </c>
      <c r="AD34" s="38">
        <f t="shared" si="23"/>
        <v>210.33700198417816</v>
      </c>
      <c r="AE34" s="38">
        <f t="shared" si="24"/>
        <v>35.687850097156691</v>
      </c>
      <c r="AF34" s="38">
        <f t="shared" si="25"/>
        <v>23.140373745421314</v>
      </c>
      <c r="AG34" s="38">
        <f t="shared" si="26"/>
        <v>15.8216594708047</v>
      </c>
      <c r="AH34" s="38">
        <f t="shared" si="27"/>
        <v>284.98688529756089</v>
      </c>
      <c r="AI34" s="38">
        <f t="shared" si="28"/>
        <v>70.876238373503398</v>
      </c>
      <c r="AJ34" s="38">
        <f t="shared" si="29"/>
        <v>355.86312367106427</v>
      </c>
    </row>
    <row r="35" spans="2:43" x14ac:dyDescent="0.3">
      <c r="B35" s="4">
        <v>80</v>
      </c>
      <c r="C35" s="4">
        <v>245</v>
      </c>
      <c r="D35" s="4">
        <v>242</v>
      </c>
      <c r="E35" s="4">
        <v>22</v>
      </c>
      <c r="F35" s="40">
        <f t="shared" si="1"/>
        <v>0</v>
      </c>
      <c r="G35" s="1">
        <f t="shared" si="7"/>
        <v>24.35</v>
      </c>
      <c r="H35" s="37">
        <f t="shared" si="2"/>
        <v>4.656802425370235E-2</v>
      </c>
      <c r="I35" s="1">
        <v>12</v>
      </c>
      <c r="J35" s="70">
        <f t="shared" si="8"/>
        <v>1</v>
      </c>
      <c r="K35" s="91">
        <f t="shared" si="9"/>
        <v>22</v>
      </c>
      <c r="L35" s="91">
        <f t="shared" si="10"/>
        <v>24.35</v>
      </c>
      <c r="M35" s="95">
        <f t="shared" si="11"/>
        <v>22.144530115131417</v>
      </c>
      <c r="N35" s="99">
        <f t="shared" si="12"/>
        <v>22</v>
      </c>
      <c r="O35" s="122">
        <f t="shared" si="13"/>
        <v>0.44058262251919517</v>
      </c>
      <c r="P35" s="122">
        <f t="shared" si="14"/>
        <v>0.35672896622752814</v>
      </c>
      <c r="Q35" s="132">
        <f t="shared" si="15"/>
        <v>4.0143717530261296E-2</v>
      </c>
      <c r="R35" s="132">
        <f t="shared" si="3"/>
        <v>0.33408691067183871</v>
      </c>
      <c r="S35" s="133">
        <f t="shared" si="3"/>
        <v>0.35587659624171747</v>
      </c>
      <c r="T35" s="134">
        <f t="shared" si="16"/>
        <v>4.0143717530261296E-2</v>
      </c>
      <c r="U35" s="134">
        <f t="shared" si="4"/>
        <v>0.29394319314157741</v>
      </c>
      <c r="V35" s="134">
        <f t="shared" si="5"/>
        <v>2.1789685569878758E-2</v>
      </c>
      <c r="W35" s="122">
        <f t="shared" si="17"/>
        <v>8.523699858106748E-4</v>
      </c>
      <c r="X35" s="136">
        <f t="shared" si="18"/>
        <v>0</v>
      </c>
      <c r="Y35" s="38">
        <f t="shared" si="6"/>
        <v>20.721753268218478</v>
      </c>
      <c r="Z35" s="38">
        <f t="shared" si="19"/>
        <v>0</v>
      </c>
      <c r="AA35" s="136">
        <f t="shared" si="20"/>
        <v>0.33408691067183871</v>
      </c>
      <c r="AB35" s="136">
        <f t="shared" si="21"/>
        <v>2.1789685569878758E-2</v>
      </c>
      <c r="AC35" s="170">
        <f t="shared" si="22"/>
        <v>8.523699858106748E-4</v>
      </c>
      <c r="AD35" s="38">
        <f t="shared" si="23"/>
        <v>202.13640981016945</v>
      </c>
      <c r="AE35" s="38">
        <f t="shared" si="24"/>
        <v>33.840640214922985</v>
      </c>
      <c r="AF35" s="38">
        <f t="shared" si="25"/>
        <v>21.871229129847745</v>
      </c>
      <c r="AG35" s="38">
        <f t="shared" si="26"/>
        <v>15.138498037743904</v>
      </c>
      <c r="AH35" s="38">
        <f t="shared" si="27"/>
        <v>272.98677719268409</v>
      </c>
      <c r="AI35" s="38">
        <f t="shared" si="28"/>
        <v>67.891811487820533</v>
      </c>
      <c r="AJ35" s="38">
        <f t="shared" si="29"/>
        <v>340.87858868050461</v>
      </c>
    </row>
    <row r="36" spans="2:43" x14ac:dyDescent="0.3">
      <c r="B36" s="3">
        <v>32</v>
      </c>
      <c r="C36" s="4">
        <v>195</v>
      </c>
      <c r="D36" s="4">
        <v>196</v>
      </c>
      <c r="E36" s="4">
        <v>20.5</v>
      </c>
      <c r="F36" s="40">
        <f t="shared" si="1"/>
        <v>0</v>
      </c>
      <c r="G36" s="1">
        <f t="shared" si="7"/>
        <v>19.55</v>
      </c>
      <c r="H36" s="37">
        <f t="shared" si="2"/>
        <v>3.0018114154591324E-2</v>
      </c>
      <c r="I36" s="1">
        <v>13</v>
      </c>
      <c r="J36" s="70">
        <f t="shared" si="8"/>
        <v>1</v>
      </c>
      <c r="K36" s="91">
        <f t="shared" si="9"/>
        <v>20.5</v>
      </c>
      <c r="L36" s="91">
        <f t="shared" si="10"/>
        <v>19.55</v>
      </c>
      <c r="M36" s="95">
        <f t="shared" si="11"/>
        <v>20.419397104662817</v>
      </c>
      <c r="N36" s="99">
        <f t="shared" si="12"/>
        <v>20.5</v>
      </c>
      <c r="O36" s="122">
        <f t="shared" si="13"/>
        <v>0.2739979616095311</v>
      </c>
      <c r="P36" s="122">
        <f t="shared" si="14"/>
        <v>0.2222641955017568</v>
      </c>
      <c r="Q36" s="132">
        <f t="shared" si="15"/>
        <v>7.0342019240290997E-4</v>
      </c>
      <c r="R36" s="132">
        <f t="shared" si="3"/>
        <v>0.18699685811412356</v>
      </c>
      <c r="S36" s="133">
        <f t="shared" si="3"/>
        <v>0.22086765903797606</v>
      </c>
      <c r="T36" s="134">
        <f t="shared" si="16"/>
        <v>7.0342019240290997E-4</v>
      </c>
      <c r="U36" s="134">
        <f t="shared" si="4"/>
        <v>0.18629343792172065</v>
      </c>
      <c r="V36" s="134">
        <f t="shared" si="5"/>
        <v>3.3870800923852501E-2</v>
      </c>
      <c r="W36" s="122">
        <f t="shared" si="17"/>
        <v>1.3965364637807398E-3</v>
      </c>
      <c r="X36" s="136">
        <f t="shared" si="18"/>
        <v>0</v>
      </c>
      <c r="Y36" s="38">
        <f t="shared" si="6"/>
        <v>16.464493204761737</v>
      </c>
      <c r="Z36" s="38">
        <f t="shared" si="19"/>
        <v>0</v>
      </c>
      <c r="AA36" s="136">
        <f t="shared" si="20"/>
        <v>0.18699685811412356</v>
      </c>
      <c r="AB36" s="136">
        <f t="shared" si="21"/>
        <v>3.3870800923852501E-2</v>
      </c>
      <c r="AC36" s="170">
        <f t="shared" si="22"/>
        <v>1.3965364637807398E-3</v>
      </c>
      <c r="AD36" s="38">
        <f t="shared" si="23"/>
        <v>124.1278664849948</v>
      </c>
      <c r="AE36" s="38">
        <f t="shared" si="24"/>
        <v>18.589815694342711</v>
      </c>
      <c r="AF36" s="38">
        <f t="shared" si="25"/>
        <v>13.340227652148608</v>
      </c>
      <c r="AG36" s="38">
        <f t="shared" si="26"/>
        <v>10.315574474544976</v>
      </c>
      <c r="AH36" s="38">
        <f t="shared" si="27"/>
        <v>166.37348430603109</v>
      </c>
      <c r="AI36" s="38">
        <f t="shared" si="28"/>
        <v>41.377085546909932</v>
      </c>
      <c r="AJ36" s="38">
        <f t="shared" si="29"/>
        <v>207.75056985294103</v>
      </c>
      <c r="AL36" s="179"/>
      <c r="AM36" s="179"/>
      <c r="AN36" s="179"/>
      <c r="AO36" s="179"/>
      <c r="AP36" s="179"/>
      <c r="AQ36" s="179"/>
    </row>
    <row r="37" spans="2:43" x14ac:dyDescent="0.3">
      <c r="B37" s="3">
        <v>1</v>
      </c>
      <c r="C37" s="4">
        <v>235</v>
      </c>
      <c r="D37" s="4">
        <v>217</v>
      </c>
      <c r="E37" s="4">
        <v>18.5</v>
      </c>
      <c r="F37" s="40">
        <f t="shared" si="1"/>
        <v>0</v>
      </c>
      <c r="G37" s="1">
        <f t="shared" si="7"/>
        <v>22.6</v>
      </c>
      <c r="H37" s="37">
        <f t="shared" si="2"/>
        <v>4.0114996593688071E-2</v>
      </c>
      <c r="I37" s="1">
        <v>14</v>
      </c>
      <c r="J37" s="70">
        <f t="shared" si="8"/>
        <v>1</v>
      </c>
      <c r="K37" s="91">
        <f t="shared" si="9"/>
        <v>18.5</v>
      </c>
      <c r="L37" s="91">
        <f t="shared" si="10"/>
        <v>22.6</v>
      </c>
      <c r="M37" s="95">
        <f t="shared" si="11"/>
        <v>21.585277667015763</v>
      </c>
      <c r="N37" s="99">
        <f t="shared" si="12"/>
        <v>18.5</v>
      </c>
      <c r="O37" s="122">
        <f t="shared" si="13"/>
        <v>0.31956901403217203</v>
      </c>
      <c r="P37" s="122">
        <f t="shared" si="14"/>
        <v>0.25560485838739083</v>
      </c>
      <c r="Q37" s="132">
        <f t="shared" si="15"/>
        <v>1.2277934976128E-2</v>
      </c>
      <c r="R37" s="132">
        <f t="shared" si="3"/>
        <v>0.23334137977050259</v>
      </c>
      <c r="S37" s="133">
        <f t="shared" si="3"/>
        <v>0.25475649927401739</v>
      </c>
      <c r="T37" s="134">
        <f t="shared" si="16"/>
        <v>1.2277934976128E-2</v>
      </c>
      <c r="U37" s="134">
        <f t="shared" si="4"/>
        <v>0.22106344479437459</v>
      </c>
      <c r="V37" s="134">
        <f t="shared" si="5"/>
        <v>2.1415119503514796E-2</v>
      </c>
      <c r="W37" s="122">
        <f t="shared" si="17"/>
        <v>8.483591133734425E-4</v>
      </c>
      <c r="X37" s="136">
        <f t="shared" si="18"/>
        <v>0</v>
      </c>
      <c r="Y37" s="38">
        <f t="shared" si="6"/>
        <v>18.725532921912404</v>
      </c>
      <c r="Z37" s="38">
        <f t="shared" si="19"/>
        <v>0</v>
      </c>
      <c r="AA37" s="136">
        <f t="shared" si="20"/>
        <v>0.23334137977050259</v>
      </c>
      <c r="AB37" s="136">
        <f t="shared" si="21"/>
        <v>2.1415119503514796E-2</v>
      </c>
      <c r="AC37" s="170">
        <f t="shared" si="22"/>
        <v>8.483591133734425E-4</v>
      </c>
      <c r="AD37" s="38">
        <f t="shared" si="23"/>
        <v>139.60773612148412</v>
      </c>
      <c r="AE37" s="38">
        <f t="shared" si="24"/>
        <v>23.481170524610544</v>
      </c>
      <c r="AF37" s="38">
        <f t="shared" si="25"/>
        <v>20.993891502931202</v>
      </c>
      <c r="AG37" s="38">
        <f t="shared" si="26"/>
        <v>14.779542952143634</v>
      </c>
      <c r="AH37" s="38">
        <f t="shared" si="27"/>
        <v>198.86234110116951</v>
      </c>
      <c r="AI37" s="38">
        <f t="shared" si="28"/>
        <v>49.457064231860855</v>
      </c>
      <c r="AJ37" s="38">
        <f t="shared" si="29"/>
        <v>248.31940533303037</v>
      </c>
    </row>
    <row r="38" spans="2:43" x14ac:dyDescent="0.3">
      <c r="B38" s="3">
        <v>9</v>
      </c>
      <c r="C38" s="4">
        <v>145</v>
      </c>
      <c r="D38" s="4">
        <v>141</v>
      </c>
      <c r="E38" s="4">
        <v>15.5</v>
      </c>
      <c r="F38" s="40">
        <f t="shared" si="1"/>
        <v>0</v>
      </c>
      <c r="G38" s="1">
        <f t="shared" si="7"/>
        <v>14.3</v>
      </c>
      <c r="H38" s="37">
        <f t="shared" si="2"/>
        <v>1.6060607043314419E-2</v>
      </c>
      <c r="I38" s="1">
        <v>15</v>
      </c>
      <c r="J38" s="70">
        <f t="shared" si="8"/>
        <v>0</v>
      </c>
      <c r="K38" s="91" t="str">
        <f t="shared" si="9"/>
        <v/>
      </c>
      <c r="L38" s="91" t="str">
        <f t="shared" si="10"/>
        <v/>
      </c>
      <c r="M38" s="95">
        <f t="shared" si="11"/>
        <v>17.556637998800387</v>
      </c>
      <c r="N38" s="99">
        <f t="shared" si="12"/>
        <v>15.5</v>
      </c>
      <c r="O38" s="122">
        <f t="shared" si="13"/>
        <v>0.11501007918837794</v>
      </c>
      <c r="P38" s="122">
        <f t="shared" si="14"/>
        <v>9.2112798829801584E-2</v>
      </c>
      <c r="Q38" s="132">
        <f t="shared" si="15"/>
        <v>1.0711416685144687E-11</v>
      </c>
      <c r="R38" s="132">
        <f t="shared" si="3"/>
        <v>4.635586867502834E-2</v>
      </c>
      <c r="S38" s="133">
        <f t="shared" si="3"/>
        <v>8.9833993319618166E-2</v>
      </c>
      <c r="T38" s="134">
        <f t="shared" si="16"/>
        <v>1.0711416685144687E-11</v>
      </c>
      <c r="U38" s="134">
        <f t="shared" si="4"/>
        <v>4.6355868664316922E-2</v>
      </c>
      <c r="V38" s="134">
        <f t="shared" si="5"/>
        <v>4.3478124644589826E-2</v>
      </c>
      <c r="W38" s="122">
        <f t="shared" si="17"/>
        <v>2.2788055101834181E-3</v>
      </c>
      <c r="X38" s="136">
        <f t="shared" si="18"/>
        <v>0</v>
      </c>
      <c r="Y38" s="38">
        <f t="shared" si="6"/>
        <v>11.477659291449729</v>
      </c>
      <c r="Z38" s="38">
        <f t="shared" si="19"/>
        <v>0</v>
      </c>
      <c r="AA38" s="136">
        <f t="shared" si="20"/>
        <v>4.635586867502834E-2</v>
      </c>
      <c r="AB38" s="136">
        <f t="shared" si="21"/>
        <v>4.3478124644589826E-2</v>
      </c>
      <c r="AC38" s="170">
        <f t="shared" si="22"/>
        <v>2.2788055101834181E-3</v>
      </c>
      <c r="AD38" s="38">
        <f t="shared" si="23"/>
        <v>48.502249861626503</v>
      </c>
      <c r="AE38" s="38">
        <f t="shared" si="24"/>
        <v>6.5219170559846802</v>
      </c>
      <c r="AF38" s="38">
        <f t="shared" si="25"/>
        <v>7.6822179326542805</v>
      </c>
      <c r="AG38" s="38">
        <f t="shared" si="26"/>
        <v>6.7854411319367767</v>
      </c>
      <c r="AH38" s="38">
        <f t="shared" si="27"/>
        <v>69.491825982202243</v>
      </c>
      <c r="AI38" s="38">
        <f t="shared" si="28"/>
        <v>17.282617121773697</v>
      </c>
      <c r="AJ38" s="38">
        <f t="shared" si="29"/>
        <v>86.774443103975941</v>
      </c>
    </row>
    <row r="39" spans="2:43" x14ac:dyDescent="0.3">
      <c r="B39" s="3">
        <v>33</v>
      </c>
      <c r="C39" s="4">
        <v>83</v>
      </c>
      <c r="D39" s="4">
        <v>80</v>
      </c>
      <c r="E39" s="4">
        <v>11.5</v>
      </c>
      <c r="F39" s="40">
        <f t="shared" si="1"/>
        <v>0</v>
      </c>
      <c r="G39" s="1">
        <f t="shared" si="7"/>
        <v>8.15</v>
      </c>
      <c r="H39" s="37">
        <f t="shared" si="2"/>
        <v>5.2168109508267009E-3</v>
      </c>
      <c r="I39" s="1">
        <v>16</v>
      </c>
      <c r="J39" s="70">
        <f t="shared" si="8"/>
        <v>0</v>
      </c>
      <c r="K39" s="91" t="str">
        <f t="shared" si="9"/>
        <v/>
      </c>
      <c r="L39" s="91" t="str">
        <f t="shared" si="10"/>
        <v/>
      </c>
      <c r="M39" s="95">
        <f t="shared" si="11"/>
        <v>11.484221070390591</v>
      </c>
      <c r="N39" s="99">
        <f t="shared" si="12"/>
        <v>11.5</v>
      </c>
      <c r="O39" s="122">
        <f t="shared" si="13"/>
        <v>3.0047185956224649E-2</v>
      </c>
      <c r="P39" s="122">
        <f t="shared" si="14"/>
        <v>2.3936776496919224E-2</v>
      </c>
      <c r="Q39" s="132">
        <f t="shared" si="15"/>
        <v>4.3968028964070109E-121</v>
      </c>
      <c r="R39" s="132">
        <f t="shared" si="3"/>
        <v>6.5286556078339364E-6</v>
      </c>
      <c r="S39" s="133">
        <f t="shared" si="3"/>
        <v>1.7743429782391275E-2</v>
      </c>
      <c r="T39" s="134">
        <f t="shared" si="16"/>
        <v>4.3968028964070109E-121</v>
      </c>
      <c r="U39" s="134">
        <f t="shared" si="4"/>
        <v>6.5286556078339364E-6</v>
      </c>
      <c r="V39" s="134">
        <f t="shared" si="5"/>
        <v>1.7736901126783441E-2</v>
      </c>
      <c r="W39" s="122">
        <f t="shared" si="17"/>
        <v>6.1933467145279496E-3</v>
      </c>
      <c r="X39" s="136">
        <f t="shared" si="18"/>
        <v>0</v>
      </c>
      <c r="Y39" s="38">
        <f t="shared" si="6"/>
        <v>6.1125936938939907</v>
      </c>
      <c r="Z39" s="38">
        <f t="shared" si="19"/>
        <v>0</v>
      </c>
      <c r="AA39" s="136">
        <f t="shared" si="20"/>
        <v>6.5286556078339364E-6</v>
      </c>
      <c r="AB39" s="136">
        <f t="shared" si="21"/>
        <v>1.7736901126783441E-2</v>
      </c>
      <c r="AC39" s="170">
        <f t="shared" si="22"/>
        <v>6.1933467145279496E-3</v>
      </c>
      <c r="AD39" s="38">
        <f t="shared" si="23"/>
        <v>11.843043882011729</v>
      </c>
      <c r="AE39" s="38">
        <f t="shared" si="24"/>
        <v>1.237962885064942</v>
      </c>
      <c r="AF39" s="38">
        <f t="shared" si="25"/>
        <v>2.394010121805402</v>
      </c>
      <c r="AG39" s="38">
        <f t="shared" si="26"/>
        <v>2.7628754429646576</v>
      </c>
      <c r="AH39" s="38">
        <f t="shared" si="27"/>
        <v>18.23789233184673</v>
      </c>
      <c r="AI39" s="38">
        <f t="shared" si="28"/>
        <v>4.5357638229302815</v>
      </c>
      <c r="AJ39" s="38">
        <f t="shared" si="29"/>
        <v>22.773656154777012</v>
      </c>
    </row>
    <row r="40" spans="2:43" x14ac:dyDescent="0.3">
      <c r="B40" s="3">
        <v>20</v>
      </c>
      <c r="C40" s="4">
        <v>40</v>
      </c>
      <c r="D40" s="4">
        <v>41</v>
      </c>
      <c r="E40" s="4">
        <v>5.5</v>
      </c>
      <c r="F40" s="40">
        <f t="shared" si="1"/>
        <v>0</v>
      </c>
      <c r="G40" s="1">
        <f t="shared" si="7"/>
        <v>4.05</v>
      </c>
      <c r="H40" s="37">
        <f t="shared" si="2"/>
        <v>1.2882493375126645E-3</v>
      </c>
      <c r="I40" s="1">
        <v>17</v>
      </c>
      <c r="J40" s="70">
        <f t="shared" si="8"/>
        <v>0</v>
      </c>
      <c r="K40" s="91" t="str">
        <f t="shared" si="9"/>
        <v/>
      </c>
      <c r="L40" s="91" t="str">
        <f t="shared" si="10"/>
        <v/>
      </c>
      <c r="M40" s="95">
        <f t="shared" si="11"/>
        <v>4.2284609035584735</v>
      </c>
      <c r="N40" s="99">
        <f t="shared" si="12"/>
        <v>5.5</v>
      </c>
      <c r="O40" s="122">
        <f t="shared" si="13"/>
        <v>3.823699193689026E-3</v>
      </c>
      <c r="P40" s="122">
        <f t="shared" si="14"/>
        <v>2.9319648302803831E-3</v>
      </c>
      <c r="Q40" s="132">
        <f t="shared" si="15"/>
        <v>0</v>
      </c>
      <c r="R40" s="132">
        <f t="shared" si="15"/>
        <v>2.9805854227857314E-81</v>
      </c>
      <c r="S40" s="133">
        <f t="shared" si="15"/>
        <v>4.1867768158288698E-6</v>
      </c>
      <c r="T40" s="134">
        <f t="shared" si="16"/>
        <v>0</v>
      </c>
      <c r="U40" s="134">
        <f t="shared" si="4"/>
        <v>2.9805854227857314E-81</v>
      </c>
      <c r="V40" s="134">
        <f t="shared" si="5"/>
        <v>4.1867768158288698E-6</v>
      </c>
      <c r="W40" s="122">
        <f t="shared" si="17"/>
        <v>2.9277780534645542E-3</v>
      </c>
      <c r="X40" s="136">
        <f t="shared" si="18"/>
        <v>0</v>
      </c>
      <c r="Y40" s="38">
        <f t="shared" si="6"/>
        <v>2.1487393954070204</v>
      </c>
      <c r="Z40" s="38">
        <f t="shared" si="19"/>
        <v>0</v>
      </c>
      <c r="AA40" s="136">
        <f t="shared" si="20"/>
        <v>2.9805854227857314E-81</v>
      </c>
      <c r="AB40" s="136">
        <f t="shared" si="21"/>
        <v>4.1867768158288698E-6</v>
      </c>
      <c r="AC40" s="170">
        <f t="shared" si="22"/>
        <v>2.9277780534645542E-3</v>
      </c>
      <c r="AD40" s="38">
        <f t="shared" si="23"/>
        <v>1.2416424386202969</v>
      </c>
      <c r="AE40" s="38">
        <f t="shared" si="24"/>
        <v>0.10531618533163868</v>
      </c>
      <c r="AF40" s="38">
        <f t="shared" si="25"/>
        <v>0.76679515232580786</v>
      </c>
      <c r="AG40" s="38">
        <f t="shared" si="26"/>
        <v>1.173046601982799</v>
      </c>
      <c r="AH40" s="38">
        <f t="shared" si="27"/>
        <v>3.2868003782605424</v>
      </c>
      <c r="AI40" s="38">
        <f t="shared" si="28"/>
        <v>0.81742725407339689</v>
      </c>
      <c r="AJ40" s="38">
        <f t="shared" si="29"/>
        <v>4.1042276323339397</v>
      </c>
    </row>
    <row r="41" spans="2:43" x14ac:dyDescent="0.3">
      <c r="B41" s="4">
        <v>78</v>
      </c>
      <c r="C41" s="4">
        <v>294</v>
      </c>
      <c r="D41" s="4">
        <v>301</v>
      </c>
      <c r="E41" s="4"/>
      <c r="F41" s="40">
        <f t="shared" si="1"/>
        <v>0</v>
      </c>
      <c r="G41" s="1">
        <f t="shared" si="7"/>
        <v>29.75</v>
      </c>
      <c r="H41" s="37">
        <f t="shared" si="2"/>
        <v>6.9512646199195408E-2</v>
      </c>
      <c r="I41" s="1">
        <v>18</v>
      </c>
      <c r="J41" s="70">
        <f t="shared" si="8"/>
        <v>0</v>
      </c>
      <c r="K41" s="91" t="str">
        <f t="shared" si="9"/>
        <v/>
      </c>
      <c r="L41" s="91" t="str">
        <f t="shared" si="10"/>
        <v/>
      </c>
      <c r="M41" s="95">
        <f t="shared" si="11"/>
        <v>23.5129294040857</v>
      </c>
      <c r="N41" s="99">
        <f t="shared" si="12"/>
        <v>23.5129294040857</v>
      </c>
      <c r="O41" s="122">
        <f t="shared" si="13"/>
        <v>0.6810544754053538</v>
      </c>
      <c r="P41" s="122">
        <f t="shared" si="14"/>
        <v>0.5505931633015585</v>
      </c>
      <c r="Q41" s="132">
        <f t="shared" si="15"/>
        <v>0.22326197701231448</v>
      </c>
      <c r="R41" s="132">
        <f t="shared" si="15"/>
        <v>0.5358746196341504</v>
      </c>
      <c r="S41" s="133">
        <f t="shared" si="15"/>
        <v>0.55004917350153903</v>
      </c>
      <c r="T41" s="134">
        <f t="shared" si="16"/>
        <v>0.22326197701231448</v>
      </c>
      <c r="U41" s="134">
        <f t="shared" si="4"/>
        <v>0.31261264262183591</v>
      </c>
      <c r="V41" s="134">
        <f t="shared" si="5"/>
        <v>1.417455386738864E-2</v>
      </c>
      <c r="W41" s="122">
        <f t="shared" si="17"/>
        <v>5.4398980001946207E-4</v>
      </c>
      <c r="X41" s="136">
        <f t="shared" si="18"/>
        <v>0</v>
      </c>
      <c r="Y41" s="38">
        <f t="shared" si="6"/>
        <v>25.553271930519415</v>
      </c>
      <c r="Z41" s="38">
        <f t="shared" si="19"/>
        <v>0.22326197701231448</v>
      </c>
      <c r="AA41" s="136">
        <f t="shared" si="20"/>
        <v>0.31261264262183591</v>
      </c>
      <c r="AB41" s="136">
        <f t="shared" si="21"/>
        <v>1.417455386738864E-2</v>
      </c>
      <c r="AC41" s="170">
        <f t="shared" si="22"/>
        <v>5.4398980001946207E-4</v>
      </c>
      <c r="AD41" s="38">
        <f t="shared" si="23"/>
        <v>316.28839004043579</v>
      </c>
      <c r="AE41" s="38">
        <f t="shared" si="24"/>
        <v>58.581867230156746</v>
      </c>
      <c r="AF41" s="38">
        <f t="shared" si="25"/>
        <v>34.275096217562862</v>
      </c>
      <c r="AG41" s="38">
        <f t="shared" si="26"/>
        <v>21.449358931635896</v>
      </c>
      <c r="AH41" s="38">
        <f t="shared" si="27"/>
        <v>430.59471241979128</v>
      </c>
      <c r="AI41" s="38">
        <f t="shared" si="28"/>
        <v>107.08890497880209</v>
      </c>
      <c r="AJ41" s="38">
        <f t="shared" si="29"/>
        <v>537.68361739859336</v>
      </c>
    </row>
    <row r="42" spans="2:43" x14ac:dyDescent="0.3">
      <c r="B42" s="4">
        <v>66</v>
      </c>
      <c r="C42" s="4">
        <v>290</v>
      </c>
      <c r="D42" s="4">
        <v>289</v>
      </c>
      <c r="E42" s="4"/>
      <c r="F42" s="40">
        <f t="shared" si="1"/>
        <v>0</v>
      </c>
      <c r="G42" s="1">
        <f t="shared" si="7"/>
        <v>28.95</v>
      </c>
      <c r="H42" s="37">
        <f t="shared" si="2"/>
        <v>6.5824416423880983E-2</v>
      </c>
      <c r="I42" s="1">
        <v>19</v>
      </c>
      <c r="J42" s="70">
        <f t="shared" si="8"/>
        <v>0</v>
      </c>
      <c r="K42" s="91" t="str">
        <f t="shared" si="9"/>
        <v/>
      </c>
      <c r="L42" s="91" t="str">
        <f t="shared" si="10"/>
        <v/>
      </c>
      <c r="M42" s="95">
        <f t="shared" si="11"/>
        <v>23.337907203895497</v>
      </c>
      <c r="N42" s="99">
        <f t="shared" si="12"/>
        <v>23.337907203895497</v>
      </c>
      <c r="O42" s="122">
        <f t="shared" si="13"/>
        <v>0.6429447748258581</v>
      </c>
      <c r="P42" s="122">
        <f t="shared" si="14"/>
        <v>0.51996223839037059</v>
      </c>
      <c r="Q42" s="132">
        <f t="shared" si="15"/>
        <v>0.18786728507065276</v>
      </c>
      <c r="R42" s="132">
        <f t="shared" si="15"/>
        <v>0.50431295816721899</v>
      </c>
      <c r="S42" s="133">
        <f t="shared" si="15"/>
        <v>0.51938288805111099</v>
      </c>
      <c r="T42" s="134">
        <f t="shared" si="16"/>
        <v>0.18786728507065276</v>
      </c>
      <c r="U42" s="134">
        <f t="shared" si="4"/>
        <v>0.31644567309656624</v>
      </c>
      <c r="V42" s="134">
        <f t="shared" si="5"/>
        <v>1.5069929883891997E-2</v>
      </c>
      <c r="W42" s="122">
        <f t="shared" si="17"/>
        <v>5.7935033925959889E-4</v>
      </c>
      <c r="X42" s="136">
        <f t="shared" si="18"/>
        <v>0</v>
      </c>
      <c r="Y42" s="38">
        <f t="shared" si="6"/>
        <v>24.840809148167288</v>
      </c>
      <c r="Z42" s="38">
        <f t="shared" si="19"/>
        <v>0</v>
      </c>
      <c r="AA42" s="136">
        <f t="shared" si="20"/>
        <v>0.50431295816721899</v>
      </c>
      <c r="AB42" s="136">
        <f t="shared" si="21"/>
        <v>1.5069929883891997E-2</v>
      </c>
      <c r="AC42" s="170">
        <f t="shared" si="22"/>
        <v>5.7935033925959889E-4</v>
      </c>
      <c r="AD42" s="38">
        <f t="shared" si="23"/>
        <v>298.23683509212663</v>
      </c>
      <c r="AE42" s="38">
        <f t="shared" si="24"/>
        <v>54.459471902324893</v>
      </c>
      <c r="AF42" s="38">
        <f t="shared" si="25"/>
        <v>32.199020364258438</v>
      </c>
      <c r="AG42" s="38">
        <f t="shared" si="26"/>
        <v>20.432932682531799</v>
      </c>
      <c r="AH42" s="38">
        <f t="shared" si="27"/>
        <v>405.32826004124172</v>
      </c>
      <c r="AI42" s="38">
        <f t="shared" si="28"/>
        <v>100.80513827225681</v>
      </c>
      <c r="AJ42" s="38">
        <f t="shared" si="29"/>
        <v>506.13339831349856</v>
      </c>
    </row>
    <row r="43" spans="2:43" x14ac:dyDescent="0.3">
      <c r="B43" s="4">
        <v>53</v>
      </c>
      <c r="C43" s="4">
        <v>292</v>
      </c>
      <c r="D43" s="4">
        <v>283</v>
      </c>
      <c r="E43" s="4"/>
      <c r="F43" s="40">
        <f t="shared" si="1"/>
        <v>0</v>
      </c>
      <c r="G43" s="1">
        <f t="shared" si="7"/>
        <v>28.75</v>
      </c>
      <c r="H43" s="37">
        <f t="shared" si="2"/>
        <v>6.4918066943320335E-2</v>
      </c>
      <c r="I43" s="1">
        <v>20</v>
      </c>
      <c r="J43" s="70">
        <f t="shared" si="8"/>
        <v>0</v>
      </c>
      <c r="K43" s="91" t="str">
        <f t="shared" si="9"/>
        <v/>
      </c>
      <c r="L43" s="91" t="str">
        <f t="shared" si="10"/>
        <v/>
      </c>
      <c r="M43" s="95">
        <f t="shared" si="11"/>
        <v>23.292842222232643</v>
      </c>
      <c r="N43" s="99">
        <f t="shared" si="12"/>
        <v>23.292842222232643</v>
      </c>
      <c r="O43" s="122">
        <f t="shared" si="13"/>
        <v>0.63357559040527234</v>
      </c>
      <c r="P43" s="122">
        <f t="shared" si="14"/>
        <v>0.5124285094142722</v>
      </c>
      <c r="Q43" s="132">
        <f t="shared" si="15"/>
        <v>0.17938225111256134</v>
      </c>
      <c r="R43" s="132">
        <f t="shared" si="15"/>
        <v>0.49653442234121453</v>
      </c>
      <c r="S43" s="133">
        <f t="shared" si="15"/>
        <v>0.51183982840662201</v>
      </c>
      <c r="T43" s="134">
        <f t="shared" si="16"/>
        <v>0.17938225111256134</v>
      </c>
      <c r="U43" s="134">
        <f t="shared" si="4"/>
        <v>0.31715217122865319</v>
      </c>
      <c r="V43" s="134">
        <f t="shared" si="5"/>
        <v>1.5305406065407479E-2</v>
      </c>
      <c r="W43" s="122">
        <f t="shared" si="17"/>
        <v>5.886810076501936E-4</v>
      </c>
      <c r="X43" s="136">
        <f t="shared" si="18"/>
        <v>0</v>
      </c>
      <c r="Y43" s="38">
        <f t="shared" si="6"/>
        <v>24.662673419534702</v>
      </c>
      <c r="Z43" s="38">
        <f t="shared" si="19"/>
        <v>0</v>
      </c>
      <c r="AA43" s="136">
        <f t="shared" si="20"/>
        <v>0.49653442234121453</v>
      </c>
      <c r="AB43" s="136">
        <f t="shared" si="21"/>
        <v>1.5305406065407479E-2</v>
      </c>
      <c r="AC43" s="170">
        <f t="shared" si="22"/>
        <v>5.886810076501936E-4</v>
      </c>
      <c r="AD43" s="38">
        <f t="shared" si="23"/>
        <v>293.79955271086175</v>
      </c>
      <c r="AE43" s="38">
        <f t="shared" si="24"/>
        <v>53.45627965191607</v>
      </c>
      <c r="AF43" s="38">
        <f t="shared" si="25"/>
        <v>31.692285749158405</v>
      </c>
      <c r="AG43" s="38">
        <f t="shared" si="26"/>
        <v>20.182681958822467</v>
      </c>
      <c r="AH43" s="38">
        <f t="shared" si="27"/>
        <v>399.13080007075871</v>
      </c>
      <c r="AI43" s="38">
        <f t="shared" si="28"/>
        <v>99.263829977597695</v>
      </c>
      <c r="AJ43" s="38">
        <f t="shared" si="29"/>
        <v>498.39463004835642</v>
      </c>
    </row>
    <row r="44" spans="2:43" x14ac:dyDescent="0.3">
      <c r="B44" s="4">
        <v>41</v>
      </c>
      <c r="C44" s="4">
        <v>281</v>
      </c>
      <c r="D44" s="4">
        <v>289</v>
      </c>
      <c r="E44" s="4"/>
      <c r="F44" s="40">
        <f t="shared" si="1"/>
        <v>0</v>
      </c>
      <c r="G44" s="1">
        <f t="shared" si="7"/>
        <v>28.5</v>
      </c>
      <c r="H44" s="37">
        <f t="shared" si="2"/>
        <v>6.3793965821957732E-2</v>
      </c>
      <c r="I44" s="1">
        <v>21</v>
      </c>
      <c r="J44" s="70">
        <f t="shared" si="8"/>
        <v>0</v>
      </c>
      <c r="K44" s="91" t="str">
        <f t="shared" si="9"/>
        <v/>
      </c>
      <c r="L44" s="91" t="str">
        <f t="shared" si="10"/>
        <v/>
      </c>
      <c r="M44" s="95">
        <f t="shared" si="11"/>
        <v>23.235746926649284</v>
      </c>
      <c r="N44" s="99">
        <f t="shared" si="12"/>
        <v>23.235746926649284</v>
      </c>
      <c r="O44" s="122">
        <f t="shared" si="13"/>
        <v>0.62195338286450974</v>
      </c>
      <c r="P44" s="122">
        <f t="shared" si="14"/>
        <v>0.50308135066275239</v>
      </c>
      <c r="Q44" s="132">
        <f t="shared" si="15"/>
        <v>0.16899509858384792</v>
      </c>
      <c r="R44" s="132">
        <f t="shared" si="15"/>
        <v>0.4868740866104842</v>
      </c>
      <c r="S44" s="133">
        <f t="shared" si="15"/>
        <v>0.50248071416605233</v>
      </c>
      <c r="T44" s="134">
        <f t="shared" si="16"/>
        <v>0.16899509858384792</v>
      </c>
      <c r="U44" s="134">
        <f t="shared" si="4"/>
        <v>0.31787898802663628</v>
      </c>
      <c r="V44" s="134">
        <f t="shared" si="5"/>
        <v>1.5606627555568131E-2</v>
      </c>
      <c r="W44" s="122">
        <f t="shared" si="17"/>
        <v>6.006364967000577E-4</v>
      </c>
      <c r="X44" s="136">
        <f t="shared" si="18"/>
        <v>0</v>
      </c>
      <c r="Y44" s="38">
        <f t="shared" si="6"/>
        <v>24.439991951321652</v>
      </c>
      <c r="Z44" s="38">
        <f t="shared" si="19"/>
        <v>0</v>
      </c>
      <c r="AA44" s="136">
        <f t="shared" si="20"/>
        <v>0.4868740866104842</v>
      </c>
      <c r="AB44" s="136">
        <f t="shared" si="21"/>
        <v>1.5606627555568131E-2</v>
      </c>
      <c r="AC44" s="170">
        <f t="shared" si="22"/>
        <v>6.006364967000577E-4</v>
      </c>
      <c r="AD44" s="38">
        <f t="shared" si="23"/>
        <v>288.29563390900552</v>
      </c>
      <c r="AE44" s="38">
        <f t="shared" si="24"/>
        <v>52.217608314216825</v>
      </c>
      <c r="AF44" s="38">
        <f t="shared" si="25"/>
        <v>31.065729850275268</v>
      </c>
      <c r="AG44" s="38">
        <f t="shared" si="26"/>
        <v>19.872038305740734</v>
      </c>
      <c r="AH44" s="38">
        <f t="shared" si="27"/>
        <v>391.45101037923837</v>
      </c>
      <c r="AI44" s="38">
        <f t="shared" si="28"/>
        <v>97.353866281316584</v>
      </c>
      <c r="AJ44" s="38">
        <f t="shared" si="29"/>
        <v>488.80487666055495</v>
      </c>
    </row>
    <row r="45" spans="2:43" x14ac:dyDescent="0.3">
      <c r="B45" s="3">
        <v>16</v>
      </c>
      <c r="C45" s="4">
        <v>278</v>
      </c>
      <c r="D45" s="4">
        <v>289</v>
      </c>
      <c r="E45" s="4"/>
      <c r="F45" s="40">
        <f t="shared" si="1"/>
        <v>0</v>
      </c>
      <c r="G45" s="1">
        <f t="shared" si="7"/>
        <v>28.35</v>
      </c>
      <c r="H45" s="37">
        <f t="shared" si="2"/>
        <v>6.3124217538120572E-2</v>
      </c>
      <c r="I45" s="1">
        <v>22</v>
      </c>
      <c r="J45" s="70">
        <f t="shared" si="8"/>
        <v>0</v>
      </c>
      <c r="K45" s="91" t="str">
        <f t="shared" si="9"/>
        <v/>
      </c>
      <c r="L45" s="91" t="str">
        <f t="shared" si="10"/>
        <v/>
      </c>
      <c r="M45" s="95">
        <f t="shared" si="11"/>
        <v>23.201074909892313</v>
      </c>
      <c r="N45" s="99">
        <f t="shared" si="12"/>
        <v>23.201074909892313</v>
      </c>
      <c r="O45" s="122">
        <f t="shared" si="13"/>
        <v>0.61502773883123441</v>
      </c>
      <c r="P45" s="122">
        <f t="shared" si="14"/>
        <v>0.49751045538291722</v>
      </c>
      <c r="Q45" s="132">
        <f t="shared" si="15"/>
        <v>0.16288348781104089</v>
      </c>
      <c r="R45" s="132">
        <f t="shared" si="15"/>
        <v>0.48111136865870929</v>
      </c>
      <c r="S45" s="133">
        <f t="shared" si="15"/>
        <v>0.49690248537561355</v>
      </c>
      <c r="T45" s="134">
        <f t="shared" si="16"/>
        <v>0.16288348781104089</v>
      </c>
      <c r="U45" s="134">
        <f t="shared" si="4"/>
        <v>0.3182278808476684</v>
      </c>
      <c r="V45" s="134">
        <f t="shared" si="5"/>
        <v>1.5791116716904252E-2</v>
      </c>
      <c r="W45" s="122">
        <f t="shared" si="17"/>
        <v>6.079700073036709E-4</v>
      </c>
      <c r="X45" s="136">
        <f t="shared" si="18"/>
        <v>0</v>
      </c>
      <c r="Y45" s="38">
        <f t="shared" si="6"/>
        <v>24.306376627726198</v>
      </c>
      <c r="Z45" s="38">
        <f t="shared" si="19"/>
        <v>0</v>
      </c>
      <c r="AA45" s="136">
        <f t="shared" si="20"/>
        <v>0.48111136865870929</v>
      </c>
      <c r="AB45" s="136">
        <f t="shared" si="21"/>
        <v>1.5791116716904252E-2</v>
      </c>
      <c r="AC45" s="170">
        <f t="shared" si="22"/>
        <v>6.079700073036709E-4</v>
      </c>
      <c r="AD45" s="38">
        <f t="shared" si="23"/>
        <v>285.01608796000909</v>
      </c>
      <c r="AE45" s="38">
        <f t="shared" si="24"/>
        <v>51.482550520093305</v>
      </c>
      <c r="AF45" s="38">
        <f t="shared" si="25"/>
        <v>30.693443998742698</v>
      </c>
      <c r="AG45" s="38">
        <f t="shared" si="26"/>
        <v>19.686809534522265</v>
      </c>
      <c r="AH45" s="38">
        <f t="shared" si="27"/>
        <v>386.87889201336736</v>
      </c>
      <c r="AI45" s="38">
        <f t="shared" si="28"/>
        <v>96.21678044372446</v>
      </c>
      <c r="AJ45" s="38">
        <f t="shared" si="29"/>
        <v>483.09567245709184</v>
      </c>
    </row>
    <row r="46" spans="2:43" x14ac:dyDescent="0.3">
      <c r="B46" s="4">
        <v>62</v>
      </c>
      <c r="C46" s="4">
        <v>284</v>
      </c>
      <c r="D46" s="4">
        <v>279</v>
      </c>
      <c r="E46" s="4"/>
      <c r="F46" s="40">
        <f t="shared" si="1"/>
        <v>0</v>
      </c>
      <c r="G46" s="1">
        <f t="shared" si="7"/>
        <v>28.15</v>
      </c>
      <c r="H46" s="37">
        <f t="shared" si="2"/>
        <v>6.2236717613481436E-2</v>
      </c>
      <c r="I46" s="1">
        <v>23</v>
      </c>
      <c r="J46" s="70">
        <f t="shared" si="8"/>
        <v>0</v>
      </c>
      <c r="K46" s="91" t="str">
        <f t="shared" si="9"/>
        <v/>
      </c>
      <c r="L46" s="91" t="str">
        <f t="shared" si="10"/>
        <v/>
      </c>
      <c r="M46" s="95">
        <f t="shared" si="11"/>
        <v>23.154352811583031</v>
      </c>
      <c r="N46" s="99">
        <f t="shared" si="12"/>
        <v>23.154352811583031</v>
      </c>
      <c r="O46" s="122">
        <f t="shared" si="13"/>
        <v>0.60584925432189329</v>
      </c>
      <c r="P46" s="122">
        <f t="shared" si="14"/>
        <v>0.49012630520913986</v>
      </c>
      <c r="Q46" s="132">
        <f t="shared" si="15"/>
        <v>0.15487993316005402</v>
      </c>
      <c r="R46" s="132">
        <f t="shared" si="15"/>
        <v>0.47346677415992816</v>
      </c>
      <c r="S46" s="133">
        <f t="shared" si="15"/>
        <v>0.48950836495661165</v>
      </c>
      <c r="T46" s="134">
        <f t="shared" si="16"/>
        <v>0.15487993316005402</v>
      </c>
      <c r="U46" s="134">
        <f t="shared" si="4"/>
        <v>0.31858684099987411</v>
      </c>
      <c r="V46" s="134">
        <f t="shared" si="5"/>
        <v>1.6041590796683491E-2</v>
      </c>
      <c r="W46" s="122">
        <f t="shared" si="17"/>
        <v>6.1794025252820406E-4</v>
      </c>
      <c r="X46" s="136">
        <f t="shared" si="18"/>
        <v>0</v>
      </c>
      <c r="Y46" s="38">
        <f t="shared" si="6"/>
        <v>24.128215171617907</v>
      </c>
      <c r="Z46" s="38">
        <f t="shared" si="19"/>
        <v>0</v>
      </c>
      <c r="AA46" s="136">
        <f t="shared" si="20"/>
        <v>0.47346677415992816</v>
      </c>
      <c r="AB46" s="136">
        <f t="shared" si="21"/>
        <v>1.6041590796683491E-2</v>
      </c>
      <c r="AC46" s="170">
        <f t="shared" si="22"/>
        <v>6.1794025252820406E-4</v>
      </c>
      <c r="AD46" s="38">
        <f t="shared" si="23"/>
        <v>280.67001383987707</v>
      </c>
      <c r="AE46" s="38">
        <f t="shared" si="24"/>
        <v>50.511946523290902</v>
      </c>
      <c r="AF46" s="38">
        <f t="shared" si="25"/>
        <v>30.201304172888058</v>
      </c>
      <c r="AG46" s="38">
        <f t="shared" si="26"/>
        <v>19.44118842295341</v>
      </c>
      <c r="AH46" s="38">
        <f t="shared" si="27"/>
        <v>380.82445295900948</v>
      </c>
      <c r="AI46" s="38">
        <f t="shared" si="28"/>
        <v>94.711041450905654</v>
      </c>
      <c r="AJ46" s="38">
        <f t="shared" si="29"/>
        <v>475.53549440991515</v>
      </c>
    </row>
    <row r="47" spans="2:43" x14ac:dyDescent="0.3">
      <c r="B47" s="3">
        <v>2</v>
      </c>
      <c r="C47" s="4">
        <v>272</v>
      </c>
      <c r="D47" s="4">
        <v>272</v>
      </c>
      <c r="E47" s="4"/>
      <c r="F47" s="40">
        <f t="shared" si="1"/>
        <v>0</v>
      </c>
      <c r="G47" s="1">
        <f t="shared" si="7"/>
        <v>27.2</v>
      </c>
      <c r="H47" s="37">
        <f t="shared" si="2"/>
        <v>5.8106897720796809E-2</v>
      </c>
      <c r="I47" s="1">
        <v>24</v>
      </c>
      <c r="J47" s="70">
        <f t="shared" si="8"/>
        <v>0</v>
      </c>
      <c r="K47" s="91" t="str">
        <f t="shared" si="9"/>
        <v/>
      </c>
      <c r="L47" s="91" t="str">
        <f t="shared" si="10"/>
        <v/>
      </c>
      <c r="M47" s="95">
        <f t="shared" si="11"/>
        <v>22.92442210095831</v>
      </c>
      <c r="N47" s="99">
        <f t="shared" si="12"/>
        <v>22.92442210095831</v>
      </c>
      <c r="O47" s="122">
        <f t="shared" si="13"/>
        <v>0.56312364999646858</v>
      </c>
      <c r="P47" s="122">
        <f t="shared" si="14"/>
        <v>0.45573643013205639</v>
      </c>
      <c r="Q47" s="132">
        <f t="shared" si="15"/>
        <v>0.11928080668200926</v>
      </c>
      <c r="R47" s="132">
        <f t="shared" si="15"/>
        <v>0.43776278714847067</v>
      </c>
      <c r="S47" s="133">
        <f t="shared" si="15"/>
        <v>0.45506793912152493</v>
      </c>
      <c r="T47" s="134">
        <f t="shared" si="16"/>
        <v>0.11928080668200926</v>
      </c>
      <c r="U47" s="134">
        <f t="shared" si="4"/>
        <v>0.31848198046646142</v>
      </c>
      <c r="V47" s="134">
        <f t="shared" si="5"/>
        <v>1.7305151973054267E-2</v>
      </c>
      <c r="W47" s="122">
        <f t="shared" si="17"/>
        <v>6.6849101053145787E-4</v>
      </c>
      <c r="X47" s="136">
        <f t="shared" si="18"/>
        <v>0</v>
      </c>
      <c r="Y47" s="38">
        <f t="shared" si="6"/>
        <v>23.281821933196223</v>
      </c>
      <c r="Z47" s="38">
        <f t="shared" si="19"/>
        <v>0</v>
      </c>
      <c r="AA47" s="136">
        <f t="shared" si="20"/>
        <v>0.43776278714847067</v>
      </c>
      <c r="AB47" s="136">
        <f t="shared" si="21"/>
        <v>1.7305151973054267E-2</v>
      </c>
      <c r="AC47" s="170">
        <f t="shared" si="22"/>
        <v>6.6849101053145787E-4</v>
      </c>
      <c r="AD47" s="38">
        <f t="shared" si="23"/>
        <v>260.4437885875318</v>
      </c>
      <c r="AE47" s="38">
        <f t="shared" si="24"/>
        <v>46.048419047927844</v>
      </c>
      <c r="AF47" s="38">
        <f t="shared" si="25"/>
        <v>27.929347419660751</v>
      </c>
      <c r="AG47" s="38">
        <f t="shared" si="26"/>
        <v>18.295575857825572</v>
      </c>
      <c r="AH47" s="38">
        <f t="shared" si="27"/>
        <v>352.717130912946</v>
      </c>
      <c r="AI47" s="38">
        <f t="shared" si="28"/>
        <v>87.720750458049679</v>
      </c>
      <c r="AJ47" s="38">
        <f t="shared" si="29"/>
        <v>440.43788137099568</v>
      </c>
    </row>
    <row r="48" spans="2:43" x14ac:dyDescent="0.3">
      <c r="B48" s="4">
        <v>67</v>
      </c>
      <c r="C48" s="4">
        <v>270</v>
      </c>
      <c r="D48" s="4">
        <v>274</v>
      </c>
      <c r="E48" s="4"/>
      <c r="F48" s="40">
        <f t="shared" si="1"/>
        <v>0</v>
      </c>
      <c r="G48" s="1">
        <f t="shared" si="7"/>
        <v>27.2</v>
      </c>
      <c r="H48" s="37">
        <f t="shared" si="2"/>
        <v>5.8106897720796809E-2</v>
      </c>
      <c r="I48" s="1">
        <v>25</v>
      </c>
      <c r="J48" s="70">
        <f t="shared" si="8"/>
        <v>0</v>
      </c>
      <c r="K48" s="91" t="str">
        <f t="shared" si="9"/>
        <v/>
      </c>
      <c r="L48" s="91" t="str">
        <f t="shared" si="10"/>
        <v/>
      </c>
      <c r="M48" s="95">
        <f t="shared" si="11"/>
        <v>22.92442210095831</v>
      </c>
      <c r="N48" s="99">
        <f t="shared" si="12"/>
        <v>22.92442210095831</v>
      </c>
      <c r="O48" s="122">
        <f t="shared" si="13"/>
        <v>0.56312364999646858</v>
      </c>
      <c r="P48" s="122">
        <f t="shared" si="14"/>
        <v>0.45573643013205639</v>
      </c>
      <c r="Q48" s="132">
        <f t="shared" si="15"/>
        <v>0.11928080668200926</v>
      </c>
      <c r="R48" s="132">
        <f t="shared" si="15"/>
        <v>0.43776278714847067</v>
      </c>
      <c r="S48" s="133">
        <f t="shared" si="15"/>
        <v>0.45506793912152493</v>
      </c>
      <c r="T48" s="134">
        <f t="shared" si="16"/>
        <v>0.11928080668200926</v>
      </c>
      <c r="U48" s="134">
        <f t="shared" si="4"/>
        <v>0.31848198046646142</v>
      </c>
      <c r="V48" s="134">
        <f t="shared" si="5"/>
        <v>1.7305151973054267E-2</v>
      </c>
      <c r="W48" s="122">
        <f t="shared" si="17"/>
        <v>6.6849101053145787E-4</v>
      </c>
      <c r="X48" s="136">
        <f t="shared" si="18"/>
        <v>0</v>
      </c>
      <c r="Y48" s="38">
        <f t="shared" si="6"/>
        <v>23.281821933196223</v>
      </c>
      <c r="Z48" s="38">
        <f t="shared" si="19"/>
        <v>0</v>
      </c>
      <c r="AA48" s="136">
        <f t="shared" si="20"/>
        <v>0.43776278714847067</v>
      </c>
      <c r="AB48" s="136">
        <f t="shared" si="21"/>
        <v>1.7305151973054267E-2</v>
      </c>
      <c r="AC48" s="170">
        <f t="shared" si="22"/>
        <v>6.6849101053145787E-4</v>
      </c>
      <c r="AD48" s="38">
        <f t="shared" si="23"/>
        <v>260.4437885875318</v>
      </c>
      <c r="AE48" s="38">
        <f t="shared" si="24"/>
        <v>46.048419047927844</v>
      </c>
      <c r="AF48" s="38">
        <f t="shared" si="25"/>
        <v>27.929347419660751</v>
      </c>
      <c r="AG48" s="38">
        <f t="shared" si="26"/>
        <v>18.295575857825572</v>
      </c>
      <c r="AH48" s="38">
        <f t="shared" si="27"/>
        <v>352.717130912946</v>
      </c>
      <c r="AI48" s="38">
        <f t="shared" si="28"/>
        <v>87.720750458049679</v>
      </c>
      <c r="AJ48" s="38">
        <f t="shared" si="29"/>
        <v>440.43788137099568</v>
      </c>
    </row>
    <row r="49" spans="2:36" x14ac:dyDescent="0.3">
      <c r="B49" s="3">
        <v>6</v>
      </c>
      <c r="C49" s="4">
        <v>272</v>
      </c>
      <c r="D49" s="4">
        <v>265</v>
      </c>
      <c r="E49" s="4"/>
      <c r="F49" s="40">
        <f t="shared" si="1"/>
        <v>0</v>
      </c>
      <c r="G49" s="1">
        <f t="shared" si="7"/>
        <v>26.85</v>
      </c>
      <c r="H49" s="37">
        <f t="shared" si="2"/>
        <v>5.6621120745189699E-2</v>
      </c>
      <c r="I49" s="1">
        <v>26</v>
      </c>
      <c r="J49" s="70">
        <f t="shared" si="8"/>
        <v>0</v>
      </c>
      <c r="K49" s="91" t="str">
        <f t="shared" si="9"/>
        <v/>
      </c>
      <c r="L49" s="91" t="str">
        <f t="shared" si="10"/>
        <v/>
      </c>
      <c r="M49" s="95">
        <f t="shared" si="11"/>
        <v>22.836221854262476</v>
      </c>
      <c r="N49" s="99">
        <f t="shared" si="12"/>
        <v>22.836221854262476</v>
      </c>
      <c r="O49" s="122">
        <f t="shared" si="13"/>
        <v>0.54774723851861828</v>
      </c>
      <c r="P49" s="122">
        <f t="shared" si="14"/>
        <v>0.44335299129571315</v>
      </c>
      <c r="Q49" s="132">
        <f t="shared" si="15"/>
        <v>0.10724321083185472</v>
      </c>
      <c r="R49" s="132">
        <f t="shared" si="15"/>
        <v>0.42486114382411672</v>
      </c>
      <c r="S49" s="133">
        <f t="shared" si="15"/>
        <v>0.44266444786985443</v>
      </c>
      <c r="T49" s="134">
        <f t="shared" si="16"/>
        <v>0.10724321083185472</v>
      </c>
      <c r="U49" s="134">
        <f t="shared" si="4"/>
        <v>0.31761793299226199</v>
      </c>
      <c r="V49" s="134">
        <f t="shared" si="5"/>
        <v>1.7803304045737711E-2</v>
      </c>
      <c r="W49" s="122">
        <f t="shared" si="17"/>
        <v>6.8854342585872308E-4</v>
      </c>
      <c r="X49" s="136">
        <f t="shared" si="18"/>
        <v>0</v>
      </c>
      <c r="Y49" s="38">
        <f t="shared" si="6"/>
        <v>22.969937012752411</v>
      </c>
      <c r="Z49" s="38">
        <f t="shared" si="19"/>
        <v>0</v>
      </c>
      <c r="AA49" s="136">
        <f t="shared" si="20"/>
        <v>0.42486114382411672</v>
      </c>
      <c r="AB49" s="136">
        <f t="shared" si="21"/>
        <v>1.7803304045737711E-2</v>
      </c>
      <c r="AC49" s="170">
        <f t="shared" si="22"/>
        <v>6.8854342585872308E-4</v>
      </c>
      <c r="AD49" s="38">
        <f t="shared" si="23"/>
        <v>253.16675408004298</v>
      </c>
      <c r="AE49" s="38">
        <f t="shared" si="24"/>
        <v>44.464628802049354</v>
      </c>
      <c r="AF49" s="38">
        <f t="shared" si="25"/>
        <v>27.119440622898889</v>
      </c>
      <c r="AG49" s="38">
        <f t="shared" si="26"/>
        <v>17.882295012774073</v>
      </c>
      <c r="AH49" s="38">
        <f t="shared" si="27"/>
        <v>342.6331185177653</v>
      </c>
      <c r="AI49" s="38">
        <f t="shared" si="28"/>
        <v>85.212856575368235</v>
      </c>
      <c r="AJ49" s="38">
        <f t="shared" si="29"/>
        <v>427.84597509313352</v>
      </c>
    </row>
    <row r="50" spans="2:36" x14ac:dyDescent="0.3">
      <c r="B50" s="4">
        <v>55</v>
      </c>
      <c r="C50" s="4">
        <v>273</v>
      </c>
      <c r="D50" s="4">
        <v>257</v>
      </c>
      <c r="E50" s="4"/>
      <c r="F50" s="40">
        <f t="shared" si="1"/>
        <v>0</v>
      </c>
      <c r="G50" s="1">
        <f t="shared" si="7"/>
        <v>26.5</v>
      </c>
      <c r="H50" s="37">
        <f t="shared" si="2"/>
        <v>5.5154586024585804E-2</v>
      </c>
      <c r="I50" s="1">
        <v>27</v>
      </c>
      <c r="J50" s="70">
        <f t="shared" si="8"/>
        <v>0</v>
      </c>
      <c r="K50" s="91" t="str">
        <f t="shared" si="9"/>
        <v/>
      </c>
      <c r="L50" s="91" t="str">
        <f t="shared" si="10"/>
        <v/>
      </c>
      <c r="M50" s="95">
        <f t="shared" si="11"/>
        <v>22.746044686694074</v>
      </c>
      <c r="N50" s="99">
        <f t="shared" si="12"/>
        <v>22.746044686694074</v>
      </c>
      <c r="O50" s="122">
        <f t="shared" si="13"/>
        <v>0.53256796766163406</v>
      </c>
      <c r="P50" s="122">
        <f t="shared" si="14"/>
        <v>0.43112461450839967</v>
      </c>
      <c r="Q50" s="132">
        <f t="shared" si="15"/>
        <v>9.5825980133943542E-2</v>
      </c>
      <c r="R50" s="132">
        <f t="shared" si="15"/>
        <v>0.41209498464100025</v>
      </c>
      <c r="S50" s="133">
        <f t="shared" si="15"/>
        <v>0.43041518595915929</v>
      </c>
      <c r="T50" s="134">
        <f t="shared" si="16"/>
        <v>9.5825980133943542E-2</v>
      </c>
      <c r="U50" s="134">
        <f t="shared" si="4"/>
        <v>0.31626900450705669</v>
      </c>
      <c r="V50" s="134">
        <f t="shared" si="5"/>
        <v>1.8320201318159035E-2</v>
      </c>
      <c r="W50" s="122">
        <f t="shared" si="17"/>
        <v>7.0942854924038734E-4</v>
      </c>
      <c r="X50" s="136">
        <f t="shared" si="18"/>
        <v>0</v>
      </c>
      <c r="Y50" s="38">
        <f t="shared" si="6"/>
        <v>22.658019973470587</v>
      </c>
      <c r="Z50" s="38">
        <f t="shared" si="19"/>
        <v>0</v>
      </c>
      <c r="AA50" s="136">
        <f t="shared" si="20"/>
        <v>0.41209498464100025</v>
      </c>
      <c r="AB50" s="136">
        <f t="shared" si="21"/>
        <v>1.8320201318159035E-2</v>
      </c>
      <c r="AC50" s="170">
        <f t="shared" si="22"/>
        <v>7.0942854924038734E-4</v>
      </c>
      <c r="AD50" s="38">
        <f t="shared" si="23"/>
        <v>245.98429083494784</v>
      </c>
      <c r="AE50" s="38">
        <f t="shared" si="24"/>
        <v>42.913212430320428</v>
      </c>
      <c r="AF50" s="38">
        <f t="shared" si="25"/>
        <v>26.32400164656914</v>
      </c>
      <c r="AG50" s="38">
        <f t="shared" si="26"/>
        <v>17.473748288163097</v>
      </c>
      <c r="AH50" s="38">
        <f t="shared" si="27"/>
        <v>332.69525320000048</v>
      </c>
      <c r="AI50" s="38">
        <f t="shared" si="28"/>
        <v>82.741309470840122</v>
      </c>
      <c r="AJ50" s="38">
        <f t="shared" si="29"/>
        <v>415.4365626708406</v>
      </c>
    </row>
    <row r="51" spans="2:36" x14ac:dyDescent="0.3">
      <c r="B51" s="4">
        <v>45</v>
      </c>
      <c r="C51" s="4">
        <v>258</v>
      </c>
      <c r="D51" s="4">
        <v>259</v>
      </c>
      <c r="E51" s="4"/>
      <c r="F51" s="40">
        <f t="shared" si="1"/>
        <v>0</v>
      </c>
      <c r="G51" s="1">
        <f t="shared" si="7"/>
        <v>25.85</v>
      </c>
      <c r="H51" s="37">
        <f t="shared" si="2"/>
        <v>5.2482072424085147E-2</v>
      </c>
      <c r="I51" s="1">
        <v>28</v>
      </c>
      <c r="J51" s="70">
        <f t="shared" si="8"/>
        <v>0</v>
      </c>
      <c r="K51" s="91" t="str">
        <f t="shared" si="9"/>
        <v/>
      </c>
      <c r="L51" s="91" t="str">
        <f t="shared" si="10"/>
        <v/>
      </c>
      <c r="M51" s="95">
        <f t="shared" si="11"/>
        <v>22.573098941609928</v>
      </c>
      <c r="N51" s="99">
        <f t="shared" si="12"/>
        <v>22.573098941609928</v>
      </c>
      <c r="O51" s="122">
        <f t="shared" si="13"/>
        <v>0.50490273995450763</v>
      </c>
      <c r="P51" s="122">
        <f t="shared" si="14"/>
        <v>0.4088279112619943</v>
      </c>
      <c r="Q51" s="132">
        <f t="shared" si="15"/>
        <v>7.6345458467524704E-2</v>
      </c>
      <c r="R51" s="132">
        <f t="shared" si="15"/>
        <v>0.38874474918357488</v>
      </c>
      <c r="S51" s="133">
        <f t="shared" si="15"/>
        <v>0.40807733429983267</v>
      </c>
      <c r="T51" s="134">
        <f t="shared" si="16"/>
        <v>7.6345458467524704E-2</v>
      </c>
      <c r="U51" s="134">
        <f t="shared" si="4"/>
        <v>0.31239929071605016</v>
      </c>
      <c r="V51" s="134">
        <f t="shared" si="5"/>
        <v>1.9332585116257794E-2</v>
      </c>
      <c r="W51" s="122">
        <f t="shared" si="17"/>
        <v>7.5057696216163095E-4</v>
      </c>
      <c r="X51" s="136">
        <f t="shared" si="18"/>
        <v>0</v>
      </c>
      <c r="Y51" s="38">
        <f t="shared" si="6"/>
        <v>22.078655360537912</v>
      </c>
      <c r="Z51" s="38">
        <f t="shared" si="19"/>
        <v>0</v>
      </c>
      <c r="AA51" s="136">
        <f t="shared" si="20"/>
        <v>0.38874474918357488</v>
      </c>
      <c r="AB51" s="136">
        <f t="shared" si="21"/>
        <v>1.9332585116257794E-2</v>
      </c>
      <c r="AC51" s="170">
        <f t="shared" si="22"/>
        <v>7.5057696216163095E-4</v>
      </c>
      <c r="AD51" s="38">
        <f t="shared" si="23"/>
        <v>232.89741303451262</v>
      </c>
      <c r="AE51" s="38">
        <f t="shared" si="24"/>
        <v>40.117254064636249</v>
      </c>
      <c r="AF51" s="38">
        <f t="shared" si="25"/>
        <v>24.884833897663572</v>
      </c>
      <c r="AG51" s="38">
        <f t="shared" si="26"/>
        <v>16.727584623722375</v>
      </c>
      <c r="AH51" s="38">
        <f t="shared" si="27"/>
        <v>314.62708562053479</v>
      </c>
      <c r="AI51" s="38">
        <f t="shared" si="28"/>
        <v>78.247756193827001</v>
      </c>
      <c r="AJ51" s="38">
        <f t="shared" si="29"/>
        <v>392.87484181436179</v>
      </c>
    </row>
    <row r="52" spans="2:36" x14ac:dyDescent="0.3">
      <c r="B52" s="3">
        <v>5</v>
      </c>
      <c r="C52" s="4">
        <v>267</v>
      </c>
      <c r="D52" s="4">
        <v>249</v>
      </c>
      <c r="E52" s="4"/>
      <c r="F52" s="40">
        <f t="shared" si="1"/>
        <v>0</v>
      </c>
      <c r="G52" s="1">
        <f t="shared" si="7"/>
        <v>25.8</v>
      </c>
      <c r="H52" s="37">
        <f t="shared" si="2"/>
        <v>5.2279243348387745E-2</v>
      </c>
      <c r="I52" s="1">
        <v>29</v>
      </c>
      <c r="J52" s="70">
        <f t="shared" si="8"/>
        <v>0</v>
      </c>
      <c r="K52" s="91" t="str">
        <f t="shared" si="9"/>
        <v/>
      </c>
      <c r="L52" s="91" t="str">
        <f t="shared" si="10"/>
        <v/>
      </c>
      <c r="M52" s="95">
        <f t="shared" si="11"/>
        <v>22.559490658030885</v>
      </c>
      <c r="N52" s="99">
        <f t="shared" si="12"/>
        <v>22.559490658030885</v>
      </c>
      <c r="O52" s="122">
        <f t="shared" si="13"/>
        <v>0.50280298397443046</v>
      </c>
      <c r="P52" s="122">
        <f t="shared" si="14"/>
        <v>0.40713510075093567</v>
      </c>
      <c r="Q52" s="132">
        <f t="shared" si="15"/>
        <v>7.4942592550716419E-2</v>
      </c>
      <c r="R52" s="132">
        <f t="shared" si="15"/>
        <v>0.38696782386080297</v>
      </c>
      <c r="S52" s="133">
        <f t="shared" si="15"/>
        <v>0.4063812245575934</v>
      </c>
      <c r="T52" s="134">
        <f t="shared" si="16"/>
        <v>7.4942592550716419E-2</v>
      </c>
      <c r="U52" s="134">
        <f t="shared" si="4"/>
        <v>0.31202523131008653</v>
      </c>
      <c r="V52" s="134">
        <f t="shared" si="5"/>
        <v>1.9413400696790428E-2</v>
      </c>
      <c r="W52" s="122">
        <f t="shared" si="17"/>
        <v>7.5387619334227329E-4</v>
      </c>
      <c r="X52" s="136">
        <f t="shared" si="18"/>
        <v>0</v>
      </c>
      <c r="Y52" s="38">
        <f t="shared" si="6"/>
        <v>22.034083782298957</v>
      </c>
      <c r="Z52" s="38">
        <f t="shared" si="19"/>
        <v>0</v>
      </c>
      <c r="AA52" s="136">
        <f t="shared" si="20"/>
        <v>0.38696782386080297</v>
      </c>
      <c r="AB52" s="136">
        <f t="shared" si="21"/>
        <v>1.9413400696790428E-2</v>
      </c>
      <c r="AC52" s="170">
        <f t="shared" si="22"/>
        <v>7.5387619334227329E-4</v>
      </c>
      <c r="AD52" s="38">
        <f t="shared" si="23"/>
        <v>231.90434433796645</v>
      </c>
      <c r="AE52" s="38">
        <f t="shared" si="24"/>
        <v>39.906743037317</v>
      </c>
      <c r="AF52" s="38">
        <f t="shared" si="25"/>
        <v>24.776165966474025</v>
      </c>
      <c r="AG52" s="38">
        <f t="shared" si="26"/>
        <v>16.670864307265234</v>
      </c>
      <c r="AH52" s="38">
        <f t="shared" si="27"/>
        <v>313.25811764902272</v>
      </c>
      <c r="AI52" s="38">
        <f t="shared" si="28"/>
        <v>77.907293859311949</v>
      </c>
      <c r="AJ52" s="38">
        <f t="shared" si="29"/>
        <v>391.16541150833467</v>
      </c>
    </row>
    <row r="53" spans="2:36" x14ac:dyDescent="0.3">
      <c r="B53" s="4">
        <v>60</v>
      </c>
      <c r="C53" s="4">
        <v>257</v>
      </c>
      <c r="D53" s="4">
        <v>254</v>
      </c>
      <c r="E53" s="4"/>
      <c r="F53" s="40">
        <f t="shared" si="1"/>
        <v>0</v>
      </c>
      <c r="G53" s="1">
        <f t="shared" si="7"/>
        <v>25.55</v>
      </c>
      <c r="H53" s="37">
        <f t="shared" si="2"/>
        <v>5.1270988456126272E-2</v>
      </c>
      <c r="I53" s="1">
        <v>30</v>
      </c>
      <c r="J53" s="70">
        <f t="shared" si="8"/>
        <v>0</v>
      </c>
      <c r="K53" s="91" t="str">
        <f t="shared" si="9"/>
        <v/>
      </c>
      <c r="L53" s="91" t="str">
        <f t="shared" si="10"/>
        <v/>
      </c>
      <c r="M53" s="95">
        <f t="shared" si="11"/>
        <v>22.490775937132462</v>
      </c>
      <c r="N53" s="99">
        <f t="shared" si="12"/>
        <v>22.490775937132462</v>
      </c>
      <c r="O53" s="122">
        <f t="shared" si="13"/>
        <v>0.49236508183532102</v>
      </c>
      <c r="P53" s="122">
        <f t="shared" si="14"/>
        <v>0.39871902466876202</v>
      </c>
      <c r="Q53" s="132">
        <f t="shared" si="15"/>
        <v>6.8137936312724953E-2</v>
      </c>
      <c r="R53" s="132">
        <f t="shared" si="15"/>
        <v>0.37812434060206895</v>
      </c>
      <c r="S53" s="133">
        <f t="shared" si="15"/>
        <v>0.39794835127727635</v>
      </c>
      <c r="T53" s="134">
        <f t="shared" si="16"/>
        <v>6.8137936312724953E-2</v>
      </c>
      <c r="U53" s="134">
        <f t="shared" si="4"/>
        <v>0.30998640428934399</v>
      </c>
      <c r="V53" s="134">
        <f t="shared" si="5"/>
        <v>1.9824010675207393E-2</v>
      </c>
      <c r="W53" s="122">
        <f t="shared" si="17"/>
        <v>7.7067339148567671E-4</v>
      </c>
      <c r="X53" s="136">
        <f t="shared" si="18"/>
        <v>0</v>
      </c>
      <c r="Y53" s="38">
        <f t="shared" si="6"/>
        <v>21.811214582642496</v>
      </c>
      <c r="Z53" s="38">
        <f t="shared" si="19"/>
        <v>0</v>
      </c>
      <c r="AA53" s="136">
        <f t="shared" si="20"/>
        <v>0.37812434060206895</v>
      </c>
      <c r="AB53" s="136">
        <f t="shared" si="21"/>
        <v>1.9824010675207393E-2</v>
      </c>
      <c r="AC53" s="170">
        <f t="shared" si="22"/>
        <v>7.7067339148567671E-4</v>
      </c>
      <c r="AD53" s="38">
        <f t="shared" si="23"/>
        <v>226.96826453407635</v>
      </c>
      <c r="AE53" s="38">
        <f t="shared" si="24"/>
        <v>38.863911599799188</v>
      </c>
      <c r="AF53" s="38">
        <f t="shared" si="25"/>
        <v>24.237166634171324</v>
      </c>
      <c r="AG53" s="38">
        <f t="shared" si="26"/>
        <v>16.388713714614596</v>
      </c>
      <c r="AH53" s="38">
        <f t="shared" si="27"/>
        <v>306.45805648266145</v>
      </c>
      <c r="AI53" s="38">
        <f t="shared" si="28"/>
        <v>76.216118647237906</v>
      </c>
      <c r="AJ53" s="38">
        <f t="shared" si="29"/>
        <v>382.67417512989937</v>
      </c>
    </row>
    <row r="54" spans="2:36" x14ac:dyDescent="0.3">
      <c r="B54" s="3">
        <v>19</v>
      </c>
      <c r="C54" s="4">
        <v>253</v>
      </c>
      <c r="D54" s="4">
        <v>251</v>
      </c>
      <c r="E54" s="4"/>
      <c r="F54" s="40">
        <f t="shared" si="1"/>
        <v>0</v>
      </c>
      <c r="G54" s="1">
        <f t="shared" si="7"/>
        <v>25.2</v>
      </c>
      <c r="H54" s="37">
        <f t="shared" si="2"/>
        <v>4.987592496839155E-2</v>
      </c>
      <c r="I54" s="1">
        <v>31</v>
      </c>
      <c r="J54" s="70">
        <f t="shared" si="8"/>
        <v>0</v>
      </c>
      <c r="K54" s="91" t="str">
        <f t="shared" si="9"/>
        <v/>
      </c>
      <c r="L54" s="91" t="str">
        <f t="shared" si="10"/>
        <v/>
      </c>
      <c r="M54" s="95">
        <f t="shared" si="11"/>
        <v>22.392649673353031</v>
      </c>
      <c r="N54" s="99">
        <f t="shared" si="12"/>
        <v>22.392649673353031</v>
      </c>
      <c r="O54" s="122">
        <f t="shared" si="13"/>
        <v>0.47792277318132553</v>
      </c>
      <c r="P54" s="122">
        <f t="shared" si="14"/>
        <v>0.38707113804680471</v>
      </c>
      <c r="Q54" s="132">
        <f t="shared" si="15"/>
        <v>5.9205703872865688E-2</v>
      </c>
      <c r="R54" s="132">
        <f t="shared" si="15"/>
        <v>0.36585846710611408</v>
      </c>
      <c r="S54" s="133">
        <f t="shared" si="15"/>
        <v>0.38627607728576135</v>
      </c>
      <c r="T54" s="134">
        <f t="shared" si="16"/>
        <v>5.9205703872865688E-2</v>
      </c>
      <c r="U54" s="134">
        <f t="shared" si="4"/>
        <v>0.30665276323324842</v>
      </c>
      <c r="V54" s="134">
        <f t="shared" si="5"/>
        <v>2.0417610179647272E-2</v>
      </c>
      <c r="W54" s="122">
        <f t="shared" si="17"/>
        <v>7.9506076104335355E-4</v>
      </c>
      <c r="X54" s="136">
        <f t="shared" si="18"/>
        <v>0</v>
      </c>
      <c r="Y54" s="38">
        <f t="shared" si="6"/>
        <v>21.499165138059549</v>
      </c>
      <c r="Z54" s="38">
        <f t="shared" si="19"/>
        <v>0</v>
      </c>
      <c r="AA54" s="136">
        <f t="shared" si="20"/>
        <v>0.36585846710611408</v>
      </c>
      <c r="AB54" s="136">
        <f t="shared" si="21"/>
        <v>2.0417610179647272E-2</v>
      </c>
      <c r="AC54" s="170">
        <f t="shared" si="22"/>
        <v>7.9506076104335355E-4</v>
      </c>
      <c r="AD54" s="38">
        <f t="shared" si="23"/>
        <v>220.13986685458201</v>
      </c>
      <c r="AE54" s="38">
        <f t="shared" si="24"/>
        <v>37.431070477131655</v>
      </c>
      <c r="AF54" s="38">
        <f t="shared" si="25"/>
        <v>23.494671792510637</v>
      </c>
      <c r="AG54" s="38">
        <f t="shared" si="26"/>
        <v>15.997766663584743</v>
      </c>
      <c r="AH54" s="38">
        <f t="shared" si="27"/>
        <v>297.06337578780904</v>
      </c>
      <c r="AI54" s="38">
        <f t="shared" si="28"/>
        <v>73.879661558428111</v>
      </c>
      <c r="AJ54" s="38">
        <f t="shared" si="29"/>
        <v>370.94303734623713</v>
      </c>
    </row>
    <row r="55" spans="2:36" x14ac:dyDescent="0.3">
      <c r="B55" s="4">
        <v>46</v>
      </c>
      <c r="C55" s="4">
        <v>246</v>
      </c>
      <c r="D55" s="4">
        <v>258</v>
      </c>
      <c r="E55" s="4"/>
      <c r="F55" s="40">
        <f t="shared" si="1"/>
        <v>0</v>
      </c>
      <c r="G55" s="1">
        <f t="shared" si="7"/>
        <v>25.2</v>
      </c>
      <c r="H55" s="37">
        <f t="shared" si="2"/>
        <v>4.987592496839155E-2</v>
      </c>
      <c r="I55" s="1">
        <v>32</v>
      </c>
      <c r="J55" s="70">
        <f t="shared" si="8"/>
        <v>0</v>
      </c>
      <c r="K55" s="91" t="str">
        <f t="shared" si="9"/>
        <v/>
      </c>
      <c r="L55" s="91" t="str">
        <f t="shared" si="10"/>
        <v/>
      </c>
      <c r="M55" s="95">
        <f t="shared" si="11"/>
        <v>22.392649673353031</v>
      </c>
      <c r="N55" s="99">
        <f t="shared" si="12"/>
        <v>22.392649673353031</v>
      </c>
      <c r="O55" s="122">
        <f t="shared" si="13"/>
        <v>0.47792277318132553</v>
      </c>
      <c r="P55" s="122">
        <f t="shared" si="14"/>
        <v>0.38707113804680471</v>
      </c>
      <c r="Q55" s="132">
        <f t="shared" si="15"/>
        <v>5.9205703872865688E-2</v>
      </c>
      <c r="R55" s="132">
        <f t="shared" si="15"/>
        <v>0.36585846710611408</v>
      </c>
      <c r="S55" s="133">
        <f t="shared" si="15"/>
        <v>0.38627607728576135</v>
      </c>
      <c r="T55" s="134">
        <f t="shared" si="16"/>
        <v>5.9205703872865688E-2</v>
      </c>
      <c r="U55" s="134">
        <f t="shared" si="4"/>
        <v>0.30665276323324842</v>
      </c>
      <c r="V55" s="134">
        <f t="shared" si="5"/>
        <v>2.0417610179647272E-2</v>
      </c>
      <c r="W55" s="122">
        <f t="shared" si="17"/>
        <v>7.9506076104335355E-4</v>
      </c>
      <c r="X55" s="136">
        <f t="shared" si="18"/>
        <v>0</v>
      </c>
      <c r="Y55" s="38">
        <f t="shared" si="6"/>
        <v>21.499165138059549</v>
      </c>
      <c r="Z55" s="38">
        <f t="shared" si="19"/>
        <v>0</v>
      </c>
      <c r="AA55" s="136">
        <f t="shared" si="20"/>
        <v>0.36585846710611408</v>
      </c>
      <c r="AB55" s="136">
        <f t="shared" si="21"/>
        <v>2.0417610179647272E-2</v>
      </c>
      <c r="AC55" s="170">
        <f t="shared" si="22"/>
        <v>7.9506076104335355E-4</v>
      </c>
      <c r="AD55" s="38">
        <f t="shared" si="23"/>
        <v>220.13986685458201</v>
      </c>
      <c r="AE55" s="38">
        <f t="shared" si="24"/>
        <v>37.431070477131655</v>
      </c>
      <c r="AF55" s="38">
        <f t="shared" si="25"/>
        <v>23.494671792510637</v>
      </c>
      <c r="AG55" s="38">
        <f t="shared" si="26"/>
        <v>15.997766663584743</v>
      </c>
      <c r="AH55" s="38">
        <f t="shared" si="27"/>
        <v>297.06337578780904</v>
      </c>
      <c r="AI55" s="38">
        <f t="shared" si="28"/>
        <v>73.879661558428111</v>
      </c>
      <c r="AJ55" s="38">
        <f t="shared" si="29"/>
        <v>370.94303734623713</v>
      </c>
    </row>
    <row r="56" spans="2:36" x14ac:dyDescent="0.3">
      <c r="B56" s="3">
        <v>15</v>
      </c>
      <c r="C56" s="4">
        <v>246</v>
      </c>
      <c r="D56" s="4">
        <v>254</v>
      </c>
      <c r="E56" s="4"/>
      <c r="F56" s="40">
        <f t="shared" ref="F56:F87" si="30">IF(C56=0,1,0)</f>
        <v>0</v>
      </c>
      <c r="G56" s="1">
        <f t="shared" ref="G56:G87" si="31">(C56+D56)/20</f>
        <v>25</v>
      </c>
      <c r="H56" s="37">
        <f t="shared" ref="H56:H87" si="32">PI()/40000*G56^2</f>
        <v>4.9087385212340517E-2</v>
      </c>
      <c r="I56" s="1">
        <v>33</v>
      </c>
      <c r="J56" s="70">
        <f t="shared" si="8"/>
        <v>0</v>
      </c>
      <c r="K56" s="91" t="str">
        <f t="shared" si="9"/>
        <v/>
      </c>
      <c r="L56" s="91" t="str">
        <f t="shared" si="10"/>
        <v/>
      </c>
      <c r="M56" s="95">
        <f t="shared" si="11"/>
        <v>22.335542073038813</v>
      </c>
      <c r="N56" s="99">
        <f t="shared" si="12"/>
        <v>22.335542073038813</v>
      </c>
      <c r="O56" s="122">
        <f t="shared" si="13"/>
        <v>0.46975966127487989</v>
      </c>
      <c r="P56" s="122">
        <f t="shared" si="14"/>
        <v>0.38048590419153838</v>
      </c>
      <c r="Q56" s="132">
        <f t="shared" si="15"/>
        <v>5.4416587753321873E-2</v>
      </c>
      <c r="R56" s="132">
        <f t="shared" si="15"/>
        <v>0.35890950557412299</v>
      </c>
      <c r="S56" s="133">
        <f t="shared" si="15"/>
        <v>0.37967643238184828</v>
      </c>
      <c r="T56" s="134">
        <f t="shared" si="16"/>
        <v>5.4416587753321873E-2</v>
      </c>
      <c r="U56" s="134">
        <f t="shared" ref="U56:U87" si="33">R56-Q56</f>
        <v>0.30449291782080112</v>
      </c>
      <c r="V56" s="134">
        <f t="shared" ref="V56:V87" si="34">S56-R56</f>
        <v>2.0766926807725294E-2</v>
      </c>
      <c r="W56" s="122">
        <f t="shared" ref="W56:W87" si="35">P56-S56</f>
        <v>8.094718096900988E-4</v>
      </c>
      <c r="X56" s="136">
        <f t="shared" si="18"/>
        <v>0</v>
      </c>
      <c r="Y56" s="38">
        <f t="shared" ref="Y56:Y87" si="36">G56*($AF$18+$AG$18*LN(1-(3.1/N56)^(1/$AH$18)*(1-EXP($AI$18/$AJ$18))))</f>
        <v>21.320833508893756</v>
      </c>
      <c r="Z56" s="38">
        <f t="shared" si="19"/>
        <v>0</v>
      </c>
      <c r="AA56" s="136">
        <f t="shared" si="20"/>
        <v>0.35890950557412299</v>
      </c>
      <c r="AB56" s="136">
        <f t="shared" si="21"/>
        <v>2.0766926807725294E-2</v>
      </c>
      <c r="AC56" s="170">
        <f t="shared" si="22"/>
        <v>8.094718096900988E-4</v>
      </c>
      <c r="AD56" s="38">
        <f t="shared" si="23"/>
        <v>216.28105186868035</v>
      </c>
      <c r="AE56" s="38">
        <f t="shared" si="24"/>
        <v>36.626444225743242</v>
      </c>
      <c r="AF56" s="38">
        <f t="shared" si="25"/>
        <v>23.076697838225968</v>
      </c>
      <c r="AG56" s="38">
        <f t="shared" si="26"/>
        <v>15.776497654254836</v>
      </c>
      <c r="AH56" s="38">
        <f t="shared" si="27"/>
        <v>291.76069158690439</v>
      </c>
      <c r="AI56" s="38">
        <f t="shared" si="28"/>
        <v>72.560883997663126</v>
      </c>
      <c r="AJ56" s="38">
        <f t="shared" si="29"/>
        <v>364.32157558456754</v>
      </c>
    </row>
    <row r="57" spans="2:36" x14ac:dyDescent="0.3">
      <c r="B57" s="3">
        <v>7</v>
      </c>
      <c r="C57" s="4">
        <v>254</v>
      </c>
      <c r="D57" s="4">
        <v>241</v>
      </c>
      <c r="E57" s="4"/>
      <c r="F57" s="40">
        <f t="shared" si="30"/>
        <v>0</v>
      </c>
      <c r="G57" s="1">
        <f t="shared" si="31"/>
        <v>24.75</v>
      </c>
      <c r="H57" s="37">
        <f t="shared" si="32"/>
        <v>4.8110546246614941E-2</v>
      </c>
      <c r="I57" s="1">
        <v>34</v>
      </c>
      <c r="J57" s="70">
        <f t="shared" si="8"/>
        <v>0</v>
      </c>
      <c r="K57" s="91" t="str">
        <f t="shared" si="9"/>
        <v/>
      </c>
      <c r="L57" s="91" t="str">
        <f t="shared" si="10"/>
        <v/>
      </c>
      <c r="M57" s="95">
        <f t="shared" si="11"/>
        <v>22.263070260953242</v>
      </c>
      <c r="N57" s="99">
        <f t="shared" si="12"/>
        <v>22.263070260953242</v>
      </c>
      <c r="O57" s="122">
        <f t="shared" si="13"/>
        <v>0.45964764447560447</v>
      </c>
      <c r="P57" s="122">
        <f t="shared" si="14"/>
        <v>0.37232686298310186</v>
      </c>
      <c r="Q57" s="132">
        <f t="shared" si="15"/>
        <v>4.8754900114023315E-2</v>
      </c>
      <c r="R57" s="132">
        <f t="shared" si="15"/>
        <v>0.35028464221469002</v>
      </c>
      <c r="S57" s="133">
        <f t="shared" si="15"/>
        <v>0.37149887073895926</v>
      </c>
      <c r="T57" s="134">
        <f t="shared" si="16"/>
        <v>4.8754900114023315E-2</v>
      </c>
      <c r="U57" s="134">
        <f t="shared" si="33"/>
        <v>0.30152974210066669</v>
      </c>
      <c r="V57" s="134">
        <f t="shared" si="34"/>
        <v>2.1214228524269241E-2</v>
      </c>
      <c r="W57" s="122">
        <f t="shared" si="35"/>
        <v>8.2799224414259465E-4</v>
      </c>
      <c r="X57" s="136">
        <f t="shared" si="18"/>
        <v>0</v>
      </c>
      <c r="Y57" s="38">
        <f t="shared" si="36"/>
        <v>21.097900264628354</v>
      </c>
      <c r="Z57" s="38">
        <f t="shared" si="19"/>
        <v>0</v>
      </c>
      <c r="AA57" s="136">
        <f t="shared" si="20"/>
        <v>0.35028464221469002</v>
      </c>
      <c r="AB57" s="136">
        <f t="shared" si="21"/>
        <v>2.1214228524269241E-2</v>
      </c>
      <c r="AC57" s="170">
        <f t="shared" si="22"/>
        <v>8.2799224414259465E-4</v>
      </c>
      <c r="AD57" s="38">
        <f t="shared" si="23"/>
        <v>211.50175829866234</v>
      </c>
      <c r="AE57" s="38">
        <f t="shared" si="24"/>
        <v>35.635053693993179</v>
      </c>
      <c r="AF57" s="38">
        <f t="shared" si="25"/>
        <v>22.560650238330926</v>
      </c>
      <c r="AG57" s="38">
        <f t="shared" si="26"/>
        <v>15.502089778971788</v>
      </c>
      <c r="AH57" s="38">
        <f t="shared" si="27"/>
        <v>285.19955200995821</v>
      </c>
      <c r="AI57" s="38">
        <f t="shared" si="28"/>
        <v>70.929128584876608</v>
      </c>
      <c r="AJ57" s="38">
        <f t="shared" si="29"/>
        <v>356.1286805948348</v>
      </c>
    </row>
    <row r="58" spans="2:36" x14ac:dyDescent="0.3">
      <c r="B58" s="4">
        <v>44</v>
      </c>
      <c r="C58" s="4">
        <v>248</v>
      </c>
      <c r="D58" s="4">
        <v>247</v>
      </c>
      <c r="E58" s="4"/>
      <c r="F58" s="40">
        <f t="shared" si="30"/>
        <v>0</v>
      </c>
      <c r="G58" s="1">
        <f t="shared" si="31"/>
        <v>24.75</v>
      </c>
      <c r="H58" s="37">
        <f t="shared" si="32"/>
        <v>4.8110546246614941E-2</v>
      </c>
      <c r="I58" s="1">
        <v>35</v>
      </c>
      <c r="J58" s="70">
        <f t="shared" si="8"/>
        <v>0</v>
      </c>
      <c r="K58" s="91" t="str">
        <f t="shared" si="9"/>
        <v/>
      </c>
      <c r="L58" s="91" t="str">
        <f t="shared" si="10"/>
        <v/>
      </c>
      <c r="M58" s="95">
        <f t="shared" si="11"/>
        <v>22.263070260953242</v>
      </c>
      <c r="N58" s="99">
        <f t="shared" si="12"/>
        <v>22.263070260953242</v>
      </c>
      <c r="O58" s="122">
        <f t="shared" si="13"/>
        <v>0.45964764447560447</v>
      </c>
      <c r="P58" s="122">
        <f t="shared" si="14"/>
        <v>0.37232686298310186</v>
      </c>
      <c r="Q58" s="132">
        <f t="shared" si="15"/>
        <v>4.8754900114023315E-2</v>
      </c>
      <c r="R58" s="132">
        <f t="shared" si="15"/>
        <v>0.35028464221469002</v>
      </c>
      <c r="S58" s="133">
        <f t="shared" si="15"/>
        <v>0.37149887073895926</v>
      </c>
      <c r="T58" s="134">
        <f t="shared" si="16"/>
        <v>4.8754900114023315E-2</v>
      </c>
      <c r="U58" s="134">
        <f t="shared" si="33"/>
        <v>0.30152974210066669</v>
      </c>
      <c r="V58" s="134">
        <f t="shared" si="34"/>
        <v>2.1214228524269241E-2</v>
      </c>
      <c r="W58" s="122">
        <f t="shared" si="35"/>
        <v>8.2799224414259465E-4</v>
      </c>
      <c r="X58" s="136">
        <f t="shared" si="18"/>
        <v>0</v>
      </c>
      <c r="Y58" s="38">
        <f t="shared" si="36"/>
        <v>21.097900264628354</v>
      </c>
      <c r="Z58" s="38">
        <f t="shared" si="19"/>
        <v>0</v>
      </c>
      <c r="AA58" s="136">
        <f t="shared" si="20"/>
        <v>0.35028464221469002</v>
      </c>
      <c r="AB58" s="136">
        <f t="shared" si="21"/>
        <v>2.1214228524269241E-2</v>
      </c>
      <c r="AC58" s="170">
        <f t="shared" si="22"/>
        <v>8.2799224414259465E-4</v>
      </c>
      <c r="AD58" s="38">
        <f t="shared" si="23"/>
        <v>211.50175829866234</v>
      </c>
      <c r="AE58" s="38">
        <f t="shared" si="24"/>
        <v>35.635053693993179</v>
      </c>
      <c r="AF58" s="38">
        <f t="shared" si="25"/>
        <v>22.560650238330926</v>
      </c>
      <c r="AG58" s="38">
        <f t="shared" si="26"/>
        <v>15.502089778971788</v>
      </c>
      <c r="AH58" s="38">
        <f t="shared" si="27"/>
        <v>285.19955200995821</v>
      </c>
      <c r="AI58" s="38">
        <f t="shared" si="28"/>
        <v>70.929128584876608</v>
      </c>
      <c r="AJ58" s="38">
        <f t="shared" si="29"/>
        <v>356.1286805948348</v>
      </c>
    </row>
    <row r="59" spans="2:36" x14ac:dyDescent="0.3">
      <c r="B59" s="3">
        <v>18</v>
      </c>
      <c r="C59" s="4">
        <v>249</v>
      </c>
      <c r="D59" s="4">
        <v>245</v>
      </c>
      <c r="E59" s="4"/>
      <c r="F59" s="40">
        <f t="shared" si="30"/>
        <v>0</v>
      </c>
      <c r="G59" s="1">
        <f t="shared" si="31"/>
        <v>24.7</v>
      </c>
      <c r="H59" s="37">
        <f t="shared" si="32"/>
        <v>4.7916356550714918E-2</v>
      </c>
      <c r="I59" s="1">
        <v>36</v>
      </c>
      <c r="J59" s="70">
        <f t="shared" si="8"/>
        <v>0</v>
      </c>
      <c r="K59" s="91" t="str">
        <f t="shared" si="9"/>
        <v/>
      </c>
      <c r="L59" s="91" t="str">
        <f t="shared" si="10"/>
        <v/>
      </c>
      <c r="M59" s="95">
        <f t="shared" si="11"/>
        <v>22.248428496701887</v>
      </c>
      <c r="N59" s="99">
        <f t="shared" si="12"/>
        <v>22.248428496701887</v>
      </c>
      <c r="O59" s="122">
        <f t="shared" si="13"/>
        <v>0.45763750769722511</v>
      </c>
      <c r="P59" s="122">
        <f t="shared" si="14"/>
        <v>0.37070473780294905</v>
      </c>
      <c r="Q59" s="132">
        <f t="shared" si="15"/>
        <v>4.7665973968912888E-2</v>
      </c>
      <c r="R59" s="132">
        <f t="shared" si="15"/>
        <v>0.34856783647939915</v>
      </c>
      <c r="S59" s="133">
        <f t="shared" si="15"/>
        <v>0.36987297215343329</v>
      </c>
      <c r="T59" s="134">
        <f t="shared" si="16"/>
        <v>4.7665973968912888E-2</v>
      </c>
      <c r="U59" s="134">
        <f t="shared" si="33"/>
        <v>0.30090186251048628</v>
      </c>
      <c r="V59" s="134">
        <f t="shared" si="34"/>
        <v>2.1305135674034137E-2</v>
      </c>
      <c r="W59" s="122">
        <f t="shared" si="35"/>
        <v>8.3176564951575882E-4</v>
      </c>
      <c r="X59" s="136">
        <f t="shared" si="18"/>
        <v>0</v>
      </c>
      <c r="Y59" s="38">
        <f t="shared" si="36"/>
        <v>21.053311065552307</v>
      </c>
      <c r="Z59" s="38">
        <f t="shared" si="19"/>
        <v>0</v>
      </c>
      <c r="AA59" s="136">
        <f t="shared" si="20"/>
        <v>0.34856783647939915</v>
      </c>
      <c r="AB59" s="136">
        <f t="shared" si="21"/>
        <v>2.1305135674034137E-2</v>
      </c>
      <c r="AC59" s="170">
        <f t="shared" si="22"/>
        <v>8.3176564951575882E-4</v>
      </c>
      <c r="AD59" s="38">
        <f t="shared" si="23"/>
        <v>210.55180624400251</v>
      </c>
      <c r="AE59" s="38">
        <f t="shared" si="24"/>
        <v>35.438688755997717</v>
      </c>
      <c r="AF59" s="38">
        <f t="shared" si="25"/>
        <v>22.458293991873578</v>
      </c>
      <c r="AG59" s="38">
        <f t="shared" si="26"/>
        <v>15.447498713632488</v>
      </c>
      <c r="AH59" s="38">
        <f t="shared" si="27"/>
        <v>283.89628770550632</v>
      </c>
      <c r="AI59" s="38">
        <f t="shared" si="28"/>
        <v>70.605006752359429</v>
      </c>
      <c r="AJ59" s="38">
        <f t="shared" si="29"/>
        <v>354.50129445786575</v>
      </c>
    </row>
    <row r="60" spans="2:36" x14ac:dyDescent="0.3">
      <c r="B60" s="3">
        <v>30</v>
      </c>
      <c r="C60" s="4">
        <v>239</v>
      </c>
      <c r="D60" s="4">
        <v>251</v>
      </c>
      <c r="E60" s="4"/>
      <c r="F60" s="40">
        <f t="shared" si="30"/>
        <v>0</v>
      </c>
      <c r="G60" s="1">
        <f t="shared" si="31"/>
        <v>24.5</v>
      </c>
      <c r="H60" s="37">
        <f t="shared" si="32"/>
        <v>4.7143524757931835E-2</v>
      </c>
      <c r="I60" s="1">
        <v>37</v>
      </c>
      <c r="J60" s="70">
        <f t="shared" si="8"/>
        <v>0</v>
      </c>
      <c r="K60" s="91" t="str">
        <f t="shared" si="9"/>
        <v/>
      </c>
      <c r="L60" s="91" t="str">
        <f t="shared" si="10"/>
        <v/>
      </c>
      <c r="M60" s="95">
        <f t="shared" si="11"/>
        <v>22.189361822570657</v>
      </c>
      <c r="N60" s="99">
        <f t="shared" si="12"/>
        <v>22.189361822570657</v>
      </c>
      <c r="O60" s="122">
        <f t="shared" si="13"/>
        <v>0.44963790578482576</v>
      </c>
      <c r="P60" s="122">
        <f t="shared" si="14"/>
        <v>0.36424856858839827</v>
      </c>
      <c r="Q60" s="132">
        <f t="shared" si="15"/>
        <v>4.3455086890442071E-2</v>
      </c>
      <c r="R60" s="132">
        <f t="shared" si="15"/>
        <v>0.34172779791710095</v>
      </c>
      <c r="S60" s="133">
        <f t="shared" si="15"/>
        <v>0.36340147216557966</v>
      </c>
      <c r="T60" s="134">
        <f t="shared" si="16"/>
        <v>4.3455086890442071E-2</v>
      </c>
      <c r="U60" s="134">
        <f t="shared" si="33"/>
        <v>0.29827271102665887</v>
      </c>
      <c r="V60" s="134">
        <f t="shared" si="34"/>
        <v>2.1673674248478714E-2</v>
      </c>
      <c r="W60" s="122">
        <f t="shared" si="35"/>
        <v>8.4709642281860509E-4</v>
      </c>
      <c r="X60" s="136">
        <f t="shared" si="18"/>
        <v>0</v>
      </c>
      <c r="Y60" s="38">
        <f t="shared" si="36"/>
        <v>20.874945576450735</v>
      </c>
      <c r="Z60" s="38">
        <f t="shared" si="19"/>
        <v>0</v>
      </c>
      <c r="AA60" s="136">
        <f t="shared" si="20"/>
        <v>0.34172779791710095</v>
      </c>
      <c r="AB60" s="136">
        <f t="shared" si="21"/>
        <v>2.1673674248478714E-2</v>
      </c>
      <c r="AC60" s="170">
        <f t="shared" si="22"/>
        <v>8.4709642281860509E-4</v>
      </c>
      <c r="AD60" s="38">
        <f t="shared" si="23"/>
        <v>206.77172040114573</v>
      </c>
      <c r="AE60" s="38">
        <f t="shared" si="24"/>
        <v>34.659586786497606</v>
      </c>
      <c r="AF60" s="38">
        <f t="shared" si="25"/>
        <v>22.051704206084612</v>
      </c>
      <c r="AG60" s="38">
        <f t="shared" si="26"/>
        <v>15.230103014573343</v>
      </c>
      <c r="AH60" s="38">
        <f t="shared" si="27"/>
        <v>278.71311440830129</v>
      </c>
      <c r="AI60" s="38">
        <f t="shared" si="28"/>
        <v>69.315951553344533</v>
      </c>
      <c r="AJ60" s="38">
        <f t="shared" si="29"/>
        <v>348.02906596164581</v>
      </c>
    </row>
    <row r="61" spans="2:36" x14ac:dyDescent="0.3">
      <c r="B61" s="3">
        <v>35</v>
      </c>
      <c r="C61" s="4">
        <v>241</v>
      </c>
      <c r="D61" s="4">
        <v>244</v>
      </c>
      <c r="E61" s="4"/>
      <c r="F61" s="40">
        <f t="shared" si="30"/>
        <v>0</v>
      </c>
      <c r="G61" s="1">
        <f t="shared" si="31"/>
        <v>24.25</v>
      </c>
      <c r="H61" s="37">
        <f t="shared" si="32"/>
        <v>4.6186320746291191E-2</v>
      </c>
      <c r="I61" s="1">
        <v>38</v>
      </c>
      <c r="J61" s="70">
        <f t="shared" si="8"/>
        <v>0</v>
      </c>
      <c r="K61" s="91" t="str">
        <f t="shared" si="9"/>
        <v/>
      </c>
      <c r="L61" s="91" t="str">
        <f t="shared" si="10"/>
        <v/>
      </c>
      <c r="M61" s="95">
        <f t="shared" si="11"/>
        <v>22.114385249592225</v>
      </c>
      <c r="N61" s="99">
        <f t="shared" si="12"/>
        <v>22.114385249592225</v>
      </c>
      <c r="O61" s="122">
        <f t="shared" si="13"/>
        <v>0.43973065859488336</v>
      </c>
      <c r="P61" s="122">
        <f t="shared" si="14"/>
        <v>0.35625122705638551</v>
      </c>
      <c r="Q61" s="132">
        <f t="shared" si="15"/>
        <v>3.8516863076581601E-2</v>
      </c>
      <c r="R61" s="132">
        <f t="shared" si="15"/>
        <v>0.33323882706164548</v>
      </c>
      <c r="S61" s="133">
        <f t="shared" si="15"/>
        <v>0.3553844193837517</v>
      </c>
      <c r="T61" s="134">
        <f t="shared" si="16"/>
        <v>3.8516863076581601E-2</v>
      </c>
      <c r="U61" s="134">
        <f t="shared" si="33"/>
        <v>0.2947219639850639</v>
      </c>
      <c r="V61" s="134">
        <f t="shared" si="34"/>
        <v>2.2145592322106222E-2</v>
      </c>
      <c r="W61" s="122">
        <f t="shared" si="35"/>
        <v>8.6680767263380698E-4</v>
      </c>
      <c r="X61" s="136">
        <f t="shared" si="18"/>
        <v>0</v>
      </c>
      <c r="Y61" s="38">
        <f t="shared" si="36"/>
        <v>20.651968709335481</v>
      </c>
      <c r="Z61" s="38">
        <f t="shared" si="19"/>
        <v>0</v>
      </c>
      <c r="AA61" s="136">
        <f t="shared" si="20"/>
        <v>0.33323882706164548</v>
      </c>
      <c r="AB61" s="136">
        <f t="shared" si="21"/>
        <v>2.2145592322106222E-2</v>
      </c>
      <c r="AC61" s="170">
        <f t="shared" si="22"/>
        <v>8.6680767263380698E-4</v>
      </c>
      <c r="AD61" s="38">
        <f t="shared" si="23"/>
        <v>202.09106451346756</v>
      </c>
      <c r="AE61" s="38">
        <f t="shared" si="24"/>
        <v>33.699970330468446</v>
      </c>
      <c r="AF61" s="38">
        <f t="shared" si="25"/>
        <v>21.549825757982532</v>
      </c>
      <c r="AG61" s="38">
        <f t="shared" si="26"/>
        <v>14.960538104612233</v>
      </c>
      <c r="AH61" s="38">
        <f t="shared" si="27"/>
        <v>272.30139870653079</v>
      </c>
      <c r="AI61" s="38">
        <f t="shared" si="28"/>
        <v>67.721357858314207</v>
      </c>
      <c r="AJ61" s="38">
        <f t="shared" si="29"/>
        <v>340.022756564845</v>
      </c>
    </row>
    <row r="62" spans="2:36" x14ac:dyDescent="0.3">
      <c r="B62" s="4">
        <v>49</v>
      </c>
      <c r="C62" s="4">
        <v>249</v>
      </c>
      <c r="D62" s="4">
        <v>236</v>
      </c>
      <c r="E62" s="4"/>
      <c r="F62" s="40">
        <f t="shared" si="30"/>
        <v>0</v>
      </c>
      <c r="G62" s="1">
        <f t="shared" si="31"/>
        <v>24.25</v>
      </c>
      <c r="H62" s="37">
        <f t="shared" si="32"/>
        <v>4.6186320746291191E-2</v>
      </c>
      <c r="I62" s="1">
        <v>39</v>
      </c>
      <c r="J62" s="70">
        <f t="shared" si="8"/>
        <v>0</v>
      </c>
      <c r="K62" s="91" t="str">
        <f t="shared" si="9"/>
        <v/>
      </c>
      <c r="L62" s="91" t="str">
        <f t="shared" si="10"/>
        <v/>
      </c>
      <c r="M62" s="95">
        <f t="shared" si="11"/>
        <v>22.114385249592225</v>
      </c>
      <c r="N62" s="99">
        <f t="shared" si="12"/>
        <v>22.114385249592225</v>
      </c>
      <c r="O62" s="122">
        <f t="shared" si="13"/>
        <v>0.43973065859488336</v>
      </c>
      <c r="P62" s="122">
        <f t="shared" si="14"/>
        <v>0.35625122705638551</v>
      </c>
      <c r="Q62" s="132">
        <f t="shared" si="15"/>
        <v>3.8516863076581601E-2</v>
      </c>
      <c r="R62" s="132">
        <f t="shared" si="15"/>
        <v>0.33323882706164548</v>
      </c>
      <c r="S62" s="133">
        <f t="shared" si="15"/>
        <v>0.3553844193837517</v>
      </c>
      <c r="T62" s="134">
        <f t="shared" si="16"/>
        <v>3.8516863076581601E-2</v>
      </c>
      <c r="U62" s="134">
        <f t="shared" si="33"/>
        <v>0.2947219639850639</v>
      </c>
      <c r="V62" s="134">
        <f t="shared" si="34"/>
        <v>2.2145592322106222E-2</v>
      </c>
      <c r="W62" s="122">
        <f t="shared" si="35"/>
        <v>8.6680767263380698E-4</v>
      </c>
      <c r="X62" s="136">
        <f t="shared" si="18"/>
        <v>0</v>
      </c>
      <c r="Y62" s="38">
        <f t="shared" si="36"/>
        <v>20.651968709335481</v>
      </c>
      <c r="Z62" s="38">
        <f t="shared" si="19"/>
        <v>0</v>
      </c>
      <c r="AA62" s="136">
        <f t="shared" si="20"/>
        <v>0.33323882706164548</v>
      </c>
      <c r="AB62" s="136">
        <f t="shared" si="21"/>
        <v>2.2145592322106222E-2</v>
      </c>
      <c r="AC62" s="170">
        <f t="shared" si="22"/>
        <v>8.6680767263380698E-4</v>
      </c>
      <c r="AD62" s="38">
        <f t="shared" si="23"/>
        <v>202.09106451346756</v>
      </c>
      <c r="AE62" s="38">
        <f t="shared" si="24"/>
        <v>33.699970330468446</v>
      </c>
      <c r="AF62" s="38">
        <f t="shared" si="25"/>
        <v>21.549825757982532</v>
      </c>
      <c r="AG62" s="38">
        <f t="shared" si="26"/>
        <v>14.960538104612233</v>
      </c>
      <c r="AH62" s="38">
        <f t="shared" si="27"/>
        <v>272.30139870653079</v>
      </c>
      <c r="AI62" s="38">
        <f t="shared" si="28"/>
        <v>67.721357858314207</v>
      </c>
      <c r="AJ62" s="38">
        <f t="shared" si="29"/>
        <v>340.022756564845</v>
      </c>
    </row>
    <row r="63" spans="2:36" x14ac:dyDescent="0.3">
      <c r="B63" s="4">
        <v>74</v>
      </c>
      <c r="C63" s="4">
        <v>244</v>
      </c>
      <c r="D63" s="4">
        <v>236</v>
      </c>
      <c r="E63" s="4"/>
      <c r="F63" s="40">
        <f t="shared" si="30"/>
        <v>0</v>
      </c>
      <c r="G63" s="1">
        <f t="shared" si="31"/>
        <v>24</v>
      </c>
      <c r="H63" s="37">
        <f t="shared" si="32"/>
        <v>4.5238934211693019E-2</v>
      </c>
      <c r="I63" s="1">
        <v>40</v>
      </c>
      <c r="J63" s="70">
        <f t="shared" si="8"/>
        <v>0</v>
      </c>
      <c r="K63" s="91" t="str">
        <f t="shared" si="9"/>
        <v/>
      </c>
      <c r="L63" s="91" t="str">
        <f t="shared" si="10"/>
        <v/>
      </c>
      <c r="M63" s="95">
        <f t="shared" si="11"/>
        <v>22.038107971953838</v>
      </c>
      <c r="N63" s="99">
        <f t="shared" si="12"/>
        <v>22.038107971953838</v>
      </c>
      <c r="O63" s="122">
        <f t="shared" si="13"/>
        <v>0.4299261188956508</v>
      </c>
      <c r="P63" s="122">
        <f t="shared" si="14"/>
        <v>0.34833504706571172</v>
      </c>
      <c r="Q63" s="132">
        <f t="shared" si="15"/>
        <v>3.3938309695973549E-2</v>
      </c>
      <c r="R63" s="132">
        <f t="shared" si="15"/>
        <v>0.32481758395328114</v>
      </c>
      <c r="S63" s="133">
        <f t="shared" si="15"/>
        <v>0.34744789662600095</v>
      </c>
      <c r="T63" s="134">
        <f t="shared" si="16"/>
        <v>3.3938309695973549E-2</v>
      </c>
      <c r="U63" s="134">
        <f t="shared" si="33"/>
        <v>0.29087927425730759</v>
      </c>
      <c r="V63" s="134">
        <f t="shared" si="34"/>
        <v>2.263031267271981E-2</v>
      </c>
      <c r="W63" s="122">
        <f t="shared" si="35"/>
        <v>8.8715043971077101E-4</v>
      </c>
      <c r="X63" s="136">
        <f t="shared" si="18"/>
        <v>0</v>
      </c>
      <c r="Y63" s="38">
        <f t="shared" si="36"/>
        <v>20.428968894251177</v>
      </c>
      <c r="Z63" s="38">
        <f t="shared" si="19"/>
        <v>0</v>
      </c>
      <c r="AA63" s="136">
        <f t="shared" si="20"/>
        <v>0.32481758395328114</v>
      </c>
      <c r="AB63" s="136">
        <f t="shared" si="21"/>
        <v>2.263031267271981E-2</v>
      </c>
      <c r="AC63" s="170">
        <f t="shared" si="22"/>
        <v>8.8715043971077101E-4</v>
      </c>
      <c r="AD63" s="38">
        <f t="shared" si="23"/>
        <v>197.45991847510797</v>
      </c>
      <c r="AE63" s="38">
        <f t="shared" si="24"/>
        <v>32.756130585222998</v>
      </c>
      <c r="AF63" s="38">
        <f t="shared" si="25"/>
        <v>21.05498076590337</v>
      </c>
      <c r="AG63" s="38">
        <f t="shared" si="26"/>
        <v>14.69339580720524</v>
      </c>
      <c r="AH63" s="38">
        <f t="shared" si="27"/>
        <v>265.96442563343959</v>
      </c>
      <c r="AI63" s="38">
        <f t="shared" si="28"/>
        <v>66.145352655036433</v>
      </c>
      <c r="AJ63" s="38">
        <f t="shared" si="29"/>
        <v>332.10977828847604</v>
      </c>
    </row>
    <row r="64" spans="2:36" x14ac:dyDescent="0.3">
      <c r="B64" s="4">
        <v>75</v>
      </c>
      <c r="C64" s="4">
        <v>236</v>
      </c>
      <c r="D64" s="4">
        <v>240</v>
      </c>
      <c r="E64" s="4"/>
      <c r="F64" s="40">
        <f t="shared" si="30"/>
        <v>0</v>
      </c>
      <c r="G64" s="1">
        <f t="shared" si="31"/>
        <v>23.8</v>
      </c>
      <c r="H64" s="37">
        <f t="shared" si="32"/>
        <v>4.4488093567485065E-2</v>
      </c>
      <c r="I64" s="1">
        <v>41</v>
      </c>
      <c r="J64" s="70">
        <f t="shared" si="8"/>
        <v>0</v>
      </c>
      <c r="K64" s="91" t="str">
        <f t="shared" si="9"/>
        <v/>
      </c>
      <c r="L64" s="91" t="str">
        <f t="shared" si="10"/>
        <v/>
      </c>
      <c r="M64" s="95">
        <f t="shared" si="11"/>
        <v>21.976127050572209</v>
      </c>
      <c r="N64" s="99">
        <f t="shared" si="12"/>
        <v>21.976127050572209</v>
      </c>
      <c r="O64" s="122">
        <f t="shared" si="13"/>
        <v>0.42215658336329115</v>
      </c>
      <c r="P64" s="122">
        <f t="shared" si="14"/>
        <v>0.34206068132566919</v>
      </c>
      <c r="Q64" s="132">
        <f t="shared" si="15"/>
        <v>3.053203736431238E-2</v>
      </c>
      <c r="R64" s="132">
        <f t="shared" si="15"/>
        <v>0.31812925629503752</v>
      </c>
      <c r="S64" s="133">
        <f t="shared" si="15"/>
        <v>0.34115678479981831</v>
      </c>
      <c r="T64" s="134">
        <f t="shared" si="16"/>
        <v>3.053203736431238E-2</v>
      </c>
      <c r="U64" s="134">
        <f t="shared" si="33"/>
        <v>0.28759721893072515</v>
      </c>
      <c r="V64" s="134">
        <f t="shared" si="34"/>
        <v>2.3027528504780792E-2</v>
      </c>
      <c r="W64" s="122">
        <f t="shared" si="35"/>
        <v>9.0389652585087799E-4</v>
      </c>
      <c r="X64" s="136">
        <f t="shared" si="18"/>
        <v>0</v>
      </c>
      <c r="Y64" s="38">
        <f t="shared" si="36"/>
        <v>20.250551979929995</v>
      </c>
      <c r="Z64" s="38">
        <f t="shared" si="19"/>
        <v>0</v>
      </c>
      <c r="AA64" s="136">
        <f t="shared" si="20"/>
        <v>0.31812925629503752</v>
      </c>
      <c r="AB64" s="136">
        <f t="shared" si="21"/>
        <v>2.3027528504780792E-2</v>
      </c>
      <c r="AC64" s="170">
        <f t="shared" si="22"/>
        <v>9.0389652585087799E-4</v>
      </c>
      <c r="AD64" s="38">
        <f t="shared" si="23"/>
        <v>193.79073561770721</v>
      </c>
      <c r="AE64" s="38">
        <f t="shared" si="24"/>
        <v>32.012368097338474</v>
      </c>
      <c r="AF64" s="38">
        <f t="shared" si="25"/>
        <v>20.664145833069664</v>
      </c>
      <c r="AG64" s="38">
        <f t="shared" si="26"/>
        <v>14.481426769455112</v>
      </c>
      <c r="AH64" s="38">
        <f t="shared" si="27"/>
        <v>260.94867631757046</v>
      </c>
      <c r="AI64" s="38">
        <f t="shared" si="28"/>
        <v>64.897935800179781</v>
      </c>
      <c r="AJ64" s="38">
        <f t="shared" si="29"/>
        <v>325.84661211775023</v>
      </c>
    </row>
    <row r="65" spans="2:36" x14ac:dyDescent="0.3">
      <c r="B65" s="4">
        <v>65</v>
      </c>
      <c r="C65" s="4">
        <v>240</v>
      </c>
      <c r="D65" s="4">
        <v>235</v>
      </c>
      <c r="E65" s="4"/>
      <c r="F65" s="40">
        <f t="shared" si="30"/>
        <v>0</v>
      </c>
      <c r="G65" s="1">
        <f t="shared" si="31"/>
        <v>23.75</v>
      </c>
      <c r="H65" s="37">
        <f t="shared" si="32"/>
        <v>4.4301365154137316E-2</v>
      </c>
      <c r="I65" s="1">
        <v>42</v>
      </c>
      <c r="J65" s="70">
        <f t="shared" si="8"/>
        <v>0</v>
      </c>
      <c r="K65" s="91" t="str">
        <f t="shared" si="9"/>
        <v/>
      </c>
      <c r="L65" s="91" t="str">
        <f t="shared" si="10"/>
        <v/>
      </c>
      <c r="M65" s="95">
        <f t="shared" si="11"/>
        <v>21.96049631369673</v>
      </c>
      <c r="N65" s="99">
        <f t="shared" si="12"/>
        <v>21.96049631369673</v>
      </c>
      <c r="O65" s="122">
        <f t="shared" si="13"/>
        <v>0.42022450532393263</v>
      </c>
      <c r="P65" s="122">
        <f t="shared" si="14"/>
        <v>0.34050023997677981</v>
      </c>
      <c r="Q65" s="132">
        <f t="shared" si="15"/>
        <v>2.9715777067763481E-2</v>
      </c>
      <c r="R65" s="132">
        <f t="shared" si="15"/>
        <v>0.3164639241439256</v>
      </c>
      <c r="S65" s="133">
        <f t="shared" si="15"/>
        <v>0.33959208962567483</v>
      </c>
      <c r="T65" s="134">
        <f t="shared" si="16"/>
        <v>2.9715777067763481E-2</v>
      </c>
      <c r="U65" s="134">
        <f t="shared" si="33"/>
        <v>0.28674814707616214</v>
      </c>
      <c r="V65" s="134">
        <f t="shared" si="34"/>
        <v>2.312816548174923E-2</v>
      </c>
      <c r="W65" s="122">
        <f t="shared" si="35"/>
        <v>9.0815035110497488E-4</v>
      </c>
      <c r="X65" s="136">
        <f t="shared" si="18"/>
        <v>0</v>
      </c>
      <c r="Y65" s="38">
        <f t="shared" si="36"/>
        <v>20.205945326169203</v>
      </c>
      <c r="Z65" s="38">
        <f t="shared" si="19"/>
        <v>0</v>
      </c>
      <c r="AA65" s="136">
        <f t="shared" si="20"/>
        <v>0.3164639241439256</v>
      </c>
      <c r="AB65" s="136">
        <f t="shared" si="21"/>
        <v>2.312816548174923E-2</v>
      </c>
      <c r="AC65" s="170">
        <f t="shared" si="22"/>
        <v>9.0815035110497488E-4</v>
      </c>
      <c r="AD65" s="38">
        <f t="shared" si="23"/>
        <v>192.87841165164565</v>
      </c>
      <c r="AE65" s="38">
        <f t="shared" si="24"/>
        <v>31.827993230472273</v>
      </c>
      <c r="AF65" s="38">
        <f t="shared" si="25"/>
        <v>20.567134955336094</v>
      </c>
      <c r="AG65" s="38">
        <f t="shared" si="26"/>
        <v>14.428676895661598</v>
      </c>
      <c r="AH65" s="38">
        <f t="shared" si="27"/>
        <v>259.70221673311562</v>
      </c>
      <c r="AI65" s="38">
        <f t="shared" si="28"/>
        <v>64.587941301525859</v>
      </c>
      <c r="AJ65" s="38">
        <f t="shared" si="29"/>
        <v>324.29015803464148</v>
      </c>
    </row>
    <row r="66" spans="2:36" x14ac:dyDescent="0.3">
      <c r="B66" s="4">
        <v>70</v>
      </c>
      <c r="C66" s="4">
        <v>235</v>
      </c>
      <c r="D66" s="4">
        <v>239</v>
      </c>
      <c r="E66" s="4"/>
      <c r="F66" s="40">
        <f t="shared" si="30"/>
        <v>0</v>
      </c>
      <c r="G66" s="1">
        <f t="shared" si="31"/>
        <v>23.7</v>
      </c>
      <c r="H66" s="37">
        <f t="shared" si="32"/>
        <v>4.4115029439871264E-2</v>
      </c>
      <c r="I66" s="1">
        <v>43</v>
      </c>
      <c r="J66" s="70">
        <f t="shared" si="8"/>
        <v>0</v>
      </c>
      <c r="K66" s="91" t="str">
        <f t="shared" si="9"/>
        <v/>
      </c>
      <c r="L66" s="91" t="str">
        <f t="shared" si="10"/>
        <v/>
      </c>
      <c r="M66" s="95">
        <f t="shared" si="11"/>
        <v>21.944810812312376</v>
      </c>
      <c r="N66" s="99">
        <f t="shared" si="12"/>
        <v>21.944810812312376</v>
      </c>
      <c r="O66" s="122">
        <f t="shared" si="13"/>
        <v>0.41829655317424302</v>
      </c>
      <c r="P66" s="122">
        <f t="shared" si="14"/>
        <v>0.33894306209884822</v>
      </c>
      <c r="Q66" s="132">
        <f t="shared" si="15"/>
        <v>2.8913545254185605E-2</v>
      </c>
      <c r="R66" s="132">
        <f t="shared" si="15"/>
        <v>0.31480128964432785</v>
      </c>
      <c r="S66" s="133">
        <f t="shared" si="15"/>
        <v>0.3380306305659872</v>
      </c>
      <c r="T66" s="134">
        <f t="shared" si="16"/>
        <v>2.8913545254185605E-2</v>
      </c>
      <c r="U66" s="134">
        <f t="shared" si="33"/>
        <v>0.28588774439014225</v>
      </c>
      <c r="V66" s="134">
        <f t="shared" si="34"/>
        <v>2.3229340921659347E-2</v>
      </c>
      <c r="W66" s="122">
        <f t="shared" si="35"/>
        <v>9.1243153286102441E-4</v>
      </c>
      <c r="X66" s="136">
        <f t="shared" si="18"/>
        <v>0</v>
      </c>
      <c r="Y66" s="38">
        <f t="shared" si="36"/>
        <v>20.161337688691432</v>
      </c>
      <c r="Z66" s="38">
        <f t="shared" si="19"/>
        <v>0</v>
      </c>
      <c r="AA66" s="136">
        <f t="shared" si="20"/>
        <v>0.31480128964432785</v>
      </c>
      <c r="AB66" s="136">
        <f t="shared" si="21"/>
        <v>2.3229340921659347E-2</v>
      </c>
      <c r="AC66" s="170">
        <f t="shared" si="22"/>
        <v>9.1243153286102441E-4</v>
      </c>
      <c r="AD66" s="38">
        <f t="shared" si="23"/>
        <v>191.96807848577225</v>
      </c>
      <c r="AE66" s="38">
        <f t="shared" si="24"/>
        <v>31.644243464679178</v>
      </c>
      <c r="AF66" s="38">
        <f t="shared" si="25"/>
        <v>20.470402668434957</v>
      </c>
      <c r="AG66" s="38">
        <f t="shared" si="26"/>
        <v>14.376023988816346</v>
      </c>
      <c r="AH66" s="38">
        <f t="shared" si="27"/>
        <v>258.45874860770272</v>
      </c>
      <c r="AI66" s="38">
        <f t="shared" si="28"/>
        <v>64.278690778735665</v>
      </c>
      <c r="AJ66" s="38">
        <f t="shared" si="29"/>
        <v>322.73743938643838</v>
      </c>
    </row>
    <row r="67" spans="2:36" x14ac:dyDescent="0.3">
      <c r="B67" s="4">
        <v>54</v>
      </c>
      <c r="C67" s="4">
        <v>242</v>
      </c>
      <c r="D67" s="4">
        <v>230</v>
      </c>
      <c r="E67" s="4"/>
      <c r="F67" s="40">
        <f t="shared" si="30"/>
        <v>0</v>
      </c>
      <c r="G67" s="1">
        <f t="shared" si="31"/>
        <v>23.6</v>
      </c>
      <c r="H67" s="37">
        <f t="shared" si="32"/>
        <v>4.374353610858428E-2</v>
      </c>
      <c r="I67" s="1">
        <v>44</v>
      </c>
      <c r="J67" s="70">
        <f t="shared" si="8"/>
        <v>0</v>
      </c>
      <c r="K67" s="91" t="str">
        <f t="shared" si="9"/>
        <v/>
      </c>
      <c r="L67" s="91" t="str">
        <f t="shared" si="10"/>
        <v/>
      </c>
      <c r="M67" s="95">
        <f t="shared" si="11"/>
        <v>21.913274376909165</v>
      </c>
      <c r="N67" s="99">
        <f t="shared" si="12"/>
        <v>21.913274376909165</v>
      </c>
      <c r="O67" s="122">
        <f t="shared" si="13"/>
        <v>0.41445303368335107</v>
      </c>
      <c r="P67" s="122">
        <f t="shared" si="14"/>
        <v>0.33583850366451617</v>
      </c>
      <c r="Q67" s="132">
        <f t="shared" si="15"/>
        <v>2.7350953971357565E-2</v>
      </c>
      <c r="R67" s="132">
        <f t="shared" si="15"/>
        <v>0.31148410914863883</v>
      </c>
      <c r="S67" s="133">
        <f t="shared" si="15"/>
        <v>0.33491742681184627</v>
      </c>
      <c r="T67" s="134">
        <f t="shared" si="16"/>
        <v>2.7350953971357565E-2</v>
      </c>
      <c r="U67" s="134">
        <f t="shared" si="33"/>
        <v>0.28413315517728127</v>
      </c>
      <c r="V67" s="134">
        <f t="shared" si="34"/>
        <v>2.3433317663207442E-2</v>
      </c>
      <c r="W67" s="122">
        <f t="shared" si="35"/>
        <v>9.210768526698998E-4</v>
      </c>
      <c r="X67" s="136">
        <f t="shared" si="18"/>
        <v>0</v>
      </c>
      <c r="Y67" s="38">
        <f t="shared" si="36"/>
        <v>20.072119434780721</v>
      </c>
      <c r="Z67" s="38">
        <f t="shared" si="19"/>
        <v>0</v>
      </c>
      <c r="AA67" s="136">
        <f t="shared" si="20"/>
        <v>0.31148410914863883</v>
      </c>
      <c r="AB67" s="136">
        <f t="shared" si="21"/>
        <v>2.3433317663207442E-2</v>
      </c>
      <c r="AC67" s="170">
        <f t="shared" si="22"/>
        <v>9.210768526698998E-4</v>
      </c>
      <c r="AD67" s="38">
        <f t="shared" si="23"/>
        <v>190.15338877646391</v>
      </c>
      <c r="AE67" s="38">
        <f t="shared" si="24"/>
        <v>31.278616826654634</v>
      </c>
      <c r="AF67" s="38">
        <f t="shared" si="25"/>
        <v>20.277772762496781</v>
      </c>
      <c r="AG67" s="38">
        <f t="shared" si="26"/>
        <v>14.271009101563342</v>
      </c>
      <c r="AH67" s="38">
        <f t="shared" si="27"/>
        <v>255.98078746717869</v>
      </c>
      <c r="AI67" s="38">
        <f t="shared" si="28"/>
        <v>63.662421843087337</v>
      </c>
      <c r="AJ67" s="38">
        <f t="shared" si="29"/>
        <v>319.643209310266</v>
      </c>
    </row>
    <row r="68" spans="2:36" x14ac:dyDescent="0.3">
      <c r="B68" s="3">
        <v>38</v>
      </c>
      <c r="C68" s="4">
        <v>237</v>
      </c>
      <c r="D68" s="4">
        <v>229</v>
      </c>
      <c r="E68" s="4"/>
      <c r="F68" s="40">
        <f t="shared" si="30"/>
        <v>0</v>
      </c>
      <c r="G68" s="1">
        <f t="shared" si="31"/>
        <v>23.3</v>
      </c>
      <c r="H68" s="37">
        <f t="shared" si="32"/>
        <v>4.2638480892684065E-2</v>
      </c>
      <c r="I68" s="1">
        <v>45</v>
      </c>
      <c r="J68" s="70">
        <f t="shared" si="8"/>
        <v>0</v>
      </c>
      <c r="K68" s="91" t="str">
        <f t="shared" si="9"/>
        <v/>
      </c>
      <c r="L68" s="91" t="str">
        <f t="shared" si="10"/>
        <v/>
      </c>
      <c r="M68" s="95">
        <f t="shared" si="11"/>
        <v>21.817320753003564</v>
      </c>
      <c r="N68" s="99">
        <f t="shared" si="12"/>
        <v>21.817320753003564</v>
      </c>
      <c r="O68" s="122">
        <f t="shared" si="13"/>
        <v>0.40302168298794239</v>
      </c>
      <c r="P68" s="122">
        <f t="shared" si="14"/>
        <v>0.3266033321005018</v>
      </c>
      <c r="Q68" s="132">
        <f t="shared" si="15"/>
        <v>2.2993781131559789E-2</v>
      </c>
      <c r="R68" s="132">
        <f t="shared" si="15"/>
        <v>0.3015971971757605</v>
      </c>
      <c r="S68" s="133">
        <f t="shared" si="15"/>
        <v>0.3256556392869619</v>
      </c>
      <c r="T68" s="134">
        <f t="shared" si="16"/>
        <v>2.2993781131559789E-2</v>
      </c>
      <c r="U68" s="134">
        <f t="shared" si="33"/>
        <v>0.27860341604420069</v>
      </c>
      <c r="V68" s="134">
        <f t="shared" si="34"/>
        <v>2.4058442111201395E-2</v>
      </c>
      <c r="W68" s="122">
        <f t="shared" si="35"/>
        <v>9.4769281353990209E-4</v>
      </c>
      <c r="X68" s="136">
        <f t="shared" si="18"/>
        <v>0</v>
      </c>
      <c r="Y68" s="38">
        <f t="shared" si="36"/>
        <v>19.804440328965107</v>
      </c>
      <c r="Z68" s="38">
        <f t="shared" si="19"/>
        <v>0</v>
      </c>
      <c r="AA68" s="136">
        <f t="shared" si="20"/>
        <v>0.3015971971757605</v>
      </c>
      <c r="AB68" s="136">
        <f t="shared" si="21"/>
        <v>2.4058442111201395E-2</v>
      </c>
      <c r="AC68" s="170">
        <f t="shared" si="22"/>
        <v>9.4769281353990209E-4</v>
      </c>
      <c r="AD68" s="38">
        <f t="shared" si="23"/>
        <v>184.75720907850129</v>
      </c>
      <c r="AE68" s="38">
        <f t="shared" si="24"/>
        <v>30.196676511458001</v>
      </c>
      <c r="AF68" s="38">
        <f t="shared" si="25"/>
        <v>19.706540460735198</v>
      </c>
      <c r="AG68" s="38">
        <f t="shared" si="26"/>
        <v>13.958292316843878</v>
      </c>
      <c r="AH68" s="38">
        <f t="shared" si="27"/>
        <v>248.61871836753838</v>
      </c>
      <c r="AI68" s="38">
        <f t="shared" si="28"/>
        <v>61.831475258006797</v>
      </c>
      <c r="AJ68" s="38">
        <f t="shared" si="29"/>
        <v>310.45019362554518</v>
      </c>
    </row>
    <row r="69" spans="2:36" x14ac:dyDescent="0.3">
      <c r="B69" s="3">
        <v>34</v>
      </c>
      <c r="C69" s="4">
        <v>225</v>
      </c>
      <c r="D69" s="4">
        <v>234</v>
      </c>
      <c r="E69" s="4"/>
      <c r="F69" s="40">
        <f t="shared" si="30"/>
        <v>0</v>
      </c>
      <c r="G69" s="1">
        <f t="shared" si="31"/>
        <v>22.95</v>
      </c>
      <c r="H69" s="37">
        <f t="shared" si="32"/>
        <v>4.136711761568445E-2</v>
      </c>
      <c r="I69" s="1">
        <v>46</v>
      </c>
      <c r="J69" s="70">
        <f t="shared" si="8"/>
        <v>0</v>
      </c>
      <c r="K69" s="91" t="str">
        <f t="shared" si="9"/>
        <v/>
      </c>
      <c r="L69" s="91" t="str">
        <f t="shared" si="10"/>
        <v/>
      </c>
      <c r="M69" s="95">
        <f t="shared" si="11"/>
        <v>21.702758520536829</v>
      </c>
      <c r="N69" s="99">
        <f t="shared" si="12"/>
        <v>21.702758520536829</v>
      </c>
      <c r="O69" s="122">
        <f t="shared" si="13"/>
        <v>0.38987360125964671</v>
      </c>
      <c r="P69" s="122">
        <f t="shared" si="14"/>
        <v>0.3159781949275739</v>
      </c>
      <c r="Q69" s="132">
        <f t="shared" si="15"/>
        <v>1.8520594163072716E-2</v>
      </c>
      <c r="R69" s="132">
        <f t="shared" si="15"/>
        <v>0.29018475561035789</v>
      </c>
      <c r="S69" s="133">
        <f t="shared" si="15"/>
        <v>0.31499810728487432</v>
      </c>
      <c r="T69" s="134">
        <f t="shared" si="16"/>
        <v>1.8520594163072716E-2</v>
      </c>
      <c r="U69" s="134">
        <f t="shared" si="33"/>
        <v>0.27166416144728517</v>
      </c>
      <c r="V69" s="134">
        <f t="shared" si="34"/>
        <v>2.4813351674516426E-2</v>
      </c>
      <c r="W69" s="122">
        <f t="shared" si="35"/>
        <v>9.800876426995786E-4</v>
      </c>
      <c r="X69" s="136">
        <f t="shared" si="18"/>
        <v>0</v>
      </c>
      <c r="Y69" s="38">
        <f t="shared" si="36"/>
        <v>19.492100204346173</v>
      </c>
      <c r="Z69" s="38">
        <f t="shared" si="19"/>
        <v>0</v>
      </c>
      <c r="AA69" s="136">
        <f t="shared" si="20"/>
        <v>0.29018475561035789</v>
      </c>
      <c r="AB69" s="136">
        <f t="shared" si="21"/>
        <v>2.4813351674516426E-2</v>
      </c>
      <c r="AC69" s="170">
        <f t="shared" si="22"/>
        <v>9.800876426995786E-4</v>
      </c>
      <c r="AD69" s="38">
        <f t="shared" si="23"/>
        <v>178.55270037052773</v>
      </c>
      <c r="AE69" s="38">
        <f t="shared" si="24"/>
        <v>28.962597293604169</v>
      </c>
      <c r="AF69" s="38">
        <f t="shared" si="25"/>
        <v>19.05266094170474</v>
      </c>
      <c r="AG69" s="38">
        <f t="shared" si="26"/>
        <v>13.597870831268867</v>
      </c>
      <c r="AH69" s="38">
        <f t="shared" si="27"/>
        <v>240.16582943710551</v>
      </c>
      <c r="AI69" s="38">
        <f t="shared" si="28"/>
        <v>59.729241781008142</v>
      </c>
      <c r="AJ69" s="38">
        <f t="shared" si="29"/>
        <v>299.89507121811369</v>
      </c>
    </row>
    <row r="70" spans="2:36" x14ac:dyDescent="0.3">
      <c r="B70" s="4">
        <v>57</v>
      </c>
      <c r="C70" s="4">
        <v>231</v>
      </c>
      <c r="D70" s="4">
        <v>225</v>
      </c>
      <c r="E70" s="4"/>
      <c r="F70" s="40">
        <f t="shared" si="30"/>
        <v>0</v>
      </c>
      <c r="G70" s="1">
        <f t="shared" si="31"/>
        <v>22.8</v>
      </c>
      <c r="H70" s="37">
        <f t="shared" si="32"/>
        <v>4.0828138126052953E-2</v>
      </c>
      <c r="I70" s="1">
        <v>47</v>
      </c>
      <c r="J70" s="70">
        <f t="shared" si="8"/>
        <v>0</v>
      </c>
      <c r="K70" s="91" t="str">
        <f t="shared" si="9"/>
        <v/>
      </c>
      <c r="L70" s="91" t="str">
        <f t="shared" si="10"/>
        <v/>
      </c>
      <c r="M70" s="95">
        <f t="shared" si="11"/>
        <v>21.652773323556691</v>
      </c>
      <c r="N70" s="99">
        <f t="shared" si="12"/>
        <v>21.652773323556691</v>
      </c>
      <c r="O70" s="122">
        <f t="shared" si="13"/>
        <v>0.38430099675370116</v>
      </c>
      <c r="P70" s="122">
        <f t="shared" si="14"/>
        <v>0.31147390350244908</v>
      </c>
      <c r="Q70" s="132">
        <f t="shared" si="15"/>
        <v>1.6797758454081022E-2</v>
      </c>
      <c r="R70" s="132">
        <f t="shared" si="15"/>
        <v>0.28533394591247702</v>
      </c>
      <c r="S70" s="133">
        <f t="shared" si="15"/>
        <v>0.31047946992847314</v>
      </c>
      <c r="T70" s="134">
        <f t="shared" si="16"/>
        <v>1.6797758454081022E-2</v>
      </c>
      <c r="U70" s="134">
        <f t="shared" si="33"/>
        <v>0.26853618745839597</v>
      </c>
      <c r="V70" s="134">
        <f t="shared" si="34"/>
        <v>2.5145524015996124E-2</v>
      </c>
      <c r="W70" s="122">
        <f t="shared" si="35"/>
        <v>9.9443357397593912E-4</v>
      </c>
      <c r="X70" s="136">
        <f t="shared" si="18"/>
        <v>0</v>
      </c>
      <c r="Y70" s="38">
        <f t="shared" si="36"/>
        <v>19.35822376370362</v>
      </c>
      <c r="Z70" s="38">
        <f t="shared" si="19"/>
        <v>0</v>
      </c>
      <c r="AA70" s="136">
        <f t="shared" si="20"/>
        <v>0.28533394591247702</v>
      </c>
      <c r="AB70" s="136">
        <f t="shared" si="21"/>
        <v>2.5145524015996124E-2</v>
      </c>
      <c r="AC70" s="170">
        <f t="shared" si="22"/>
        <v>9.9443357397593912E-4</v>
      </c>
      <c r="AD70" s="38">
        <f t="shared" si="23"/>
        <v>175.92372320773032</v>
      </c>
      <c r="AE70" s="38">
        <f t="shared" si="24"/>
        <v>28.442948720012232</v>
      </c>
      <c r="AF70" s="38">
        <f t="shared" si="25"/>
        <v>18.776544609614888</v>
      </c>
      <c r="AG70" s="38">
        <f t="shared" si="26"/>
        <v>13.444860433369405</v>
      </c>
      <c r="AH70" s="38">
        <f t="shared" si="27"/>
        <v>236.58807697072683</v>
      </c>
      <c r="AI70" s="38">
        <f t="shared" si="28"/>
        <v>58.839454742619765</v>
      </c>
      <c r="AJ70" s="38">
        <f t="shared" si="29"/>
        <v>295.42753171334658</v>
      </c>
    </row>
    <row r="71" spans="2:36" x14ac:dyDescent="0.3">
      <c r="B71" s="3">
        <v>23</v>
      </c>
      <c r="C71" s="4">
        <v>227</v>
      </c>
      <c r="D71" s="4">
        <v>228</v>
      </c>
      <c r="E71" s="4"/>
      <c r="F71" s="40">
        <f t="shared" si="30"/>
        <v>0</v>
      </c>
      <c r="G71" s="1">
        <f t="shared" si="31"/>
        <v>22.75</v>
      </c>
      <c r="H71" s="37">
        <f t="shared" si="32"/>
        <v>4.0649263694339181E-2</v>
      </c>
      <c r="I71" s="1">
        <v>48</v>
      </c>
      <c r="J71" s="70">
        <f t="shared" si="8"/>
        <v>0</v>
      </c>
      <c r="K71" s="91" t="str">
        <f t="shared" si="9"/>
        <v/>
      </c>
      <c r="L71" s="91" t="str">
        <f t="shared" si="10"/>
        <v/>
      </c>
      <c r="M71" s="95">
        <f t="shared" si="11"/>
        <v>21.635990992512788</v>
      </c>
      <c r="N71" s="99">
        <f t="shared" si="12"/>
        <v>21.635990992512788</v>
      </c>
      <c r="O71" s="122">
        <f t="shared" si="13"/>
        <v>0.38245178053701812</v>
      </c>
      <c r="P71" s="122">
        <f t="shared" si="14"/>
        <v>0.30997906471489267</v>
      </c>
      <c r="Q71" s="132">
        <f t="shared" si="15"/>
        <v>1.62486529951179E-2</v>
      </c>
      <c r="R71" s="132">
        <f t="shared" si="15"/>
        <v>0.28372236760817932</v>
      </c>
      <c r="S71" s="133">
        <f t="shared" si="15"/>
        <v>0.30897978562180201</v>
      </c>
      <c r="T71" s="134">
        <f t="shared" si="16"/>
        <v>1.62486529951179E-2</v>
      </c>
      <c r="U71" s="134">
        <f t="shared" si="33"/>
        <v>0.26747371461306141</v>
      </c>
      <c r="V71" s="134">
        <f t="shared" si="34"/>
        <v>2.525741801362269E-2</v>
      </c>
      <c r="W71" s="122">
        <f t="shared" si="35"/>
        <v>9.9927909309066587E-4</v>
      </c>
      <c r="X71" s="136">
        <f t="shared" si="18"/>
        <v>0</v>
      </c>
      <c r="Y71" s="38">
        <f t="shared" si="36"/>
        <v>19.313596039546084</v>
      </c>
      <c r="Z71" s="38">
        <f t="shared" si="19"/>
        <v>0</v>
      </c>
      <c r="AA71" s="136">
        <f t="shared" si="20"/>
        <v>0.28372236760817932</v>
      </c>
      <c r="AB71" s="136">
        <f t="shared" si="21"/>
        <v>2.525741801362269E-2</v>
      </c>
      <c r="AC71" s="170">
        <f t="shared" si="22"/>
        <v>9.9927909309066587E-4</v>
      </c>
      <c r="AD71" s="38">
        <f t="shared" si="23"/>
        <v>175.05141858231119</v>
      </c>
      <c r="AE71" s="38">
        <f t="shared" si="24"/>
        <v>28.270960334965157</v>
      </c>
      <c r="AF71" s="38">
        <f t="shared" si="25"/>
        <v>18.685052812678279</v>
      </c>
      <c r="AG71" s="38">
        <f t="shared" si="26"/>
        <v>13.39405114459859</v>
      </c>
      <c r="AH71" s="38">
        <f t="shared" si="27"/>
        <v>235.40148287455321</v>
      </c>
      <c r="AI71" s="38">
        <f t="shared" si="28"/>
        <v>58.544348790901381</v>
      </c>
      <c r="AJ71" s="38">
        <f t="shared" si="29"/>
        <v>293.94583166545459</v>
      </c>
    </row>
    <row r="72" spans="2:36" x14ac:dyDescent="0.3">
      <c r="B72" s="4">
        <v>61</v>
      </c>
      <c r="C72" s="4">
        <v>227</v>
      </c>
      <c r="D72" s="4">
        <v>227</v>
      </c>
      <c r="E72" s="4"/>
      <c r="F72" s="40">
        <f t="shared" si="30"/>
        <v>0</v>
      </c>
      <c r="G72" s="1">
        <f t="shared" si="31"/>
        <v>22.7</v>
      </c>
      <c r="H72" s="37">
        <f t="shared" si="32"/>
        <v>4.0470781961707107E-2</v>
      </c>
      <c r="I72" s="1">
        <v>49</v>
      </c>
      <c r="J72" s="70">
        <f t="shared" si="8"/>
        <v>0</v>
      </c>
      <c r="K72" s="91" t="str">
        <f t="shared" si="9"/>
        <v/>
      </c>
      <c r="L72" s="91" t="str">
        <f t="shared" si="10"/>
        <v/>
      </c>
      <c r="M72" s="95">
        <f t="shared" si="11"/>
        <v>21.61914782397476</v>
      </c>
      <c r="N72" s="99">
        <f t="shared" si="12"/>
        <v>21.61914782397476</v>
      </c>
      <c r="O72" s="122">
        <f t="shared" si="13"/>
        <v>0.38060672674328477</v>
      </c>
      <c r="P72" s="122">
        <f t="shared" si="14"/>
        <v>0.3084875247908192</v>
      </c>
      <c r="Q72" s="132">
        <f t="shared" si="15"/>
        <v>1.5711954612623112E-2</v>
      </c>
      <c r="R72" s="132">
        <f t="shared" si="15"/>
        <v>0.28211346703474016</v>
      </c>
      <c r="S72" s="133">
        <f t="shared" si="15"/>
        <v>0.3074833679666803</v>
      </c>
      <c r="T72" s="134">
        <f t="shared" si="16"/>
        <v>1.5711954612623112E-2</v>
      </c>
      <c r="U72" s="134">
        <f t="shared" si="33"/>
        <v>0.26640151242211707</v>
      </c>
      <c r="V72" s="134">
        <f t="shared" si="34"/>
        <v>2.5369900931940137E-2</v>
      </c>
      <c r="W72" s="122">
        <f t="shared" si="35"/>
        <v>1.0041568241389021E-3</v>
      </c>
      <c r="X72" s="136">
        <f t="shared" si="18"/>
        <v>0</v>
      </c>
      <c r="Y72" s="38">
        <f t="shared" si="36"/>
        <v>19.268967179616592</v>
      </c>
      <c r="Z72" s="38">
        <f t="shared" si="19"/>
        <v>0</v>
      </c>
      <c r="AA72" s="136">
        <f t="shared" si="20"/>
        <v>0.28211346703474016</v>
      </c>
      <c r="AB72" s="136">
        <f t="shared" si="21"/>
        <v>2.5369900931940137E-2</v>
      </c>
      <c r="AC72" s="170">
        <f t="shared" si="22"/>
        <v>1.0041568241389021E-3</v>
      </c>
      <c r="AD72" s="38">
        <f t="shared" si="23"/>
        <v>174.18112634270636</v>
      </c>
      <c r="AE72" s="38">
        <f t="shared" si="24"/>
        <v>28.099584818288321</v>
      </c>
      <c r="AF72" s="38">
        <f t="shared" si="25"/>
        <v>18.593834038209728</v>
      </c>
      <c r="AG72" s="38">
        <f t="shared" si="26"/>
        <v>13.343338955971381</v>
      </c>
      <c r="AH72" s="38">
        <f t="shared" si="27"/>
        <v>234.2178841551758</v>
      </c>
      <c r="AI72" s="38">
        <f t="shared" si="28"/>
        <v>58.249987789392222</v>
      </c>
      <c r="AJ72" s="38">
        <f t="shared" si="29"/>
        <v>292.467871944568</v>
      </c>
    </row>
    <row r="73" spans="2:36" x14ac:dyDescent="0.3">
      <c r="B73" s="3">
        <v>27</v>
      </c>
      <c r="C73" s="4">
        <v>223</v>
      </c>
      <c r="D73" s="4">
        <v>229</v>
      </c>
      <c r="E73" s="4"/>
      <c r="F73" s="40">
        <f t="shared" si="30"/>
        <v>0</v>
      </c>
      <c r="G73" s="1">
        <f t="shared" si="31"/>
        <v>22.6</v>
      </c>
      <c r="H73" s="37">
        <f t="shared" si="32"/>
        <v>4.0114996593688071E-2</v>
      </c>
      <c r="I73" s="1">
        <v>50</v>
      </c>
      <c r="J73" s="70">
        <f t="shared" si="8"/>
        <v>0</v>
      </c>
      <c r="K73" s="91" t="str">
        <f t="shared" si="9"/>
        <v/>
      </c>
      <c r="L73" s="91" t="str">
        <f t="shared" si="10"/>
        <v/>
      </c>
      <c r="M73" s="95">
        <f t="shared" si="11"/>
        <v>21.585277667015763</v>
      </c>
      <c r="N73" s="99">
        <f t="shared" si="12"/>
        <v>21.585277667015763</v>
      </c>
      <c r="O73" s="122">
        <f t="shared" si="13"/>
        <v>0.3769291139305469</v>
      </c>
      <c r="P73" s="122">
        <f t="shared" si="14"/>
        <v>0.30551434881425787</v>
      </c>
      <c r="Q73" s="132">
        <f t="shared" si="15"/>
        <v>1.4675328679905056E-2</v>
      </c>
      <c r="R73" s="132">
        <f t="shared" si="15"/>
        <v>0.27890369589126046</v>
      </c>
      <c r="S73" s="133">
        <f t="shared" si="15"/>
        <v>0.30450033881570721</v>
      </c>
      <c r="T73" s="134">
        <f t="shared" si="16"/>
        <v>1.4675328679905056E-2</v>
      </c>
      <c r="U73" s="134">
        <f t="shared" si="33"/>
        <v>0.2642283672113554</v>
      </c>
      <c r="V73" s="134">
        <f t="shared" si="34"/>
        <v>2.5596642924446744E-2</v>
      </c>
      <c r="W73" s="122">
        <f t="shared" si="35"/>
        <v>1.014009998550669E-3</v>
      </c>
      <c r="X73" s="136">
        <f t="shared" si="18"/>
        <v>0</v>
      </c>
      <c r="Y73" s="38">
        <f t="shared" si="36"/>
        <v>19.179706018747392</v>
      </c>
      <c r="Z73" s="38">
        <f t="shared" si="19"/>
        <v>0</v>
      </c>
      <c r="AA73" s="136">
        <f t="shared" si="20"/>
        <v>0.27890369589126046</v>
      </c>
      <c r="AB73" s="136">
        <f t="shared" si="21"/>
        <v>2.5596642924446744E-2</v>
      </c>
      <c r="AC73" s="170">
        <f t="shared" si="22"/>
        <v>1.014009998550669E-3</v>
      </c>
      <c r="AD73" s="38">
        <f t="shared" si="23"/>
        <v>172.44658345098128</v>
      </c>
      <c r="AE73" s="38">
        <f t="shared" si="24"/>
        <v>27.758669899382856</v>
      </c>
      <c r="AF73" s="38">
        <f t="shared" si="25"/>
        <v>18.412214432323527</v>
      </c>
      <c r="AG73" s="38">
        <f t="shared" si="26"/>
        <v>13.242205907079823</v>
      </c>
      <c r="AH73" s="38">
        <f t="shared" si="27"/>
        <v>231.85967368976748</v>
      </c>
      <c r="AI73" s="38">
        <f t="shared" si="28"/>
        <v>57.663500846645171</v>
      </c>
      <c r="AJ73" s="38">
        <f t="shared" si="29"/>
        <v>289.52317453641263</v>
      </c>
    </row>
    <row r="74" spans="2:36" x14ac:dyDescent="0.3">
      <c r="B74" s="3">
        <v>37</v>
      </c>
      <c r="C74" s="4">
        <v>230</v>
      </c>
      <c r="D74" s="4">
        <v>222</v>
      </c>
      <c r="E74" s="4"/>
      <c r="F74" s="40">
        <f t="shared" si="30"/>
        <v>0</v>
      </c>
      <c r="G74" s="1">
        <f t="shared" si="31"/>
        <v>22.6</v>
      </c>
      <c r="H74" s="37">
        <f t="shared" si="32"/>
        <v>4.0114996593688071E-2</v>
      </c>
      <c r="I74" s="1">
        <v>51</v>
      </c>
      <c r="J74" s="70">
        <f t="shared" si="8"/>
        <v>0</v>
      </c>
      <c r="K74" s="91" t="str">
        <f t="shared" si="9"/>
        <v/>
      </c>
      <c r="L74" s="91" t="str">
        <f t="shared" si="10"/>
        <v/>
      </c>
      <c r="M74" s="95">
        <f t="shared" si="11"/>
        <v>21.585277667015763</v>
      </c>
      <c r="N74" s="99">
        <f t="shared" si="12"/>
        <v>21.585277667015763</v>
      </c>
      <c r="O74" s="122">
        <f t="shared" si="13"/>
        <v>0.3769291139305469</v>
      </c>
      <c r="P74" s="122">
        <f t="shared" si="14"/>
        <v>0.30551434881425787</v>
      </c>
      <c r="Q74" s="132">
        <f t="shared" si="15"/>
        <v>1.4675328679905056E-2</v>
      </c>
      <c r="R74" s="132">
        <f t="shared" si="15"/>
        <v>0.27890369589126046</v>
      </c>
      <c r="S74" s="133">
        <f t="shared" si="15"/>
        <v>0.30450033881570721</v>
      </c>
      <c r="T74" s="134">
        <f t="shared" si="16"/>
        <v>1.4675328679905056E-2</v>
      </c>
      <c r="U74" s="134">
        <f t="shared" si="33"/>
        <v>0.2642283672113554</v>
      </c>
      <c r="V74" s="134">
        <f t="shared" si="34"/>
        <v>2.5596642924446744E-2</v>
      </c>
      <c r="W74" s="122">
        <f t="shared" si="35"/>
        <v>1.014009998550669E-3</v>
      </c>
      <c r="X74" s="136">
        <f t="shared" si="18"/>
        <v>0</v>
      </c>
      <c r="Y74" s="38">
        <f t="shared" si="36"/>
        <v>19.179706018747392</v>
      </c>
      <c r="Z74" s="38">
        <f t="shared" si="19"/>
        <v>0</v>
      </c>
      <c r="AA74" s="136">
        <f t="shared" si="20"/>
        <v>0.27890369589126046</v>
      </c>
      <c r="AB74" s="136">
        <f t="shared" si="21"/>
        <v>2.5596642924446744E-2</v>
      </c>
      <c r="AC74" s="170">
        <f t="shared" si="22"/>
        <v>1.014009998550669E-3</v>
      </c>
      <c r="AD74" s="38">
        <f t="shared" si="23"/>
        <v>172.44658345098128</v>
      </c>
      <c r="AE74" s="38">
        <f t="shared" si="24"/>
        <v>27.758669899382856</v>
      </c>
      <c r="AF74" s="38">
        <f t="shared" si="25"/>
        <v>18.412214432323527</v>
      </c>
      <c r="AG74" s="38">
        <f t="shared" si="26"/>
        <v>13.242205907079823</v>
      </c>
      <c r="AH74" s="38">
        <f t="shared" si="27"/>
        <v>231.85967368976748</v>
      </c>
      <c r="AI74" s="38">
        <f t="shared" si="28"/>
        <v>57.663500846645171</v>
      </c>
      <c r="AJ74" s="38">
        <f t="shared" si="29"/>
        <v>289.52317453641263</v>
      </c>
    </row>
    <row r="75" spans="2:36" x14ac:dyDescent="0.3">
      <c r="B75" s="4">
        <v>76</v>
      </c>
      <c r="C75" s="4">
        <v>226</v>
      </c>
      <c r="D75" s="4">
        <v>218</v>
      </c>
      <c r="E75" s="4"/>
      <c r="F75" s="40">
        <f t="shared" si="30"/>
        <v>0</v>
      </c>
      <c r="G75" s="1">
        <f t="shared" si="31"/>
        <v>22.2</v>
      </c>
      <c r="H75" s="37">
        <f t="shared" si="32"/>
        <v>3.870756308487984E-2</v>
      </c>
      <c r="I75" s="1">
        <v>52</v>
      </c>
      <c r="J75" s="70">
        <f t="shared" si="8"/>
        <v>0</v>
      </c>
      <c r="K75" s="91" t="str">
        <f t="shared" si="9"/>
        <v/>
      </c>
      <c r="L75" s="91" t="str">
        <f t="shared" si="10"/>
        <v/>
      </c>
      <c r="M75" s="95">
        <f t="shared" si="11"/>
        <v>21.447297145568744</v>
      </c>
      <c r="N75" s="99">
        <f t="shared" si="12"/>
        <v>21.447297145568744</v>
      </c>
      <c r="O75" s="122">
        <f t="shared" si="13"/>
        <v>0.36238553699935516</v>
      </c>
      <c r="P75" s="122">
        <f t="shared" si="14"/>
        <v>0.29375396565136264</v>
      </c>
      <c r="Q75" s="132">
        <f t="shared" si="15"/>
        <v>1.1001405632893283E-2</v>
      </c>
      <c r="R75" s="132">
        <f t="shared" si="15"/>
        <v>0.2661715734124287</v>
      </c>
      <c r="S75" s="133">
        <f t="shared" si="15"/>
        <v>0.29269919946268996</v>
      </c>
      <c r="T75" s="134">
        <f t="shared" si="16"/>
        <v>1.1001405632893283E-2</v>
      </c>
      <c r="U75" s="134">
        <f t="shared" si="33"/>
        <v>0.25517016777953544</v>
      </c>
      <c r="V75" s="134">
        <f t="shared" si="34"/>
        <v>2.6527626050261266E-2</v>
      </c>
      <c r="W75" s="122">
        <f t="shared" si="35"/>
        <v>1.0547661886726734E-3</v>
      </c>
      <c r="X75" s="136">
        <f t="shared" si="18"/>
        <v>0</v>
      </c>
      <c r="Y75" s="38">
        <f t="shared" si="36"/>
        <v>18.822614222250809</v>
      </c>
      <c r="Z75" s="38">
        <f t="shared" si="19"/>
        <v>0</v>
      </c>
      <c r="AA75" s="136">
        <f t="shared" si="20"/>
        <v>0.2661715734124287</v>
      </c>
      <c r="AB75" s="136">
        <f t="shared" si="21"/>
        <v>2.6527626050261266E-2</v>
      </c>
      <c r="AC75" s="170">
        <f t="shared" si="22"/>
        <v>1.0547661886726734E-3</v>
      </c>
      <c r="AD75" s="38">
        <f t="shared" si="23"/>
        <v>165.58913000439165</v>
      </c>
      <c r="AE75" s="38">
        <f t="shared" si="24"/>
        <v>26.419399955879452</v>
      </c>
      <c r="AF75" s="38">
        <f t="shared" si="25"/>
        <v>17.696600578110584</v>
      </c>
      <c r="AG75" s="38">
        <f t="shared" si="26"/>
        <v>12.841559128239282</v>
      </c>
      <c r="AH75" s="38">
        <f t="shared" si="27"/>
        <v>222.54668966662098</v>
      </c>
      <c r="AI75" s="38">
        <f t="shared" si="28"/>
        <v>55.347361720088635</v>
      </c>
      <c r="AJ75" s="38">
        <f t="shared" si="29"/>
        <v>277.89405138670963</v>
      </c>
    </row>
    <row r="76" spans="2:36" x14ac:dyDescent="0.3">
      <c r="B76" s="3">
        <v>12</v>
      </c>
      <c r="C76" s="4">
        <v>223</v>
      </c>
      <c r="D76" s="4">
        <v>220</v>
      </c>
      <c r="E76" s="4"/>
      <c r="F76" s="40">
        <f t="shared" si="30"/>
        <v>0</v>
      </c>
      <c r="G76" s="1">
        <f t="shared" si="31"/>
        <v>22.15</v>
      </c>
      <c r="H76" s="37">
        <f t="shared" si="32"/>
        <v>3.8533401042146455E-2</v>
      </c>
      <c r="I76" s="1">
        <v>53</v>
      </c>
      <c r="J76" s="70">
        <f t="shared" si="8"/>
        <v>0</v>
      </c>
      <c r="K76" s="91" t="str">
        <f t="shared" si="9"/>
        <v/>
      </c>
      <c r="L76" s="91" t="str">
        <f t="shared" si="10"/>
        <v/>
      </c>
      <c r="M76" s="95">
        <f t="shared" si="11"/>
        <v>21.42976271637329</v>
      </c>
      <c r="N76" s="99">
        <f t="shared" si="12"/>
        <v>21.42976271637329</v>
      </c>
      <c r="O76" s="122">
        <f t="shared" si="13"/>
        <v>0.36058639468225023</v>
      </c>
      <c r="P76" s="122">
        <f t="shared" si="14"/>
        <v>0.29229883435990417</v>
      </c>
      <c r="Q76" s="132">
        <f t="shared" si="15"/>
        <v>1.0593212733705041E-2</v>
      </c>
      <c r="R76" s="132">
        <f t="shared" si="15"/>
        <v>0.26459208112180088</v>
      </c>
      <c r="S76" s="133">
        <f t="shared" si="15"/>
        <v>0.29123881779240263</v>
      </c>
      <c r="T76" s="134">
        <f t="shared" si="16"/>
        <v>1.0593212733705041E-2</v>
      </c>
      <c r="U76" s="134">
        <f t="shared" si="33"/>
        <v>0.25399886838809582</v>
      </c>
      <c r="V76" s="134">
        <f t="shared" si="34"/>
        <v>2.6646736670601745E-2</v>
      </c>
      <c r="W76" s="122">
        <f t="shared" si="35"/>
        <v>1.0600165675015427E-3</v>
      </c>
      <c r="X76" s="136">
        <f t="shared" si="18"/>
        <v>0</v>
      </c>
      <c r="Y76" s="38">
        <f t="shared" si="36"/>
        <v>18.777972295425695</v>
      </c>
      <c r="Z76" s="38">
        <f t="shared" si="19"/>
        <v>0</v>
      </c>
      <c r="AA76" s="136">
        <f t="shared" si="20"/>
        <v>0.26459208112180088</v>
      </c>
      <c r="AB76" s="136">
        <f t="shared" si="21"/>
        <v>2.6646736670601745E-2</v>
      </c>
      <c r="AC76" s="170">
        <f t="shared" si="22"/>
        <v>1.0600165675015427E-3</v>
      </c>
      <c r="AD76" s="38">
        <f t="shared" si="23"/>
        <v>164.74104765377601</v>
      </c>
      <c r="AE76" s="38">
        <f t="shared" si="24"/>
        <v>26.254724677550012</v>
      </c>
      <c r="AF76" s="38">
        <f t="shared" si="25"/>
        <v>17.608366447206055</v>
      </c>
      <c r="AG76" s="38">
        <f t="shared" si="26"/>
        <v>12.791915508761678</v>
      </c>
      <c r="AH76" s="38">
        <f t="shared" si="27"/>
        <v>221.39605428729374</v>
      </c>
      <c r="AI76" s="38">
        <f t="shared" si="28"/>
        <v>55.06119870124995</v>
      </c>
      <c r="AJ76" s="38">
        <f t="shared" si="29"/>
        <v>276.4572529885437</v>
      </c>
    </row>
    <row r="77" spans="2:36" x14ac:dyDescent="0.3">
      <c r="B77" s="3">
        <v>22</v>
      </c>
      <c r="C77" s="4">
        <v>222</v>
      </c>
      <c r="D77" s="4">
        <v>217</v>
      </c>
      <c r="E77" s="4"/>
      <c r="F77" s="40">
        <f t="shared" si="30"/>
        <v>0</v>
      </c>
      <c r="G77" s="1">
        <f t="shared" si="31"/>
        <v>21.95</v>
      </c>
      <c r="H77" s="37">
        <f t="shared" si="32"/>
        <v>3.7840679862029901E-2</v>
      </c>
      <c r="I77" s="1">
        <v>54</v>
      </c>
      <c r="J77" s="70">
        <f t="shared" si="8"/>
        <v>0</v>
      </c>
      <c r="K77" s="91" t="str">
        <f t="shared" si="9"/>
        <v/>
      </c>
      <c r="L77" s="91" t="str">
        <f t="shared" si="10"/>
        <v/>
      </c>
      <c r="M77" s="95">
        <f t="shared" si="11"/>
        <v>21.358972351261109</v>
      </c>
      <c r="N77" s="99">
        <f t="shared" si="12"/>
        <v>21.358972351261109</v>
      </c>
      <c r="O77" s="122">
        <f t="shared" si="13"/>
        <v>0.35343169721744128</v>
      </c>
      <c r="P77" s="122">
        <f t="shared" si="14"/>
        <v>0.28651153816817065</v>
      </c>
      <c r="Q77" s="132">
        <f t="shared" si="15"/>
        <v>9.0679302671348595E-3</v>
      </c>
      <c r="R77" s="132">
        <f t="shared" si="15"/>
        <v>0.25830080877821843</v>
      </c>
      <c r="S77" s="133">
        <f t="shared" si="15"/>
        <v>0.28543016089686379</v>
      </c>
      <c r="T77" s="134">
        <f t="shared" si="16"/>
        <v>9.0679302671348595E-3</v>
      </c>
      <c r="U77" s="134">
        <f t="shared" si="33"/>
        <v>0.24923287851108356</v>
      </c>
      <c r="V77" s="134">
        <f t="shared" si="34"/>
        <v>2.7129352118645367E-2</v>
      </c>
      <c r="W77" s="122">
        <f t="shared" si="35"/>
        <v>1.0813772713068603E-3</v>
      </c>
      <c r="X77" s="136">
        <f t="shared" si="18"/>
        <v>0</v>
      </c>
      <c r="Y77" s="38">
        <f t="shared" si="36"/>
        <v>18.599392069623217</v>
      </c>
      <c r="Z77" s="38">
        <f t="shared" si="19"/>
        <v>0</v>
      </c>
      <c r="AA77" s="136">
        <f t="shared" si="20"/>
        <v>0.25830080877821843</v>
      </c>
      <c r="AB77" s="136">
        <f t="shared" si="21"/>
        <v>2.7129352118645367E-2</v>
      </c>
      <c r="AC77" s="170">
        <f t="shared" si="22"/>
        <v>1.0813772713068603E-3</v>
      </c>
      <c r="AD77" s="38">
        <f t="shared" si="23"/>
        <v>161.36898812542228</v>
      </c>
      <c r="AE77" s="38">
        <f t="shared" si="24"/>
        <v>25.602070490741159</v>
      </c>
      <c r="AF77" s="38">
        <f t="shared" si="25"/>
        <v>17.258123414711559</v>
      </c>
      <c r="AG77" s="38">
        <f t="shared" si="26"/>
        <v>12.594312965174732</v>
      </c>
      <c r="AH77" s="38">
        <f t="shared" si="27"/>
        <v>216.82349499604973</v>
      </c>
      <c r="AI77" s="38">
        <f t="shared" si="28"/>
        <v>53.924003205517572</v>
      </c>
      <c r="AJ77" s="38">
        <f t="shared" si="29"/>
        <v>270.74749820156728</v>
      </c>
    </row>
    <row r="78" spans="2:36" x14ac:dyDescent="0.3">
      <c r="B78" s="3">
        <v>36</v>
      </c>
      <c r="C78" s="4">
        <v>221</v>
      </c>
      <c r="D78" s="4">
        <v>218</v>
      </c>
      <c r="E78" s="4"/>
      <c r="F78" s="40">
        <f t="shared" si="30"/>
        <v>0</v>
      </c>
      <c r="G78" s="1">
        <f t="shared" si="31"/>
        <v>21.95</v>
      </c>
      <c r="H78" s="37">
        <f t="shared" si="32"/>
        <v>3.7840679862029901E-2</v>
      </c>
      <c r="I78" s="1">
        <v>55</v>
      </c>
      <c r="J78" s="70">
        <f t="shared" si="8"/>
        <v>0</v>
      </c>
      <c r="K78" s="91" t="str">
        <f t="shared" si="9"/>
        <v/>
      </c>
      <c r="L78" s="91" t="str">
        <f t="shared" si="10"/>
        <v/>
      </c>
      <c r="M78" s="95">
        <f t="shared" si="11"/>
        <v>21.358972351261109</v>
      </c>
      <c r="N78" s="99">
        <f t="shared" si="12"/>
        <v>21.358972351261109</v>
      </c>
      <c r="O78" s="122">
        <f t="shared" si="13"/>
        <v>0.35343169721744128</v>
      </c>
      <c r="P78" s="122">
        <f t="shared" si="14"/>
        <v>0.28651153816817065</v>
      </c>
      <c r="Q78" s="132">
        <f t="shared" si="15"/>
        <v>9.0679302671348595E-3</v>
      </c>
      <c r="R78" s="132">
        <f t="shared" si="15"/>
        <v>0.25830080877821843</v>
      </c>
      <c r="S78" s="133">
        <f t="shared" si="15"/>
        <v>0.28543016089686379</v>
      </c>
      <c r="T78" s="134">
        <f t="shared" si="16"/>
        <v>9.0679302671348595E-3</v>
      </c>
      <c r="U78" s="134">
        <f t="shared" si="33"/>
        <v>0.24923287851108356</v>
      </c>
      <c r="V78" s="134">
        <f t="shared" si="34"/>
        <v>2.7129352118645367E-2</v>
      </c>
      <c r="W78" s="122">
        <f t="shared" si="35"/>
        <v>1.0813772713068603E-3</v>
      </c>
      <c r="X78" s="136">
        <f t="shared" si="18"/>
        <v>0</v>
      </c>
      <c r="Y78" s="38">
        <f t="shared" si="36"/>
        <v>18.599392069623217</v>
      </c>
      <c r="Z78" s="38">
        <f t="shared" si="19"/>
        <v>0</v>
      </c>
      <c r="AA78" s="136">
        <f t="shared" si="20"/>
        <v>0.25830080877821843</v>
      </c>
      <c r="AB78" s="136">
        <f t="shared" si="21"/>
        <v>2.7129352118645367E-2</v>
      </c>
      <c r="AC78" s="170">
        <f t="shared" si="22"/>
        <v>1.0813772713068603E-3</v>
      </c>
      <c r="AD78" s="38">
        <f t="shared" si="23"/>
        <v>161.36898812542228</v>
      </c>
      <c r="AE78" s="38">
        <f t="shared" si="24"/>
        <v>25.602070490741159</v>
      </c>
      <c r="AF78" s="38">
        <f t="shared" si="25"/>
        <v>17.258123414711559</v>
      </c>
      <c r="AG78" s="38">
        <f t="shared" si="26"/>
        <v>12.594312965174732</v>
      </c>
      <c r="AH78" s="38">
        <f t="shared" si="27"/>
        <v>216.82349499604973</v>
      </c>
      <c r="AI78" s="38">
        <f t="shared" si="28"/>
        <v>53.924003205517572</v>
      </c>
      <c r="AJ78" s="38">
        <f t="shared" si="29"/>
        <v>270.74749820156728</v>
      </c>
    </row>
    <row r="79" spans="2:36" x14ac:dyDescent="0.3">
      <c r="B79" s="3">
        <v>40</v>
      </c>
      <c r="C79" s="4">
        <v>214</v>
      </c>
      <c r="D79" s="4">
        <v>223</v>
      </c>
      <c r="E79" s="4"/>
      <c r="F79" s="40">
        <f t="shared" si="30"/>
        <v>0</v>
      </c>
      <c r="G79" s="1">
        <f t="shared" si="31"/>
        <v>21.85</v>
      </c>
      <c r="H79" s="37">
        <f t="shared" si="32"/>
        <v>3.7496675466461828E-2</v>
      </c>
      <c r="I79" s="1">
        <v>56</v>
      </c>
      <c r="J79" s="70">
        <f t="shared" si="8"/>
        <v>0</v>
      </c>
      <c r="K79" s="91" t="str">
        <f t="shared" si="9"/>
        <v/>
      </c>
      <c r="L79" s="91" t="str">
        <f t="shared" si="10"/>
        <v/>
      </c>
      <c r="M79" s="95">
        <f t="shared" si="11"/>
        <v>21.323180545525663</v>
      </c>
      <c r="N79" s="99">
        <f t="shared" si="12"/>
        <v>21.323180545525663</v>
      </c>
      <c r="O79" s="122">
        <f t="shared" si="13"/>
        <v>0.34987949875938079</v>
      </c>
      <c r="P79" s="122">
        <f t="shared" si="14"/>
        <v>0.28363785388038087</v>
      </c>
      <c r="Q79" s="132">
        <f t="shared" si="15"/>
        <v>8.3677465290701789E-3</v>
      </c>
      <c r="R79" s="132">
        <f t="shared" si="15"/>
        <v>0.25517118606936151</v>
      </c>
      <c r="S79" s="133">
        <f t="shared" si="15"/>
        <v>0.28254557643730849</v>
      </c>
      <c r="T79" s="134">
        <f t="shared" si="16"/>
        <v>8.3677465290701789E-3</v>
      </c>
      <c r="U79" s="134">
        <f t="shared" si="33"/>
        <v>0.24680343954029133</v>
      </c>
      <c r="V79" s="134">
        <f t="shared" si="34"/>
        <v>2.7374390367946977E-2</v>
      </c>
      <c r="W79" s="122">
        <f t="shared" si="35"/>
        <v>1.0922774430723869E-3</v>
      </c>
      <c r="X79" s="136">
        <f t="shared" si="18"/>
        <v>0</v>
      </c>
      <c r="Y79" s="38">
        <f t="shared" si="36"/>
        <v>18.510094310615621</v>
      </c>
      <c r="Z79" s="38">
        <f t="shared" si="19"/>
        <v>0</v>
      </c>
      <c r="AA79" s="136">
        <f t="shared" si="20"/>
        <v>0.25517118606936151</v>
      </c>
      <c r="AB79" s="136">
        <f t="shared" si="21"/>
        <v>2.7374390367946977E-2</v>
      </c>
      <c r="AC79" s="170">
        <f t="shared" si="22"/>
        <v>1.0922774430723869E-3</v>
      </c>
      <c r="AD79" s="38">
        <f t="shared" si="23"/>
        <v>159.69513630691296</v>
      </c>
      <c r="AE79" s="38">
        <f t="shared" si="24"/>
        <v>25.279362629831713</v>
      </c>
      <c r="AF79" s="38">
        <f t="shared" si="25"/>
        <v>17.084614009338381</v>
      </c>
      <c r="AG79" s="38">
        <f t="shared" si="26"/>
        <v>12.496094958208012</v>
      </c>
      <c r="AH79" s="38">
        <f t="shared" si="27"/>
        <v>214.55520790429108</v>
      </c>
      <c r="AI79" s="38">
        <f t="shared" si="28"/>
        <v>53.359880205797189</v>
      </c>
      <c r="AJ79" s="38">
        <f t="shared" si="29"/>
        <v>267.91508811008828</v>
      </c>
    </row>
    <row r="80" spans="2:36" x14ac:dyDescent="0.3">
      <c r="B80" s="3">
        <v>4</v>
      </c>
      <c r="C80" s="4">
        <v>216</v>
      </c>
      <c r="D80" s="4">
        <v>218</v>
      </c>
      <c r="E80" s="4"/>
      <c r="F80" s="40">
        <f t="shared" si="30"/>
        <v>0</v>
      </c>
      <c r="G80" s="1">
        <f t="shared" si="31"/>
        <v>21.7</v>
      </c>
      <c r="H80" s="37">
        <f t="shared" si="32"/>
        <v>3.6983614116222439E-2</v>
      </c>
      <c r="I80" s="1">
        <v>57</v>
      </c>
      <c r="J80" s="70">
        <f t="shared" si="8"/>
        <v>0</v>
      </c>
      <c r="K80" s="91" t="str">
        <f t="shared" si="9"/>
        <v/>
      </c>
      <c r="L80" s="91" t="str">
        <f t="shared" si="10"/>
        <v/>
      </c>
      <c r="M80" s="95">
        <f t="shared" si="11"/>
        <v>21.268988821161546</v>
      </c>
      <c r="N80" s="99">
        <f t="shared" si="12"/>
        <v>21.268988821161546</v>
      </c>
      <c r="O80" s="122">
        <f t="shared" si="13"/>
        <v>0.34458268289949562</v>
      </c>
      <c r="P80" s="122">
        <f t="shared" si="14"/>
        <v>0.27935232496384182</v>
      </c>
      <c r="Q80" s="132">
        <f t="shared" si="15"/>
        <v>7.3921637245362654E-3</v>
      </c>
      <c r="R80" s="132">
        <f t="shared" si="15"/>
        <v>0.2504967640471874</v>
      </c>
      <c r="S80" s="133">
        <f t="shared" si="15"/>
        <v>0.27824341539139685</v>
      </c>
      <c r="T80" s="134">
        <f t="shared" si="16"/>
        <v>7.3921637245362654E-3</v>
      </c>
      <c r="U80" s="134">
        <f t="shared" si="33"/>
        <v>0.24310460032265113</v>
      </c>
      <c r="V80" s="134">
        <f t="shared" si="34"/>
        <v>2.774665134420945E-2</v>
      </c>
      <c r="W80" s="122">
        <f t="shared" si="35"/>
        <v>1.1089095724449716E-3</v>
      </c>
      <c r="X80" s="136">
        <f t="shared" si="18"/>
        <v>0</v>
      </c>
      <c r="Y80" s="38">
        <f t="shared" si="36"/>
        <v>18.376137891878905</v>
      </c>
      <c r="Z80" s="38">
        <f t="shared" si="19"/>
        <v>0</v>
      </c>
      <c r="AA80" s="136">
        <f t="shared" si="20"/>
        <v>0.2504967640471874</v>
      </c>
      <c r="AB80" s="136">
        <f t="shared" si="21"/>
        <v>2.774665134420945E-2</v>
      </c>
      <c r="AC80" s="170">
        <f t="shared" si="22"/>
        <v>1.1089095724449716E-3</v>
      </c>
      <c r="AD80" s="38">
        <f t="shared" si="23"/>
        <v>157.19960691655371</v>
      </c>
      <c r="AE80" s="38">
        <f t="shared" si="24"/>
        <v>24.799810474266287</v>
      </c>
      <c r="AF80" s="38">
        <f t="shared" si="25"/>
        <v>16.826358622590647</v>
      </c>
      <c r="AG80" s="38">
        <f t="shared" si="26"/>
        <v>12.349497198391383</v>
      </c>
      <c r="AH80" s="38">
        <f t="shared" si="27"/>
        <v>211.17527321180202</v>
      </c>
      <c r="AI80" s="38">
        <f t="shared" si="28"/>
        <v>52.519290447775163</v>
      </c>
      <c r="AJ80" s="38">
        <f t="shared" si="29"/>
        <v>263.69456365957717</v>
      </c>
    </row>
    <row r="81" spans="2:36" x14ac:dyDescent="0.3">
      <c r="B81" s="4">
        <v>42</v>
      </c>
      <c r="C81" s="4">
        <v>215</v>
      </c>
      <c r="D81" s="4">
        <v>213</v>
      </c>
      <c r="E81" s="4"/>
      <c r="F81" s="40">
        <f t="shared" si="30"/>
        <v>0</v>
      </c>
      <c r="G81" s="1">
        <f t="shared" si="31"/>
        <v>21.4</v>
      </c>
      <c r="H81" s="37">
        <f t="shared" si="32"/>
        <v>3.5968094290949534E-2</v>
      </c>
      <c r="I81" s="1">
        <v>58</v>
      </c>
      <c r="J81" s="70">
        <f t="shared" si="8"/>
        <v>0</v>
      </c>
      <c r="K81" s="91" t="str">
        <f t="shared" si="9"/>
        <v/>
      </c>
      <c r="L81" s="91" t="str">
        <f t="shared" si="10"/>
        <v/>
      </c>
      <c r="M81" s="95">
        <f t="shared" si="11"/>
        <v>21.158753681987221</v>
      </c>
      <c r="N81" s="99">
        <f t="shared" si="12"/>
        <v>21.158753681987221</v>
      </c>
      <c r="O81" s="122">
        <f t="shared" si="13"/>
        <v>0.33410258117546521</v>
      </c>
      <c r="P81" s="122">
        <f t="shared" si="14"/>
        <v>0.27087144823548176</v>
      </c>
      <c r="Q81" s="132">
        <f t="shared" si="15"/>
        <v>5.6944187832168088E-3</v>
      </c>
      <c r="R81" s="132">
        <f t="shared" si="15"/>
        <v>0.24121996201148435</v>
      </c>
      <c r="S81" s="133">
        <f t="shared" si="15"/>
        <v>0.26972822724049977</v>
      </c>
      <c r="T81" s="134">
        <f t="shared" si="16"/>
        <v>5.6944187832168088E-3</v>
      </c>
      <c r="U81" s="134">
        <f t="shared" si="33"/>
        <v>0.23552554322826755</v>
      </c>
      <c r="V81" s="134">
        <f t="shared" si="34"/>
        <v>2.8508265229015423E-2</v>
      </c>
      <c r="W81" s="122">
        <f t="shared" si="35"/>
        <v>1.143220994981986E-3</v>
      </c>
      <c r="X81" s="136">
        <f t="shared" si="18"/>
        <v>0</v>
      </c>
      <c r="Y81" s="38">
        <f t="shared" si="36"/>
        <v>18.108188827534445</v>
      </c>
      <c r="Z81" s="38">
        <f t="shared" si="19"/>
        <v>0</v>
      </c>
      <c r="AA81" s="136">
        <f t="shared" si="20"/>
        <v>0.24121996201148435</v>
      </c>
      <c r="AB81" s="136">
        <f t="shared" si="21"/>
        <v>2.8508265229015423E-2</v>
      </c>
      <c r="AC81" s="170">
        <f t="shared" si="22"/>
        <v>1.143220994981986E-3</v>
      </c>
      <c r="AD81" s="38">
        <f t="shared" si="23"/>
        <v>152.26355717842446</v>
      </c>
      <c r="AE81" s="38">
        <f t="shared" si="24"/>
        <v>23.856877044574123</v>
      </c>
      <c r="AF81" s="38">
        <f t="shared" si="25"/>
        <v>16.317050911693059</v>
      </c>
      <c r="AG81" s="38">
        <f t="shared" si="26"/>
        <v>12.058927741479321</v>
      </c>
      <c r="AH81" s="38">
        <f t="shared" si="27"/>
        <v>204.49641287617095</v>
      </c>
      <c r="AI81" s="38">
        <f t="shared" si="28"/>
        <v>50.858257882303718</v>
      </c>
      <c r="AJ81" s="38">
        <f t="shared" si="29"/>
        <v>255.35467075847467</v>
      </c>
    </row>
    <row r="82" spans="2:36" x14ac:dyDescent="0.3">
      <c r="B82" s="4">
        <v>48</v>
      </c>
      <c r="C82" s="4">
        <v>215</v>
      </c>
      <c r="D82" s="4">
        <v>213</v>
      </c>
      <c r="E82" s="4"/>
      <c r="F82" s="40">
        <f t="shared" si="30"/>
        <v>0</v>
      </c>
      <c r="G82" s="1">
        <f t="shared" si="31"/>
        <v>21.4</v>
      </c>
      <c r="H82" s="37">
        <f t="shared" si="32"/>
        <v>3.5968094290949534E-2</v>
      </c>
      <c r="I82" s="1">
        <v>59</v>
      </c>
      <c r="J82" s="70">
        <f t="shared" si="8"/>
        <v>0</v>
      </c>
      <c r="K82" s="91" t="str">
        <f t="shared" si="9"/>
        <v/>
      </c>
      <c r="L82" s="91" t="str">
        <f t="shared" si="10"/>
        <v/>
      </c>
      <c r="M82" s="95">
        <f t="shared" si="11"/>
        <v>21.158753681987221</v>
      </c>
      <c r="N82" s="99">
        <f t="shared" si="12"/>
        <v>21.158753681987221</v>
      </c>
      <c r="O82" s="122">
        <f t="shared" si="13"/>
        <v>0.33410258117546521</v>
      </c>
      <c r="P82" s="122">
        <f t="shared" si="14"/>
        <v>0.27087144823548176</v>
      </c>
      <c r="Q82" s="132">
        <f t="shared" si="15"/>
        <v>5.6944187832168088E-3</v>
      </c>
      <c r="R82" s="132">
        <f t="shared" si="15"/>
        <v>0.24121996201148435</v>
      </c>
      <c r="S82" s="133">
        <f t="shared" si="15"/>
        <v>0.26972822724049977</v>
      </c>
      <c r="T82" s="134">
        <f t="shared" si="16"/>
        <v>5.6944187832168088E-3</v>
      </c>
      <c r="U82" s="134">
        <f t="shared" si="33"/>
        <v>0.23552554322826755</v>
      </c>
      <c r="V82" s="134">
        <f t="shared" si="34"/>
        <v>2.8508265229015423E-2</v>
      </c>
      <c r="W82" s="122">
        <f t="shared" si="35"/>
        <v>1.143220994981986E-3</v>
      </c>
      <c r="X82" s="136">
        <f t="shared" si="18"/>
        <v>0</v>
      </c>
      <c r="Y82" s="38">
        <f t="shared" si="36"/>
        <v>18.108188827534445</v>
      </c>
      <c r="Z82" s="38">
        <f t="shared" si="19"/>
        <v>0</v>
      </c>
      <c r="AA82" s="136">
        <f t="shared" si="20"/>
        <v>0.24121996201148435</v>
      </c>
      <c r="AB82" s="136">
        <f t="shared" si="21"/>
        <v>2.8508265229015423E-2</v>
      </c>
      <c r="AC82" s="170">
        <f t="shared" si="22"/>
        <v>1.143220994981986E-3</v>
      </c>
      <c r="AD82" s="38">
        <f t="shared" si="23"/>
        <v>152.26355717842446</v>
      </c>
      <c r="AE82" s="38">
        <f t="shared" si="24"/>
        <v>23.856877044574123</v>
      </c>
      <c r="AF82" s="38">
        <f t="shared" si="25"/>
        <v>16.317050911693059</v>
      </c>
      <c r="AG82" s="38">
        <f t="shared" si="26"/>
        <v>12.058927741479321</v>
      </c>
      <c r="AH82" s="38">
        <f t="shared" si="27"/>
        <v>204.49641287617095</v>
      </c>
      <c r="AI82" s="38">
        <f t="shared" si="28"/>
        <v>50.858257882303718</v>
      </c>
      <c r="AJ82" s="38">
        <f t="shared" si="29"/>
        <v>255.35467075847467</v>
      </c>
    </row>
    <row r="83" spans="2:36" x14ac:dyDescent="0.3">
      <c r="B83" s="4">
        <v>59</v>
      </c>
      <c r="C83" s="4">
        <v>212</v>
      </c>
      <c r="D83" s="4">
        <v>208</v>
      </c>
      <c r="E83" s="4"/>
      <c r="F83" s="40">
        <f t="shared" si="30"/>
        <v>0</v>
      </c>
      <c r="G83" s="1">
        <f t="shared" si="31"/>
        <v>21</v>
      </c>
      <c r="H83" s="37">
        <f t="shared" si="32"/>
        <v>3.4636059005827467E-2</v>
      </c>
      <c r="I83" s="1">
        <v>60</v>
      </c>
      <c r="J83" s="70">
        <f t="shared" si="8"/>
        <v>0</v>
      </c>
      <c r="K83" s="91" t="str">
        <f t="shared" si="9"/>
        <v/>
      </c>
      <c r="L83" s="91" t="str">
        <f t="shared" si="10"/>
        <v/>
      </c>
      <c r="M83" s="95">
        <f t="shared" si="11"/>
        <v>21.007809411692978</v>
      </c>
      <c r="N83" s="99">
        <f t="shared" si="12"/>
        <v>21.007809411692978</v>
      </c>
      <c r="O83" s="122">
        <f t="shared" si="13"/>
        <v>0.32036521601196372</v>
      </c>
      <c r="P83" s="122">
        <f t="shared" si="14"/>
        <v>0.25975127204127557</v>
      </c>
      <c r="Q83" s="132">
        <f t="shared" si="15"/>
        <v>3.9049664611603033E-3</v>
      </c>
      <c r="R83" s="132">
        <f t="shared" si="15"/>
        <v>0.22900040343054817</v>
      </c>
      <c r="S83" s="133">
        <f t="shared" si="15"/>
        <v>0.2585600215236345</v>
      </c>
      <c r="T83" s="134">
        <f t="shared" si="16"/>
        <v>3.9049664611603033E-3</v>
      </c>
      <c r="U83" s="134">
        <f t="shared" si="33"/>
        <v>0.22509543696938786</v>
      </c>
      <c r="V83" s="134">
        <f t="shared" si="34"/>
        <v>2.9559618093086326E-2</v>
      </c>
      <c r="W83" s="122">
        <f t="shared" si="35"/>
        <v>1.1912505176410737E-3</v>
      </c>
      <c r="X83" s="136">
        <f t="shared" si="18"/>
        <v>0</v>
      </c>
      <c r="Y83" s="38">
        <f t="shared" si="36"/>
        <v>17.750844841267543</v>
      </c>
      <c r="Z83" s="38">
        <f t="shared" si="19"/>
        <v>0</v>
      </c>
      <c r="AA83" s="136">
        <f t="shared" si="20"/>
        <v>0.22900040343054817</v>
      </c>
      <c r="AB83" s="136">
        <f t="shared" si="21"/>
        <v>2.9559618093086326E-2</v>
      </c>
      <c r="AC83" s="170">
        <f t="shared" si="22"/>
        <v>1.1912505176410737E-3</v>
      </c>
      <c r="AD83" s="38">
        <f t="shared" si="23"/>
        <v>145.79662335575082</v>
      </c>
      <c r="AE83" s="38">
        <f t="shared" si="24"/>
        <v>22.63296578158949</v>
      </c>
      <c r="AF83" s="38">
        <f t="shared" si="25"/>
        <v>15.652822424541679</v>
      </c>
      <c r="AG83" s="38">
        <f t="shared" si="26"/>
        <v>11.676950945490862</v>
      </c>
      <c r="AH83" s="38">
        <f t="shared" si="27"/>
        <v>195.75936250737286</v>
      </c>
      <c r="AI83" s="38">
        <f t="shared" si="28"/>
        <v>48.68535345558363</v>
      </c>
      <c r="AJ83" s="38">
        <f t="shared" si="29"/>
        <v>244.44471596295648</v>
      </c>
    </row>
    <row r="84" spans="2:36" x14ac:dyDescent="0.3">
      <c r="B84" s="3">
        <v>17</v>
      </c>
      <c r="C84" s="4">
        <v>212</v>
      </c>
      <c r="D84" s="4">
        <v>203</v>
      </c>
      <c r="E84" s="4"/>
      <c r="F84" s="40">
        <f t="shared" si="30"/>
        <v>0</v>
      </c>
      <c r="G84" s="1">
        <f t="shared" si="31"/>
        <v>20.75</v>
      </c>
      <c r="H84" s="37">
        <f t="shared" si="32"/>
        <v>3.381629967278138E-2</v>
      </c>
      <c r="I84" s="1">
        <v>61</v>
      </c>
      <c r="J84" s="70">
        <f t="shared" si="8"/>
        <v>0</v>
      </c>
      <c r="K84" s="91" t="str">
        <f t="shared" si="9"/>
        <v/>
      </c>
      <c r="L84" s="91" t="str">
        <f t="shared" si="10"/>
        <v/>
      </c>
      <c r="M84" s="95">
        <f t="shared" si="11"/>
        <v>20.911085238838883</v>
      </c>
      <c r="N84" s="99">
        <f t="shared" si="12"/>
        <v>20.911085238838883</v>
      </c>
      <c r="O84" s="122">
        <f t="shared" si="13"/>
        <v>0.31191680461877774</v>
      </c>
      <c r="P84" s="122">
        <f t="shared" si="14"/>
        <v>0.25291047781997161</v>
      </c>
      <c r="Q84" s="132">
        <f t="shared" si="15"/>
        <v>3.0276277084188515E-3</v>
      </c>
      <c r="R84" s="132">
        <f t="shared" si="15"/>
        <v>0.22145009159308052</v>
      </c>
      <c r="S84" s="133">
        <f t="shared" si="15"/>
        <v>0.25168781027235654</v>
      </c>
      <c r="T84" s="134">
        <f t="shared" si="16"/>
        <v>3.0276277084188515E-3</v>
      </c>
      <c r="U84" s="134">
        <f t="shared" si="33"/>
        <v>0.21842246388466166</v>
      </c>
      <c r="V84" s="134">
        <f t="shared" si="34"/>
        <v>3.0237718679276021E-2</v>
      </c>
      <c r="W84" s="122">
        <f t="shared" si="35"/>
        <v>1.222667547615075E-3</v>
      </c>
      <c r="X84" s="136">
        <f t="shared" si="18"/>
        <v>0</v>
      </c>
      <c r="Y84" s="38">
        <f t="shared" si="36"/>
        <v>17.527456894724953</v>
      </c>
      <c r="Z84" s="38">
        <f t="shared" si="19"/>
        <v>0</v>
      </c>
      <c r="AA84" s="136">
        <f t="shared" si="20"/>
        <v>0.22145009159308052</v>
      </c>
      <c r="AB84" s="136">
        <f t="shared" si="21"/>
        <v>3.0237718679276021E-2</v>
      </c>
      <c r="AC84" s="170">
        <f t="shared" si="22"/>
        <v>1.222667547615075E-3</v>
      </c>
      <c r="AD84" s="38">
        <f t="shared" si="23"/>
        <v>141.8214659769767</v>
      </c>
      <c r="AE84" s="38">
        <f t="shared" si="24"/>
        <v>21.887231297058367</v>
      </c>
      <c r="AF84" s="38">
        <f t="shared" si="25"/>
        <v>15.246237552677227</v>
      </c>
      <c r="AG84" s="38">
        <f t="shared" si="26"/>
        <v>11.44137956711887</v>
      </c>
      <c r="AH84" s="38">
        <f t="shared" si="27"/>
        <v>190.39631439383118</v>
      </c>
      <c r="AI84" s="38">
        <f t="shared" si="28"/>
        <v>47.351563389745813</v>
      </c>
      <c r="AJ84" s="38">
        <f t="shared" si="29"/>
        <v>237.747877783577</v>
      </c>
    </row>
    <row r="85" spans="2:36" x14ac:dyDescent="0.3">
      <c r="B85" s="3">
        <v>13</v>
      </c>
      <c r="C85" s="4">
        <v>205</v>
      </c>
      <c r="D85" s="4">
        <v>205</v>
      </c>
      <c r="E85" s="4"/>
      <c r="F85" s="40">
        <f t="shared" si="30"/>
        <v>0</v>
      </c>
      <c r="G85" s="1">
        <f t="shared" si="31"/>
        <v>20.5</v>
      </c>
      <c r="H85" s="37">
        <f t="shared" si="32"/>
        <v>3.3006357816777764E-2</v>
      </c>
      <c r="I85" s="1">
        <v>62</v>
      </c>
      <c r="J85" s="70">
        <f t="shared" si="8"/>
        <v>0</v>
      </c>
      <c r="K85" s="91" t="str">
        <f t="shared" si="9"/>
        <v/>
      </c>
      <c r="L85" s="91" t="str">
        <f t="shared" si="10"/>
        <v/>
      </c>
      <c r="M85" s="95">
        <f t="shared" si="11"/>
        <v>20.812463685324996</v>
      </c>
      <c r="N85" s="99">
        <f t="shared" si="12"/>
        <v>20.812463685324996</v>
      </c>
      <c r="O85" s="122">
        <f t="shared" si="13"/>
        <v>0.3035744266493301</v>
      </c>
      <c r="P85" s="122">
        <f t="shared" si="14"/>
        <v>0.24615407386170929</v>
      </c>
      <c r="Q85" s="132">
        <f t="shared" si="15"/>
        <v>2.3107458677209189E-3</v>
      </c>
      <c r="R85" s="132">
        <f t="shared" si="15"/>
        <v>0.21396681926964897</v>
      </c>
      <c r="S85" s="133">
        <f t="shared" si="15"/>
        <v>0.2448988555059041</v>
      </c>
      <c r="T85" s="134">
        <f t="shared" si="16"/>
        <v>2.3107458677209189E-3</v>
      </c>
      <c r="U85" s="134">
        <f t="shared" si="33"/>
        <v>0.21165607340192805</v>
      </c>
      <c r="V85" s="134">
        <f t="shared" si="34"/>
        <v>3.0932036236255123E-2</v>
      </c>
      <c r="W85" s="122">
        <f t="shared" si="35"/>
        <v>1.2552183558051933E-3</v>
      </c>
      <c r="X85" s="136">
        <f t="shared" si="18"/>
        <v>0</v>
      </c>
      <c r="Y85" s="38">
        <f t="shared" si="36"/>
        <v>17.304030227220693</v>
      </c>
      <c r="Z85" s="38">
        <f t="shared" si="19"/>
        <v>0</v>
      </c>
      <c r="AA85" s="136">
        <f t="shared" si="20"/>
        <v>0.21396681926964897</v>
      </c>
      <c r="AB85" s="136">
        <f t="shared" si="21"/>
        <v>3.0932036236255123E-2</v>
      </c>
      <c r="AC85" s="170">
        <f t="shared" si="22"/>
        <v>1.2552183558051933E-3</v>
      </c>
      <c r="AD85" s="38">
        <f t="shared" si="23"/>
        <v>137.8977793403559</v>
      </c>
      <c r="AE85" s="38">
        <f t="shared" si="24"/>
        <v>21.156174164614985</v>
      </c>
      <c r="AF85" s="38">
        <f t="shared" si="25"/>
        <v>14.846192115214611</v>
      </c>
      <c r="AG85" s="38">
        <f t="shared" si="26"/>
        <v>11.208243382255606</v>
      </c>
      <c r="AH85" s="38">
        <f t="shared" si="27"/>
        <v>185.1083890024411</v>
      </c>
      <c r="AI85" s="38">
        <f t="shared" si="28"/>
        <v>46.036456344907101</v>
      </c>
      <c r="AJ85" s="38">
        <f t="shared" si="29"/>
        <v>231.14484534734819</v>
      </c>
    </row>
    <row r="86" spans="2:36" x14ac:dyDescent="0.3">
      <c r="B86" s="4">
        <v>72</v>
      </c>
      <c r="C86" s="4">
        <v>198</v>
      </c>
      <c r="D86" s="4">
        <v>211</v>
      </c>
      <c r="E86" s="4"/>
      <c r="F86" s="40">
        <f t="shared" si="30"/>
        <v>0</v>
      </c>
      <c r="G86" s="1">
        <f t="shared" si="31"/>
        <v>20.45</v>
      </c>
      <c r="H86" s="37">
        <f t="shared" si="32"/>
        <v>3.2845547542822137E-2</v>
      </c>
      <c r="I86" s="1">
        <v>63</v>
      </c>
      <c r="J86" s="70">
        <f t="shared" si="8"/>
        <v>0</v>
      </c>
      <c r="K86" s="91" t="str">
        <f t="shared" si="9"/>
        <v/>
      </c>
      <c r="L86" s="91" t="str">
        <f t="shared" si="10"/>
        <v/>
      </c>
      <c r="M86" s="95">
        <f t="shared" si="11"/>
        <v>20.792506863654257</v>
      </c>
      <c r="N86" s="99">
        <f t="shared" si="12"/>
        <v>20.792506863654257</v>
      </c>
      <c r="O86" s="122">
        <f t="shared" si="13"/>
        <v>0.3019186980067986</v>
      </c>
      <c r="P86" s="122">
        <f t="shared" si="14"/>
        <v>0.24481294227554851</v>
      </c>
      <c r="Q86" s="132">
        <f t="shared" si="15"/>
        <v>2.1848161000622953E-3</v>
      </c>
      <c r="R86" s="132">
        <f t="shared" si="15"/>
        <v>0.2124782284798197</v>
      </c>
      <c r="S86" s="133">
        <f t="shared" si="15"/>
        <v>0.2435510732443818</v>
      </c>
      <c r="T86" s="134">
        <f t="shared" si="16"/>
        <v>2.1848161000622953E-3</v>
      </c>
      <c r="U86" s="134">
        <f t="shared" si="33"/>
        <v>0.21029341237975741</v>
      </c>
      <c r="V86" s="134">
        <f t="shared" si="34"/>
        <v>3.1072844764562096E-2</v>
      </c>
      <c r="W86" s="122">
        <f t="shared" si="35"/>
        <v>1.2618690311667069E-3</v>
      </c>
      <c r="X86" s="136">
        <f t="shared" si="18"/>
        <v>0</v>
      </c>
      <c r="Y86" s="38">
        <f t="shared" si="36"/>
        <v>17.259340105755239</v>
      </c>
      <c r="Z86" s="38">
        <f t="shared" si="19"/>
        <v>0</v>
      </c>
      <c r="AA86" s="136">
        <f t="shared" si="20"/>
        <v>0.2124782284798197</v>
      </c>
      <c r="AB86" s="136">
        <f t="shared" si="21"/>
        <v>3.1072844764562096E-2</v>
      </c>
      <c r="AC86" s="170">
        <f t="shared" si="22"/>
        <v>1.2618690311667069E-3</v>
      </c>
      <c r="AD86" s="38">
        <f t="shared" si="23"/>
        <v>137.11923195217773</v>
      </c>
      <c r="AE86" s="38">
        <f t="shared" si="24"/>
        <v>21.011716649439052</v>
      </c>
      <c r="AF86" s="38">
        <f t="shared" si="25"/>
        <v>14.76696454870404</v>
      </c>
      <c r="AG86" s="38">
        <f t="shared" si="26"/>
        <v>11.161908463051727</v>
      </c>
      <c r="AH86" s="38">
        <f t="shared" si="27"/>
        <v>184.05982161337255</v>
      </c>
      <c r="AI86" s="38">
        <f t="shared" si="28"/>
        <v>45.775677635245756</v>
      </c>
      <c r="AJ86" s="38">
        <f t="shared" si="29"/>
        <v>229.83549924861831</v>
      </c>
    </row>
    <row r="87" spans="2:36" x14ac:dyDescent="0.3">
      <c r="B87" s="4">
        <v>47</v>
      </c>
      <c r="C87" s="4">
        <v>197</v>
      </c>
      <c r="D87" s="4">
        <v>211</v>
      </c>
      <c r="E87" s="4"/>
      <c r="F87" s="40">
        <f t="shared" si="30"/>
        <v>0</v>
      </c>
      <c r="G87" s="1">
        <f t="shared" si="31"/>
        <v>20.399999999999999</v>
      </c>
      <c r="H87" s="37">
        <f t="shared" si="32"/>
        <v>3.2685129967948208E-2</v>
      </c>
      <c r="I87" s="1">
        <v>64</v>
      </c>
      <c r="J87" s="70">
        <f t="shared" si="8"/>
        <v>0</v>
      </c>
      <c r="K87" s="91" t="str">
        <f t="shared" si="9"/>
        <v/>
      </c>
      <c r="L87" s="91" t="str">
        <f t="shared" si="10"/>
        <v/>
      </c>
      <c r="M87" s="95">
        <f t="shared" si="11"/>
        <v>20.772471491691327</v>
      </c>
      <c r="N87" s="99">
        <f t="shared" si="12"/>
        <v>20.772471491691327</v>
      </c>
      <c r="O87" s="122">
        <f t="shared" si="13"/>
        <v>0.30026722325296873</v>
      </c>
      <c r="P87" s="122">
        <f t="shared" si="14"/>
        <v>0.24347519854365579</v>
      </c>
      <c r="Q87" s="132">
        <f t="shared" si="15"/>
        <v>2.0643246451005647E-3</v>
      </c>
      <c r="R87" s="132">
        <f t="shared" si="15"/>
        <v>0.21099233042352045</v>
      </c>
      <c r="S87" s="133">
        <f t="shared" si="15"/>
        <v>0.24220663102356488</v>
      </c>
      <c r="T87" s="134">
        <f t="shared" si="16"/>
        <v>2.0643246451005647E-3</v>
      </c>
      <c r="U87" s="134">
        <f t="shared" si="33"/>
        <v>0.20892800577841988</v>
      </c>
      <c r="V87" s="134">
        <f t="shared" si="34"/>
        <v>3.1214300600044431E-2</v>
      </c>
      <c r="W87" s="122">
        <f t="shared" si="35"/>
        <v>1.268567520090913E-3</v>
      </c>
      <c r="X87" s="136">
        <f t="shared" si="18"/>
        <v>0</v>
      </c>
      <c r="Y87" s="38">
        <f t="shared" si="36"/>
        <v>17.214648357296934</v>
      </c>
      <c r="Z87" s="38">
        <f t="shared" si="19"/>
        <v>0</v>
      </c>
      <c r="AA87" s="136">
        <f t="shared" si="20"/>
        <v>0.21099233042352045</v>
      </c>
      <c r="AB87" s="136">
        <f t="shared" si="21"/>
        <v>3.1214300600044431E-2</v>
      </c>
      <c r="AC87" s="170">
        <f t="shared" si="22"/>
        <v>1.268567520090913E-3</v>
      </c>
      <c r="AD87" s="38">
        <f t="shared" si="23"/>
        <v>136.34275075088865</v>
      </c>
      <c r="AE87" s="38">
        <f t="shared" si="24"/>
        <v>20.867842198820352</v>
      </c>
      <c r="AF87" s="38">
        <f t="shared" si="25"/>
        <v>14.687996806074041</v>
      </c>
      <c r="AG87" s="38">
        <f t="shared" si="26"/>
        <v>11.115671003504085</v>
      </c>
      <c r="AH87" s="38">
        <f t="shared" si="27"/>
        <v>183.01426075928714</v>
      </c>
      <c r="AI87" s="38">
        <f t="shared" si="28"/>
        <v>45.515646650834711</v>
      </c>
      <c r="AJ87" s="38">
        <f t="shared" si="29"/>
        <v>228.52990741012184</v>
      </c>
    </row>
    <row r="88" spans="2:36" x14ac:dyDescent="0.3">
      <c r="B88" s="3">
        <v>26</v>
      </c>
      <c r="C88" s="4">
        <v>207</v>
      </c>
      <c r="D88" s="4">
        <v>195</v>
      </c>
      <c r="E88" s="4"/>
      <c r="F88" s="40">
        <f t="shared" ref="F88:F97" si="37">IF(C88=0,1,0)</f>
        <v>0</v>
      </c>
      <c r="G88" s="1">
        <f t="shared" ref="G88:G97" si="38">(C88+D88)/20</f>
        <v>20.100000000000001</v>
      </c>
      <c r="H88" s="37">
        <f t="shared" ref="H88:H97" si="39">PI()/40000*G88^2</f>
        <v>3.1730871199420314E-2</v>
      </c>
      <c r="I88" s="1">
        <v>65</v>
      </c>
      <c r="J88" s="70">
        <f t="shared" si="8"/>
        <v>0</v>
      </c>
      <c r="K88" s="91" t="str">
        <f t="shared" si="9"/>
        <v/>
      </c>
      <c r="L88" s="91" t="str">
        <f t="shared" si="10"/>
        <v/>
      </c>
      <c r="M88" s="95">
        <f t="shared" si="11"/>
        <v>20.650583964382793</v>
      </c>
      <c r="N88" s="99">
        <f t="shared" si="12"/>
        <v>20.650583964382793</v>
      </c>
      <c r="O88" s="122">
        <f t="shared" si="13"/>
        <v>0.29044782513075462</v>
      </c>
      <c r="P88" s="122">
        <f t="shared" si="14"/>
        <v>0.23551999699869333</v>
      </c>
      <c r="Q88" s="132">
        <f t="shared" si="15"/>
        <v>1.4467638674943767E-3</v>
      </c>
      <c r="R88" s="132">
        <f t="shared" si="15"/>
        <v>0.20213362968310319</v>
      </c>
      <c r="S88" s="133">
        <f t="shared" si="15"/>
        <v>0.23421021024536728</v>
      </c>
      <c r="T88" s="134">
        <f t="shared" si="16"/>
        <v>1.4467638674943767E-3</v>
      </c>
      <c r="U88" s="134">
        <f t="shared" ref="U88:U97" si="40">R88-Q88</f>
        <v>0.20068686581560882</v>
      </c>
      <c r="V88" s="134">
        <f t="shared" ref="V88:V97" si="41">S88-R88</f>
        <v>3.207658056226409E-2</v>
      </c>
      <c r="W88" s="122">
        <f t="shared" ref="W88:W97" si="42">P88-S88</f>
        <v>1.3097867533260477E-3</v>
      </c>
      <c r="X88" s="136">
        <f t="shared" si="18"/>
        <v>0</v>
      </c>
      <c r="Y88" s="38">
        <f t="shared" ref="Y88:Y97" si="43">G88*($AF$18+$AG$18*LN(1-(3.1/N88)^(1/$AH$18)*(1-EXP($AI$18/$AJ$18))))</f>
        <v>16.946462928254327</v>
      </c>
      <c r="Z88" s="38">
        <f t="shared" si="19"/>
        <v>0</v>
      </c>
      <c r="AA88" s="136">
        <f t="shared" si="20"/>
        <v>0.20213362968310319</v>
      </c>
      <c r="AB88" s="136">
        <f t="shared" si="21"/>
        <v>3.207658056226409E-2</v>
      </c>
      <c r="AC88" s="170">
        <f t="shared" si="22"/>
        <v>1.3097867533260477E-3</v>
      </c>
      <c r="AD88" s="38">
        <f t="shared" si="23"/>
        <v>131.72732298425635</v>
      </c>
      <c r="AE88" s="38">
        <f t="shared" si="24"/>
        <v>20.016801871025965</v>
      </c>
      <c r="AF88" s="38">
        <f t="shared" si="25"/>
        <v>14.219630205626624</v>
      </c>
      <c r="AG88" s="38">
        <f t="shared" si="26"/>
        <v>10.840293397918888</v>
      </c>
      <c r="AH88" s="38">
        <f t="shared" si="27"/>
        <v>176.80404845882782</v>
      </c>
      <c r="AI88" s="38">
        <f t="shared" si="28"/>
        <v>43.971166851710478</v>
      </c>
      <c r="AJ88" s="38">
        <f t="shared" si="29"/>
        <v>220.7752153105383</v>
      </c>
    </row>
    <row r="89" spans="2:36" x14ac:dyDescent="0.3">
      <c r="B89" s="3">
        <v>25</v>
      </c>
      <c r="C89" s="4">
        <v>202</v>
      </c>
      <c r="D89" s="4">
        <v>199</v>
      </c>
      <c r="E89" s="4"/>
      <c r="F89" s="40">
        <f t="shared" si="37"/>
        <v>0</v>
      </c>
      <c r="G89" s="1">
        <f t="shared" si="38"/>
        <v>20.05</v>
      </c>
      <c r="H89" s="37">
        <f t="shared" si="39"/>
        <v>3.1573202518118272E-2</v>
      </c>
      <c r="I89" s="1">
        <v>66</v>
      </c>
      <c r="J89" s="70">
        <f t="shared" ref="J89:J97" si="44">IF(I89&lt;=14,1,0)</f>
        <v>0</v>
      </c>
      <c r="K89" s="91" t="str">
        <f t="shared" ref="K89:K97" si="45">IF(J89=1,E89*J89,"")</f>
        <v/>
      </c>
      <c r="L89" s="91" t="str">
        <f t="shared" ref="L89:L97" si="46">IF(J89=1,G89*J89,"")</f>
        <v/>
      </c>
      <c r="M89" s="95">
        <f t="shared" ref="M89:M97" si="47">$K$2*EXP(($J$17+$K$17*$K$2+$L$17*$K$4/1000+$M$17*$K$7)*(1/G89-1/$K$1))</f>
        <v>20.629985797290121</v>
      </c>
      <c r="N89" s="99">
        <f t="shared" ref="N89:N97" si="48">IF(E89&lt;&gt;"",E89,M89)</f>
        <v>20.629985797290121</v>
      </c>
      <c r="O89" s="122">
        <f t="shared" ref="O89:O97" si="49">$V$16*(G89/100)^$W$16*N89^$X$16</f>
        <v>0.28882618708568308</v>
      </c>
      <c r="P89" s="122">
        <f t="shared" ref="P89:P97" si="50">$Y$16*(G89/100)^$Z$16*N89^$AA$16</f>
        <v>0.23420602632225915</v>
      </c>
      <c r="Q89" s="132">
        <f t="shared" ref="Q89:S97" si="51">$P89*EXP(-$AB$16*Q$23^$AC$16/$G89^$AD$16)</f>
        <v>1.359965746403249E-3</v>
      </c>
      <c r="R89" s="132">
        <f t="shared" si="51"/>
        <v>0.20066665387088503</v>
      </c>
      <c r="S89" s="133">
        <f t="shared" si="51"/>
        <v>0.23288919418249177</v>
      </c>
      <c r="T89" s="134">
        <f t="shared" ref="T89:T97" si="52">Q89</f>
        <v>1.359965746403249E-3</v>
      </c>
      <c r="U89" s="134">
        <f t="shared" si="40"/>
        <v>0.1993066881244818</v>
      </c>
      <c r="V89" s="134">
        <f t="shared" si="41"/>
        <v>3.2222540311606734E-2</v>
      </c>
      <c r="W89" s="122">
        <f t="shared" si="42"/>
        <v>1.3168321397673821E-3</v>
      </c>
      <c r="X89" s="136">
        <f t="shared" ref="X89:X97" si="53">P89-SUM(T89:W89)</f>
        <v>0</v>
      </c>
      <c r="Y89" s="38">
        <f t="shared" si="43"/>
        <v>16.901759401845762</v>
      </c>
      <c r="Z89" s="38">
        <f t="shared" ref="Z89:Z97" si="54">IF(Y89&gt;=$Q$23,T89,0)</f>
        <v>0</v>
      </c>
      <c r="AA89" s="136">
        <f t="shared" ref="AA89:AA97" si="55">R89-Z89</f>
        <v>0.20066665387088503</v>
      </c>
      <c r="AB89" s="136">
        <f t="shared" ref="AB89:AB97" si="56">S89-R89</f>
        <v>3.2222540311606734E-2</v>
      </c>
      <c r="AC89" s="170">
        <f t="shared" ref="AC89:AC97" si="57">P89-S89</f>
        <v>1.3168321397673821E-3</v>
      </c>
      <c r="AD89" s="38">
        <f t="shared" ref="AD89:AD97" si="58">$AQ$14*G89^$AU$15*N89^$AS$14</f>
        <v>130.96533991251957</v>
      </c>
      <c r="AE89" s="38">
        <f t="shared" ref="AE89:AE97" si="59">$AQ$16*G89^$AU$17*N89^$AS$16</f>
        <v>19.876989854485608</v>
      </c>
      <c r="AF89" s="38">
        <f t="shared" ref="AF89:AF97" si="60">$AQ$18*G89^$AR$18*(N89/G89)^$AS$18</f>
        <v>14.142473001105341</v>
      </c>
      <c r="AG89" s="38">
        <f t="shared" ref="AG89:AG97" si="61">$AQ$19*G89^$AR$19*(N89/G89)^$AS$19</f>
        <v>10.794738406534485</v>
      </c>
      <c r="AH89" s="38">
        <f t="shared" ref="AH89:AH97" si="62">AG89+AF89+AE89+AD89</f>
        <v>175.779541174645</v>
      </c>
      <c r="AI89" s="38">
        <f t="shared" ref="AI89:AI97" si="63">0.2487*AH89</f>
        <v>43.716371890134212</v>
      </c>
      <c r="AJ89" s="38">
        <f t="shared" ref="AJ89:AJ97" si="64">AH89+AI89</f>
        <v>219.49591306477922</v>
      </c>
    </row>
    <row r="90" spans="2:36" x14ac:dyDescent="0.3">
      <c r="B90" s="4">
        <v>68</v>
      </c>
      <c r="C90" s="4">
        <v>188</v>
      </c>
      <c r="D90" s="4">
        <v>198</v>
      </c>
      <c r="E90" s="4"/>
      <c r="F90" s="40">
        <f t="shared" si="37"/>
        <v>0</v>
      </c>
      <c r="G90" s="1">
        <f t="shared" si="38"/>
        <v>19.3</v>
      </c>
      <c r="H90" s="37">
        <f t="shared" si="39"/>
        <v>2.9255296188391552E-2</v>
      </c>
      <c r="I90" s="1">
        <v>67</v>
      </c>
      <c r="J90" s="70">
        <f t="shared" si="44"/>
        <v>0</v>
      </c>
      <c r="K90" s="91" t="str">
        <f t="shared" si="45"/>
        <v/>
      </c>
      <c r="L90" s="91" t="str">
        <f t="shared" si="46"/>
        <v/>
      </c>
      <c r="M90" s="95">
        <f t="shared" si="47"/>
        <v>20.310860700550723</v>
      </c>
      <c r="N90" s="99">
        <f t="shared" si="48"/>
        <v>20.310860700550723</v>
      </c>
      <c r="O90" s="122">
        <f t="shared" si="49"/>
        <v>0.26501535032129236</v>
      </c>
      <c r="P90" s="122">
        <f t="shared" si="50"/>
        <v>0.21490620039951513</v>
      </c>
      <c r="Q90" s="132">
        <f t="shared" si="51"/>
        <v>4.8588267024433148E-4</v>
      </c>
      <c r="R90" s="132">
        <f t="shared" si="51"/>
        <v>0.17899017788663188</v>
      </c>
      <c r="S90" s="133">
        <f t="shared" si="51"/>
        <v>0.21347725614288152</v>
      </c>
      <c r="T90" s="134">
        <f t="shared" si="52"/>
        <v>4.8588267024433148E-4</v>
      </c>
      <c r="U90" s="134">
        <f t="shared" si="40"/>
        <v>0.17850429521638755</v>
      </c>
      <c r="V90" s="134">
        <f t="shared" si="41"/>
        <v>3.4487078256249637E-2</v>
      </c>
      <c r="W90" s="122">
        <f t="shared" si="42"/>
        <v>1.4289442566336186E-3</v>
      </c>
      <c r="X90" s="136">
        <f t="shared" si="53"/>
        <v>0</v>
      </c>
      <c r="Y90" s="38">
        <f t="shared" si="43"/>
        <v>16.230989059620271</v>
      </c>
      <c r="Z90" s="38">
        <f t="shared" si="54"/>
        <v>0</v>
      </c>
      <c r="AA90" s="136">
        <f t="shared" si="55"/>
        <v>0.17899017788663188</v>
      </c>
      <c r="AB90" s="136">
        <f t="shared" si="56"/>
        <v>3.4487078256249637E-2</v>
      </c>
      <c r="AC90" s="170">
        <f t="shared" si="57"/>
        <v>1.4289442566336186E-3</v>
      </c>
      <c r="AD90" s="38">
        <f t="shared" si="58"/>
        <v>119.78544657586899</v>
      </c>
      <c r="AE90" s="38">
        <f t="shared" si="59"/>
        <v>17.848735983611824</v>
      </c>
      <c r="AF90" s="38">
        <f t="shared" si="60"/>
        <v>13.015845178399115</v>
      </c>
      <c r="AG90" s="38">
        <f t="shared" si="61"/>
        <v>10.123122661990767</v>
      </c>
      <c r="AH90" s="38">
        <f t="shared" si="62"/>
        <v>160.7731503998707</v>
      </c>
      <c r="AI90" s="38">
        <f t="shared" si="63"/>
        <v>39.984282504447847</v>
      </c>
      <c r="AJ90" s="38">
        <f t="shared" si="64"/>
        <v>200.75743290431853</v>
      </c>
    </row>
    <row r="91" spans="2:36" x14ac:dyDescent="0.3">
      <c r="B91" s="4">
        <v>43</v>
      </c>
      <c r="C91" s="4">
        <v>194</v>
      </c>
      <c r="D91" s="4">
        <v>187</v>
      </c>
      <c r="E91" s="4"/>
      <c r="F91" s="40">
        <f t="shared" si="37"/>
        <v>0</v>
      </c>
      <c r="G91" s="1">
        <f t="shared" si="38"/>
        <v>19.05</v>
      </c>
      <c r="H91" s="37">
        <f t="shared" si="39"/>
        <v>2.8502295699234251E-2</v>
      </c>
      <c r="I91" s="1">
        <v>68</v>
      </c>
      <c r="J91" s="70">
        <f t="shared" si="44"/>
        <v>0</v>
      </c>
      <c r="K91" s="91" t="str">
        <f t="shared" si="45"/>
        <v/>
      </c>
      <c r="L91" s="91" t="str">
        <f t="shared" si="46"/>
        <v/>
      </c>
      <c r="M91" s="95">
        <f t="shared" si="47"/>
        <v>20.200075365525816</v>
      </c>
      <c r="N91" s="99">
        <f t="shared" si="48"/>
        <v>20.200075365525816</v>
      </c>
      <c r="O91" s="122">
        <f t="shared" si="49"/>
        <v>0.25729323251179775</v>
      </c>
      <c r="P91" s="122">
        <f t="shared" si="50"/>
        <v>0.20864440286919411</v>
      </c>
      <c r="Q91" s="132">
        <f t="shared" si="51"/>
        <v>3.2886465757844835E-4</v>
      </c>
      <c r="R91" s="132">
        <f t="shared" si="51"/>
        <v>0.17190320632216458</v>
      </c>
      <c r="S91" s="133">
        <f t="shared" si="51"/>
        <v>0.20717523162606832</v>
      </c>
      <c r="T91" s="134">
        <f t="shared" si="52"/>
        <v>3.2886465757844835E-4</v>
      </c>
      <c r="U91" s="134">
        <f t="shared" si="40"/>
        <v>0.17157434166458613</v>
      </c>
      <c r="V91" s="134">
        <f t="shared" si="41"/>
        <v>3.5272025303903748E-2</v>
      </c>
      <c r="W91" s="122">
        <f t="shared" si="42"/>
        <v>1.4691712431257886E-3</v>
      </c>
      <c r="X91" s="136">
        <f t="shared" si="53"/>
        <v>0</v>
      </c>
      <c r="Y91" s="38">
        <f t="shared" si="43"/>
        <v>16.007302633588413</v>
      </c>
      <c r="Z91" s="38">
        <f t="shared" si="54"/>
        <v>0</v>
      </c>
      <c r="AA91" s="136">
        <f t="shared" si="55"/>
        <v>0.17190320632216458</v>
      </c>
      <c r="AB91" s="136">
        <f t="shared" si="56"/>
        <v>3.5272025303903748E-2</v>
      </c>
      <c r="AC91" s="170">
        <f t="shared" si="57"/>
        <v>1.4691712431257886E-3</v>
      </c>
      <c r="AD91" s="38">
        <f t="shared" si="58"/>
        <v>116.16337092066865</v>
      </c>
      <c r="AE91" s="38">
        <f t="shared" si="59"/>
        <v>17.20112620223594</v>
      </c>
      <c r="AF91" s="38">
        <f t="shared" si="60"/>
        <v>12.653002558604406</v>
      </c>
      <c r="AG91" s="38">
        <f t="shared" si="61"/>
        <v>9.9041329629910901</v>
      </c>
      <c r="AH91" s="38">
        <f t="shared" si="62"/>
        <v>155.92163264450011</v>
      </c>
      <c r="AI91" s="38">
        <f t="shared" si="63"/>
        <v>38.777710038687175</v>
      </c>
      <c r="AJ91" s="38">
        <f t="shared" si="64"/>
        <v>194.6993426831873</v>
      </c>
    </row>
    <row r="92" spans="2:36" x14ac:dyDescent="0.3">
      <c r="B92" s="4">
        <v>79</v>
      </c>
      <c r="C92" s="4">
        <v>182</v>
      </c>
      <c r="D92" s="4">
        <v>190</v>
      </c>
      <c r="E92" s="4"/>
      <c r="F92" s="40">
        <f t="shared" si="37"/>
        <v>0</v>
      </c>
      <c r="G92" s="1">
        <f t="shared" si="38"/>
        <v>18.600000000000001</v>
      </c>
      <c r="H92" s="37">
        <f t="shared" si="39"/>
        <v>2.7171634860898124E-2</v>
      </c>
      <c r="I92" s="1">
        <v>69</v>
      </c>
      <c r="J92" s="70">
        <f t="shared" si="44"/>
        <v>0</v>
      </c>
      <c r="K92" s="91" t="str">
        <f t="shared" si="45"/>
        <v/>
      </c>
      <c r="L92" s="91" t="str">
        <f t="shared" si="46"/>
        <v/>
      </c>
      <c r="M92" s="95">
        <f t="shared" si="47"/>
        <v>19.994772711183668</v>
      </c>
      <c r="N92" s="99">
        <f t="shared" si="48"/>
        <v>19.994772711183668</v>
      </c>
      <c r="O92" s="122">
        <f t="shared" si="49"/>
        <v>0.24366547408126182</v>
      </c>
      <c r="P92" s="122">
        <f t="shared" si="50"/>
        <v>0.19759057161383947</v>
      </c>
      <c r="Q92" s="132">
        <f t="shared" si="51"/>
        <v>1.519211751588329E-4</v>
      </c>
      <c r="R92" s="132">
        <f t="shared" si="51"/>
        <v>0.159325401988101</v>
      </c>
      <c r="S92" s="133">
        <f t="shared" si="51"/>
        <v>0.1960450604755232</v>
      </c>
      <c r="T92" s="134">
        <f t="shared" si="52"/>
        <v>1.519211751588329E-4</v>
      </c>
      <c r="U92" s="134">
        <f t="shared" si="40"/>
        <v>0.15917348081294216</v>
      </c>
      <c r="V92" s="134">
        <f t="shared" si="41"/>
        <v>3.6719658487422202E-2</v>
      </c>
      <c r="W92" s="122">
        <f t="shared" si="42"/>
        <v>1.5455111383162745E-3</v>
      </c>
      <c r="X92" s="136">
        <f t="shared" si="53"/>
        <v>0</v>
      </c>
      <c r="Y92" s="38">
        <f t="shared" si="43"/>
        <v>15.604534858905575</v>
      </c>
      <c r="Z92" s="38">
        <f t="shared" si="54"/>
        <v>0</v>
      </c>
      <c r="AA92" s="136">
        <f t="shared" si="55"/>
        <v>0.159325401988101</v>
      </c>
      <c r="AB92" s="136">
        <f t="shared" si="56"/>
        <v>3.6719658487422202E-2</v>
      </c>
      <c r="AC92" s="170">
        <f t="shared" si="57"/>
        <v>1.5455111383162745E-3</v>
      </c>
      <c r="AD92" s="38">
        <f t="shared" si="58"/>
        <v>109.77617192299383</v>
      </c>
      <c r="AE92" s="38">
        <f t="shared" si="59"/>
        <v>16.070874836085224</v>
      </c>
      <c r="AF92" s="38">
        <f t="shared" si="60"/>
        <v>12.015705023653485</v>
      </c>
      <c r="AG92" s="38">
        <f t="shared" si="61"/>
        <v>9.5161093329314124</v>
      </c>
      <c r="AH92" s="38">
        <f t="shared" si="62"/>
        <v>147.37886111566394</v>
      </c>
      <c r="AI92" s="38">
        <f t="shared" si="63"/>
        <v>36.653122759465624</v>
      </c>
      <c r="AJ92" s="38">
        <f t="shared" si="64"/>
        <v>184.03198387512955</v>
      </c>
    </row>
    <row r="93" spans="2:36" x14ac:dyDescent="0.3">
      <c r="B93" s="4">
        <v>77</v>
      </c>
      <c r="C93" s="4">
        <v>179</v>
      </c>
      <c r="D93" s="4">
        <v>171</v>
      </c>
      <c r="E93" s="4"/>
      <c r="F93" s="40">
        <f t="shared" si="37"/>
        <v>0</v>
      </c>
      <c r="G93" s="1">
        <f t="shared" si="38"/>
        <v>17.5</v>
      </c>
      <c r="H93" s="37">
        <f t="shared" si="39"/>
        <v>2.4052818754046853E-2</v>
      </c>
      <c r="I93" s="1">
        <v>70</v>
      </c>
      <c r="J93" s="70">
        <f t="shared" si="44"/>
        <v>0</v>
      </c>
      <c r="K93" s="91" t="str">
        <f t="shared" si="45"/>
        <v/>
      </c>
      <c r="L93" s="91" t="str">
        <f t="shared" si="46"/>
        <v/>
      </c>
      <c r="M93" s="95">
        <f t="shared" si="47"/>
        <v>19.458578391491976</v>
      </c>
      <c r="N93" s="99">
        <f t="shared" si="48"/>
        <v>19.458578391491976</v>
      </c>
      <c r="O93" s="122">
        <f t="shared" si="49"/>
        <v>0.21183525201371312</v>
      </c>
      <c r="P93" s="122">
        <f t="shared" si="50"/>
        <v>0.17175619253684499</v>
      </c>
      <c r="Q93" s="132">
        <f t="shared" si="51"/>
        <v>1.4441463503988362E-5</v>
      </c>
      <c r="R93" s="132">
        <f t="shared" si="51"/>
        <v>0.12959226875063101</v>
      </c>
      <c r="S93" s="133">
        <f t="shared" si="51"/>
        <v>0.17000023780188486</v>
      </c>
      <c r="T93" s="134">
        <f t="shared" si="52"/>
        <v>1.4441463503988362E-5</v>
      </c>
      <c r="U93" s="134">
        <f t="shared" si="40"/>
        <v>0.12957782728712702</v>
      </c>
      <c r="V93" s="134">
        <f t="shared" si="41"/>
        <v>4.040796905125385E-2</v>
      </c>
      <c r="W93" s="122">
        <f t="shared" si="42"/>
        <v>1.7559547349601246E-3</v>
      </c>
      <c r="X93" s="136">
        <f t="shared" si="53"/>
        <v>0</v>
      </c>
      <c r="Y93" s="38">
        <f t="shared" si="43"/>
        <v>14.61919054591522</v>
      </c>
      <c r="Z93" s="38">
        <f t="shared" si="54"/>
        <v>0</v>
      </c>
      <c r="AA93" s="136">
        <f t="shared" si="55"/>
        <v>0.12959226875063101</v>
      </c>
      <c r="AB93" s="136">
        <f t="shared" si="56"/>
        <v>4.040796905125385E-2</v>
      </c>
      <c r="AC93" s="170">
        <f t="shared" si="57"/>
        <v>1.7559547349601246E-3</v>
      </c>
      <c r="AD93" s="38">
        <f t="shared" si="58"/>
        <v>94.885921123491812</v>
      </c>
      <c r="AE93" s="38">
        <f t="shared" si="59"/>
        <v>13.496914262020109</v>
      </c>
      <c r="AF93" s="38">
        <f t="shared" si="60"/>
        <v>10.542246916354442</v>
      </c>
      <c r="AG93" s="38">
        <f t="shared" si="61"/>
        <v>8.6009833635930466</v>
      </c>
      <c r="AH93" s="38">
        <f t="shared" si="62"/>
        <v>127.52606566545941</v>
      </c>
      <c r="AI93" s="38">
        <f t="shared" si="63"/>
        <v>31.715732530999755</v>
      </c>
      <c r="AJ93" s="38">
        <f t="shared" si="64"/>
        <v>159.24179819645917</v>
      </c>
    </row>
    <row r="94" spans="2:36" x14ac:dyDescent="0.3">
      <c r="B94" s="3">
        <v>29</v>
      </c>
      <c r="C94" s="4">
        <v>162</v>
      </c>
      <c r="D94" s="4">
        <v>185</v>
      </c>
      <c r="E94" s="4"/>
      <c r="F94" s="40">
        <f t="shared" si="37"/>
        <v>0</v>
      </c>
      <c r="G94" s="1">
        <f t="shared" si="38"/>
        <v>17.350000000000001</v>
      </c>
      <c r="H94" s="37">
        <f t="shared" si="39"/>
        <v>2.3642251864130839E-2</v>
      </c>
      <c r="I94" s="1">
        <v>71</v>
      </c>
      <c r="J94" s="70">
        <f t="shared" si="44"/>
        <v>0</v>
      </c>
      <c r="K94" s="91" t="str">
        <f t="shared" si="45"/>
        <v/>
      </c>
      <c r="L94" s="91" t="str">
        <f t="shared" si="46"/>
        <v/>
      </c>
      <c r="M94" s="95">
        <f t="shared" si="47"/>
        <v>19.381407133625352</v>
      </c>
      <c r="N94" s="99">
        <f t="shared" si="48"/>
        <v>19.381407133625352</v>
      </c>
      <c r="O94" s="122">
        <f t="shared" si="49"/>
        <v>0.2076587685162582</v>
      </c>
      <c r="P94" s="122">
        <f t="shared" si="50"/>
        <v>0.16836475747510637</v>
      </c>
      <c r="Q94" s="132">
        <f t="shared" si="51"/>
        <v>9.8440625804267747E-6</v>
      </c>
      <c r="R94" s="132">
        <f t="shared" si="51"/>
        <v>0.1256555668379018</v>
      </c>
      <c r="S94" s="133">
        <f t="shared" si="51"/>
        <v>0.16657719059251358</v>
      </c>
      <c r="T94" s="134">
        <f t="shared" si="52"/>
        <v>9.8440625804267747E-6</v>
      </c>
      <c r="U94" s="134">
        <f t="shared" si="40"/>
        <v>0.12564572277532138</v>
      </c>
      <c r="V94" s="134">
        <f t="shared" si="41"/>
        <v>4.092162375461178E-2</v>
      </c>
      <c r="W94" s="122">
        <f t="shared" si="42"/>
        <v>1.7875668825927948E-3</v>
      </c>
      <c r="X94" s="136">
        <f t="shared" si="53"/>
        <v>0</v>
      </c>
      <c r="Y94" s="38">
        <f t="shared" si="43"/>
        <v>14.484727328993928</v>
      </c>
      <c r="Z94" s="38">
        <f t="shared" si="54"/>
        <v>0</v>
      </c>
      <c r="AA94" s="136">
        <f t="shared" si="55"/>
        <v>0.1256555668379018</v>
      </c>
      <c r="AB94" s="136">
        <f t="shared" si="56"/>
        <v>4.092162375461178E-2</v>
      </c>
      <c r="AC94" s="170">
        <f t="shared" si="57"/>
        <v>1.7875668825927948E-3</v>
      </c>
      <c r="AD94" s="38">
        <f t="shared" si="58"/>
        <v>92.935516367411267</v>
      </c>
      <c r="AE94" s="38">
        <f t="shared" si="59"/>
        <v>13.166373775357963</v>
      </c>
      <c r="AF94" s="38">
        <f t="shared" si="60"/>
        <v>10.350469664493774</v>
      </c>
      <c r="AG94" s="38">
        <f t="shared" si="61"/>
        <v>8.4798689727281413</v>
      </c>
      <c r="AH94" s="38">
        <f t="shared" si="62"/>
        <v>124.93222877999114</v>
      </c>
      <c r="AI94" s="38">
        <f t="shared" si="63"/>
        <v>31.070645297583795</v>
      </c>
      <c r="AJ94" s="38">
        <f t="shared" si="64"/>
        <v>156.00287407757492</v>
      </c>
    </row>
    <row r="95" spans="2:36" x14ac:dyDescent="0.3">
      <c r="B95" s="4">
        <v>69</v>
      </c>
      <c r="C95" s="4">
        <v>170</v>
      </c>
      <c r="D95" s="4">
        <v>155</v>
      </c>
      <c r="E95" s="4"/>
      <c r="F95" s="40">
        <f t="shared" si="37"/>
        <v>0</v>
      </c>
      <c r="G95" s="1">
        <f t="shared" si="38"/>
        <v>16.25</v>
      </c>
      <c r="H95" s="37">
        <f t="shared" si="39"/>
        <v>2.0739420252213869E-2</v>
      </c>
      <c r="I95" s="1">
        <v>72</v>
      </c>
      <c r="J95" s="70">
        <f t="shared" si="44"/>
        <v>0</v>
      </c>
      <c r="K95" s="91" t="str">
        <f t="shared" si="45"/>
        <v/>
      </c>
      <c r="L95" s="91" t="str">
        <f t="shared" si="46"/>
        <v/>
      </c>
      <c r="M95" s="95">
        <f t="shared" si="47"/>
        <v>18.782607382830935</v>
      </c>
      <c r="N95" s="99">
        <f t="shared" si="48"/>
        <v>18.782607382830935</v>
      </c>
      <c r="O95" s="122">
        <f t="shared" si="49"/>
        <v>0.17824459765065825</v>
      </c>
      <c r="P95" s="122">
        <f t="shared" si="50"/>
        <v>0.14446862743246799</v>
      </c>
      <c r="Q95" s="132">
        <f t="shared" si="51"/>
        <v>3.2220461820567255E-7</v>
      </c>
      <c r="R95" s="132">
        <f t="shared" si="51"/>
        <v>9.7751017788638275E-2</v>
      </c>
      <c r="S95" s="133">
        <f t="shared" si="51"/>
        <v>0.14242440565445996</v>
      </c>
      <c r="T95" s="134">
        <f t="shared" si="52"/>
        <v>3.2220461820567255E-7</v>
      </c>
      <c r="U95" s="134">
        <f t="shared" si="40"/>
        <v>9.7750695584020067E-2</v>
      </c>
      <c r="V95" s="134">
        <f t="shared" si="41"/>
        <v>4.4673387865821687E-2</v>
      </c>
      <c r="W95" s="122">
        <f t="shared" si="42"/>
        <v>2.0442217780080318E-3</v>
      </c>
      <c r="X95" s="136">
        <f t="shared" si="53"/>
        <v>0</v>
      </c>
      <c r="Y95" s="38">
        <f t="shared" si="43"/>
        <v>13.497822419112811</v>
      </c>
      <c r="Z95" s="38">
        <f t="shared" si="54"/>
        <v>0</v>
      </c>
      <c r="AA95" s="136">
        <f t="shared" si="55"/>
        <v>9.7751017788638275E-2</v>
      </c>
      <c r="AB95" s="136">
        <f t="shared" si="56"/>
        <v>4.4673387865821687E-2</v>
      </c>
      <c r="AC95" s="170">
        <f t="shared" si="57"/>
        <v>2.0442217780080318E-3</v>
      </c>
      <c r="AD95" s="38">
        <f t="shared" si="58"/>
        <v>79.225953055846972</v>
      </c>
      <c r="AE95" s="38">
        <f t="shared" si="59"/>
        <v>10.889090358309765</v>
      </c>
      <c r="AF95" s="38">
        <f t="shared" si="60"/>
        <v>9.0098525710386141</v>
      </c>
      <c r="AG95" s="38">
        <f t="shared" si="61"/>
        <v>7.6187083805048736</v>
      </c>
      <c r="AH95" s="38">
        <f t="shared" si="62"/>
        <v>106.74360436570022</v>
      </c>
      <c r="AI95" s="38">
        <f t="shared" si="63"/>
        <v>26.547134405749645</v>
      </c>
      <c r="AJ95" s="38">
        <f t="shared" si="64"/>
        <v>133.29073877144987</v>
      </c>
    </row>
    <row r="96" spans="2:36" x14ac:dyDescent="0.3">
      <c r="B96" s="3">
        <v>24</v>
      </c>
      <c r="C96" s="4">
        <v>147</v>
      </c>
      <c r="D96" s="4">
        <v>146</v>
      </c>
      <c r="E96" s="4"/>
      <c r="F96" s="40">
        <f t="shared" si="37"/>
        <v>0</v>
      </c>
      <c r="G96" s="1">
        <f t="shared" si="38"/>
        <v>14.65</v>
      </c>
      <c r="H96" s="37">
        <f t="shared" si="39"/>
        <v>1.6856411732376883E-2</v>
      </c>
      <c r="I96" s="1">
        <v>73</v>
      </c>
      <c r="J96" s="70">
        <f t="shared" si="44"/>
        <v>0</v>
      </c>
      <c r="K96" s="91" t="str">
        <f t="shared" si="45"/>
        <v/>
      </c>
      <c r="L96" s="91" t="str">
        <f t="shared" si="46"/>
        <v/>
      </c>
      <c r="M96" s="95">
        <f t="shared" si="47"/>
        <v>17.79416362566716</v>
      </c>
      <c r="N96" s="99">
        <f t="shared" si="48"/>
        <v>17.79416362566716</v>
      </c>
      <c r="O96" s="122">
        <f t="shared" si="49"/>
        <v>0.13931549324312625</v>
      </c>
      <c r="P96" s="122">
        <f t="shared" si="50"/>
        <v>0.11281443581439342</v>
      </c>
      <c r="Q96" s="132">
        <f t="shared" si="51"/>
        <v>1.3282730799126365E-10</v>
      </c>
      <c r="R96" s="132">
        <f t="shared" si="51"/>
        <v>6.0859673487814119E-2</v>
      </c>
      <c r="S96" s="133">
        <f t="shared" si="51"/>
        <v>0.11030276899338018</v>
      </c>
      <c r="T96" s="134">
        <f t="shared" si="52"/>
        <v>1.3282730799126365E-10</v>
      </c>
      <c r="U96" s="134">
        <f t="shared" si="40"/>
        <v>6.0859673354986814E-2</v>
      </c>
      <c r="V96" s="134">
        <f t="shared" si="41"/>
        <v>4.9443095505566061E-2</v>
      </c>
      <c r="W96" s="122">
        <f t="shared" si="42"/>
        <v>2.5116668210132392E-3</v>
      </c>
      <c r="X96" s="136">
        <f t="shared" si="53"/>
        <v>0</v>
      </c>
      <c r="Y96" s="38">
        <f t="shared" si="43"/>
        <v>12.059065792798897</v>
      </c>
      <c r="Z96" s="38">
        <f t="shared" si="54"/>
        <v>0</v>
      </c>
      <c r="AA96" s="136">
        <f t="shared" si="55"/>
        <v>6.0859673487814119E-2</v>
      </c>
      <c r="AB96" s="136">
        <f t="shared" si="56"/>
        <v>4.9443095505566061E-2</v>
      </c>
      <c r="AC96" s="170">
        <f t="shared" si="57"/>
        <v>2.5116668210132392E-3</v>
      </c>
      <c r="AD96" s="38">
        <f t="shared" si="58"/>
        <v>61.173381608402771</v>
      </c>
      <c r="AE96" s="38">
        <f t="shared" si="59"/>
        <v>8.0242434745214712</v>
      </c>
      <c r="AF96" s="38">
        <f t="shared" si="60"/>
        <v>7.261216623692575</v>
      </c>
      <c r="AG96" s="38">
        <f t="shared" si="61"/>
        <v>6.4512393901631846</v>
      </c>
      <c r="AH96" s="38">
        <f t="shared" si="62"/>
        <v>82.910081096780004</v>
      </c>
      <c r="AI96" s="38">
        <f t="shared" si="63"/>
        <v>20.619737168769188</v>
      </c>
      <c r="AJ96" s="38">
        <f t="shared" si="64"/>
        <v>103.5298182655492</v>
      </c>
    </row>
    <row r="97" spans="2:36" x14ac:dyDescent="0.3">
      <c r="B97" s="151">
        <v>56</v>
      </c>
      <c r="C97" s="151">
        <v>141</v>
      </c>
      <c r="D97" s="151">
        <v>140</v>
      </c>
      <c r="E97" s="151"/>
      <c r="F97" s="152">
        <f t="shared" si="37"/>
        <v>0</v>
      </c>
      <c r="G97" s="153">
        <f t="shared" si="38"/>
        <v>14.05</v>
      </c>
      <c r="H97" s="154">
        <f t="shared" si="39"/>
        <v>1.5503956095006481E-2</v>
      </c>
      <c r="I97" s="153">
        <v>74</v>
      </c>
      <c r="J97" s="155">
        <f t="shared" si="44"/>
        <v>0</v>
      </c>
      <c r="K97" s="156" t="str">
        <f t="shared" si="45"/>
        <v/>
      </c>
      <c r="L97" s="156" t="str">
        <f t="shared" si="46"/>
        <v/>
      </c>
      <c r="M97" s="157">
        <f t="shared" si="47"/>
        <v>17.38179397540188</v>
      </c>
      <c r="N97" s="158">
        <f t="shared" si="48"/>
        <v>17.38179397540188</v>
      </c>
      <c r="O97" s="159">
        <f t="shared" si="49"/>
        <v>0.12591090625233017</v>
      </c>
      <c r="P97" s="159">
        <f t="shared" si="50"/>
        <v>0.10190823809533482</v>
      </c>
      <c r="Q97" s="160">
        <f t="shared" si="51"/>
        <v>1.8608729290404861E-12</v>
      </c>
      <c r="R97" s="160">
        <f t="shared" si="51"/>
        <v>4.8513074563469059E-2</v>
      </c>
      <c r="S97" s="161">
        <f t="shared" si="51"/>
        <v>9.9185808041870771E-2</v>
      </c>
      <c r="T97" s="162">
        <f t="shared" si="52"/>
        <v>1.8608729290404861E-12</v>
      </c>
      <c r="U97" s="162">
        <f t="shared" si="40"/>
        <v>4.8513074561608187E-2</v>
      </c>
      <c r="V97" s="162">
        <f t="shared" si="41"/>
        <v>5.0672733478401712E-2</v>
      </c>
      <c r="W97" s="159">
        <f t="shared" si="42"/>
        <v>2.7224300534640505E-3</v>
      </c>
      <c r="X97" s="136">
        <f t="shared" si="53"/>
        <v>0</v>
      </c>
      <c r="Y97" s="38">
        <f t="shared" si="43"/>
        <v>11.518254015040879</v>
      </c>
      <c r="Z97" s="38">
        <f t="shared" si="54"/>
        <v>0</v>
      </c>
      <c r="AA97" s="136">
        <f t="shared" si="55"/>
        <v>4.8513074563469059E-2</v>
      </c>
      <c r="AB97" s="136">
        <f t="shared" si="56"/>
        <v>5.0672733478401712E-2</v>
      </c>
      <c r="AC97" s="170">
        <f t="shared" si="57"/>
        <v>2.7224300534640505E-3</v>
      </c>
      <c r="AD97" s="38">
        <f t="shared" si="58"/>
        <v>54.989559727689965</v>
      </c>
      <c r="AE97" s="38">
        <f t="shared" si="59"/>
        <v>7.0817619532446345</v>
      </c>
      <c r="AF97" s="38">
        <f t="shared" si="60"/>
        <v>6.6651222870833511</v>
      </c>
      <c r="AG97" s="38">
        <f t="shared" si="61"/>
        <v>6.0395601936009573</v>
      </c>
      <c r="AH97" s="38">
        <f t="shared" si="62"/>
        <v>74.776004161618914</v>
      </c>
      <c r="AI97" s="38">
        <f t="shared" si="63"/>
        <v>18.596792234994624</v>
      </c>
      <c r="AJ97" s="38">
        <f t="shared" si="64"/>
        <v>93.372796396613538</v>
      </c>
    </row>
    <row r="98" spans="2:36" s="163" customFormat="1" x14ac:dyDescent="0.3">
      <c r="B98" s="164"/>
      <c r="C98" s="165"/>
      <c r="D98" s="165"/>
      <c r="E98" s="165"/>
      <c r="F98" s="135"/>
      <c r="J98" s="166"/>
      <c r="M98" s="167"/>
      <c r="O98" s="168"/>
      <c r="P98" s="168"/>
      <c r="T98" s="169"/>
      <c r="U98" s="169"/>
      <c r="V98" s="168"/>
      <c r="X98" s="169"/>
    </row>
    <row r="99" spans="2:36" s="163" customFormat="1" x14ac:dyDescent="0.3">
      <c r="B99" s="164"/>
      <c r="C99" s="165"/>
      <c r="D99" s="165"/>
      <c r="E99" s="165"/>
      <c r="F99" s="135"/>
      <c r="J99" s="166"/>
      <c r="M99" s="167"/>
      <c r="O99" s="168"/>
      <c r="P99" s="168"/>
      <c r="T99" s="169"/>
      <c r="U99" s="169"/>
      <c r="V99" s="168"/>
      <c r="X99" s="169"/>
    </row>
    <row r="100" spans="2:36" s="163" customFormat="1" x14ac:dyDescent="0.3">
      <c r="B100" s="164"/>
      <c r="C100" s="165"/>
      <c r="D100" s="165"/>
      <c r="E100" s="165"/>
      <c r="F100" s="135"/>
      <c r="J100" s="166"/>
      <c r="M100" s="167"/>
      <c r="O100" s="168"/>
      <c r="P100" s="168"/>
      <c r="T100" s="169"/>
      <c r="U100" s="169"/>
      <c r="V100" s="168"/>
      <c r="X100" s="169"/>
    </row>
    <row r="101" spans="2:36" s="163" customFormat="1" x14ac:dyDescent="0.3">
      <c r="B101" s="165"/>
      <c r="C101" s="165"/>
      <c r="D101" s="165"/>
      <c r="E101" s="165"/>
      <c r="F101" s="135"/>
      <c r="J101" s="166"/>
      <c r="M101" s="167"/>
      <c r="O101" s="168"/>
      <c r="P101" s="168"/>
      <c r="T101" s="169"/>
      <c r="U101" s="169"/>
      <c r="V101" s="168"/>
      <c r="X101" s="169"/>
    </row>
    <row r="102" spans="2:36" s="163" customFormat="1" x14ac:dyDescent="0.3">
      <c r="B102" s="165"/>
      <c r="C102" s="165"/>
      <c r="D102" s="165"/>
      <c r="E102" s="165"/>
      <c r="F102" s="135"/>
      <c r="J102" s="166"/>
      <c r="M102" s="167"/>
      <c r="O102" s="168"/>
      <c r="P102" s="168"/>
      <c r="T102" s="169"/>
      <c r="U102" s="169"/>
      <c r="V102" s="168"/>
      <c r="X102" s="169"/>
    </row>
    <row r="103" spans="2:36" s="163" customFormat="1" x14ac:dyDescent="0.3">
      <c r="B103" s="165"/>
      <c r="C103" s="165"/>
      <c r="D103" s="165"/>
      <c r="E103" s="165"/>
      <c r="F103" s="135"/>
      <c r="J103" s="166"/>
      <c r="M103" s="167"/>
      <c r="O103" s="168"/>
      <c r="P103" s="168"/>
      <c r="T103" s="169"/>
      <c r="U103" s="169"/>
      <c r="V103" s="168"/>
      <c r="X103" s="169"/>
    </row>
    <row r="104" spans="2:36" s="163" customFormat="1" x14ac:dyDescent="0.3">
      <c r="J104" s="166"/>
    </row>
  </sheetData>
  <sortState ref="B15:H94">
    <sortCondition descending="1" ref="E15:E94"/>
    <sortCondition descending="1" ref="G15:G94"/>
  </sortState>
  <mergeCells count="42">
    <mergeCell ref="AD22:AJ22"/>
    <mergeCell ref="AP22:AS22"/>
    <mergeCell ref="AO23:AT23"/>
    <mergeCell ref="AO20:AO21"/>
    <mergeCell ref="AT20:AT21"/>
    <mergeCell ref="AP20:AS21"/>
    <mergeCell ref="AP16:AP17"/>
    <mergeCell ref="AQ16:AQ17"/>
    <mergeCell ref="AR16:AR17"/>
    <mergeCell ref="AS16:AS17"/>
    <mergeCell ref="AT16:AT17"/>
    <mergeCell ref="AO12:AT12"/>
    <mergeCell ref="AP14:AP15"/>
    <mergeCell ref="AQ14:AQ15"/>
    <mergeCell ref="AR14:AR15"/>
    <mergeCell ref="AS14:AS15"/>
    <mergeCell ref="AT14:AT15"/>
    <mergeCell ref="AO7:AT7"/>
    <mergeCell ref="AO8:AT8"/>
    <mergeCell ref="AO9:AT9"/>
    <mergeCell ref="AO10:AT10"/>
    <mergeCell ref="AO11:AT11"/>
    <mergeCell ref="Q22:S22"/>
    <mergeCell ref="Q21:S21"/>
    <mergeCell ref="T21:W21"/>
    <mergeCell ref="Q19:X19"/>
    <mergeCell ref="V3:Z5"/>
    <mergeCell ref="V8:Z8"/>
    <mergeCell ref="V9:Z9"/>
    <mergeCell ref="AK1:AL7"/>
    <mergeCell ref="AJ9:AL11"/>
    <mergeCell ref="C1:J1"/>
    <mergeCell ref="S6:T15"/>
    <mergeCell ref="D8:J10"/>
    <mergeCell ref="C2:J2"/>
    <mergeCell ref="C3:J3"/>
    <mergeCell ref="C4:J4"/>
    <mergeCell ref="C5:J5"/>
    <mergeCell ref="C6:J6"/>
    <mergeCell ref="C7:J7"/>
    <mergeCell ref="AF1:AG7"/>
    <mergeCell ref="AE9:AG11"/>
  </mergeCells>
  <pageMargins left="0.7" right="0.7" top="0.75" bottom="0.75" header="0.3" footer="0.3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22529" r:id="rId4">
          <objectPr defaultSize="0" autoPict="0" r:id="rId5">
            <anchor moveWithCells="1" sizeWithCells="1">
              <from>
                <xdr:col>2</xdr:col>
                <xdr:colOff>60960</xdr:colOff>
                <xdr:row>11</xdr:row>
                <xdr:rowOff>144780</xdr:rowOff>
              </from>
              <to>
                <xdr:col>4</xdr:col>
                <xdr:colOff>548640</xdr:colOff>
                <xdr:row>14</xdr:row>
                <xdr:rowOff>53340</xdr:rowOff>
              </to>
            </anchor>
          </objectPr>
        </oleObject>
      </mc:Choice>
      <mc:Fallback>
        <oleObject progId="Equation.3" shapeId="22529" r:id="rId4"/>
      </mc:Fallback>
    </mc:AlternateContent>
    <mc:AlternateContent xmlns:mc="http://schemas.openxmlformats.org/markup-compatibility/2006">
      <mc:Choice Requires="x14">
        <oleObject progId="Equation.3" shapeId="22530" r:id="rId6">
          <objectPr defaultSize="0" autoPict="0" r:id="rId7">
            <anchor moveWithCells="1" sizeWithCells="1">
              <from>
                <xdr:col>7</xdr:col>
                <xdr:colOff>45720</xdr:colOff>
                <xdr:row>11</xdr:row>
                <xdr:rowOff>152400</xdr:rowOff>
              </from>
              <to>
                <xdr:col>13</xdr:col>
                <xdr:colOff>0</xdr:colOff>
                <xdr:row>13</xdr:row>
                <xdr:rowOff>144780</xdr:rowOff>
              </to>
            </anchor>
          </objectPr>
        </oleObject>
      </mc:Choice>
      <mc:Fallback>
        <oleObject progId="Equation.3" shapeId="22530" r:id="rId6"/>
      </mc:Fallback>
    </mc:AlternateContent>
    <mc:AlternateContent xmlns:mc="http://schemas.openxmlformats.org/markup-compatibility/2006">
      <mc:Choice Requires="x14">
        <oleObject progId="Equation.3" shapeId="22531" r:id="rId8">
          <objectPr defaultSize="0" autoPict="0" r:id="rId9">
            <anchor moveWithCells="1" sizeWithCells="1">
              <from>
                <xdr:col>21</xdr:col>
                <xdr:colOff>15240</xdr:colOff>
                <xdr:row>12</xdr:row>
                <xdr:rowOff>220980</xdr:rowOff>
              </from>
              <to>
                <xdr:col>23</xdr:col>
                <xdr:colOff>548640</xdr:colOff>
                <xdr:row>14</xdr:row>
                <xdr:rowOff>91440</xdr:rowOff>
              </to>
            </anchor>
          </objectPr>
        </oleObject>
      </mc:Choice>
      <mc:Fallback>
        <oleObject progId="Equation.3" shapeId="22531" r:id="rId8"/>
      </mc:Fallback>
    </mc:AlternateContent>
    <mc:AlternateContent xmlns:mc="http://schemas.openxmlformats.org/markup-compatibility/2006">
      <mc:Choice Requires="x14">
        <oleObject progId="Equation.3" shapeId="22532" r:id="rId10">
          <objectPr defaultSize="0" autoPict="0" r:id="rId11">
            <anchor moveWithCells="1" sizeWithCells="1">
              <from>
                <xdr:col>24</xdr:col>
                <xdr:colOff>0</xdr:colOff>
                <xdr:row>12</xdr:row>
                <xdr:rowOff>297180</xdr:rowOff>
              </from>
              <to>
                <xdr:col>26</xdr:col>
                <xdr:colOff>548640</xdr:colOff>
                <xdr:row>14</xdr:row>
                <xdr:rowOff>99060</xdr:rowOff>
              </to>
            </anchor>
          </objectPr>
        </oleObject>
      </mc:Choice>
      <mc:Fallback>
        <oleObject progId="Equation.3" shapeId="22532" r:id="rId10"/>
      </mc:Fallback>
    </mc:AlternateContent>
    <mc:AlternateContent xmlns:mc="http://schemas.openxmlformats.org/markup-compatibility/2006">
      <mc:Choice Requires="x14">
        <oleObject progId="Equation.3" shapeId="22533" r:id="rId12">
          <objectPr defaultSize="0" autoPict="0" r:id="rId13">
            <anchor moveWithCells="1" sizeWithCells="1">
              <from>
                <xdr:col>27</xdr:col>
                <xdr:colOff>7620</xdr:colOff>
                <xdr:row>12</xdr:row>
                <xdr:rowOff>144780</xdr:rowOff>
              </from>
              <to>
                <xdr:col>29</xdr:col>
                <xdr:colOff>579120</xdr:colOff>
                <xdr:row>14</xdr:row>
                <xdr:rowOff>7620</xdr:rowOff>
              </to>
            </anchor>
          </objectPr>
        </oleObject>
      </mc:Choice>
      <mc:Fallback>
        <oleObject progId="Equation.3" shapeId="22533" r:id="rId12"/>
      </mc:Fallback>
    </mc:AlternateContent>
    <mc:AlternateContent xmlns:mc="http://schemas.openxmlformats.org/markup-compatibility/2006">
      <mc:Choice Requires="x14">
        <oleObject progId="Equation.3" shapeId="22535" r:id="rId14">
          <objectPr defaultSize="0" autoPict="0" r:id="rId15">
            <anchor moveWithCells="1" sizeWithCells="1">
              <from>
                <xdr:col>43</xdr:col>
                <xdr:colOff>106680</xdr:colOff>
                <xdr:row>13</xdr:row>
                <xdr:rowOff>7620</xdr:rowOff>
              </from>
              <to>
                <xdr:col>43</xdr:col>
                <xdr:colOff>2994660</xdr:colOff>
                <xdr:row>14</xdr:row>
                <xdr:rowOff>7620</xdr:rowOff>
              </to>
            </anchor>
          </objectPr>
        </oleObject>
      </mc:Choice>
      <mc:Fallback>
        <oleObject progId="Equation.3" shapeId="22535" r:id="rId14"/>
      </mc:Fallback>
    </mc:AlternateContent>
    <mc:AlternateContent xmlns:mc="http://schemas.openxmlformats.org/markup-compatibility/2006">
      <mc:Choice Requires="x14">
        <oleObject progId="Equation.3" shapeId="22534" r:id="rId16">
          <objectPr defaultSize="0" autoPict="0" r:id="rId17">
            <anchor moveWithCells="1" sizeWithCells="1">
              <from>
                <xdr:col>43</xdr:col>
                <xdr:colOff>91440</xdr:colOff>
                <xdr:row>15</xdr:row>
                <xdr:rowOff>15240</xdr:rowOff>
              </from>
              <to>
                <xdr:col>43</xdr:col>
                <xdr:colOff>3002280</xdr:colOff>
                <xdr:row>16</xdr:row>
                <xdr:rowOff>22860</xdr:rowOff>
              </to>
            </anchor>
          </objectPr>
        </oleObject>
      </mc:Choice>
      <mc:Fallback>
        <oleObject progId="Equation.3" shapeId="22534" r:id="rId1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42"/>
  <sheetViews>
    <sheetView topLeftCell="F22" zoomScale="112" zoomScaleNormal="112" workbookViewId="0">
      <selection activeCell="V35" sqref="V35:V42"/>
    </sheetView>
  </sheetViews>
  <sheetFormatPr defaultRowHeight="14.4" x14ac:dyDescent="0.3"/>
  <cols>
    <col min="18" max="18" width="2.109375" customWidth="1"/>
  </cols>
  <sheetData>
    <row r="1" spans="2:26" x14ac:dyDescent="0.3">
      <c r="I1" s="39"/>
      <c r="J1" s="39"/>
      <c r="K1" s="39"/>
      <c r="L1" s="39"/>
      <c r="M1" s="39"/>
      <c r="N1" s="39"/>
      <c r="O1" s="39"/>
      <c r="P1" s="39"/>
    </row>
    <row r="2" spans="2:26" x14ac:dyDescent="0.3">
      <c r="B2" t="s">
        <v>136</v>
      </c>
      <c r="I2" s="39"/>
      <c r="J2" s="39"/>
      <c r="K2" s="39"/>
      <c r="L2" s="39"/>
      <c r="M2" s="39"/>
      <c r="N2" s="39"/>
      <c r="O2" s="39"/>
      <c r="P2" s="39"/>
    </row>
    <row r="3" spans="2:26" x14ac:dyDescent="0.3">
      <c r="I3" s="39"/>
      <c r="J3" s="39"/>
      <c r="K3" s="39"/>
      <c r="L3" s="39"/>
      <c r="M3" s="39"/>
      <c r="N3" s="39"/>
      <c r="O3" s="39"/>
      <c r="P3" s="39"/>
    </row>
    <row r="4" spans="2:26" x14ac:dyDescent="0.3">
      <c r="B4" t="s">
        <v>137</v>
      </c>
      <c r="C4" s="179">
        <f>'322'!K6</f>
        <v>19.821083632184365</v>
      </c>
      <c r="I4" s="39"/>
      <c r="J4" s="39"/>
      <c r="K4" s="39"/>
      <c r="L4" s="39"/>
      <c r="M4" s="39"/>
      <c r="N4" s="39"/>
      <c r="O4" s="39"/>
      <c r="P4" s="39"/>
    </row>
    <row r="5" spans="2:26" x14ac:dyDescent="0.3">
      <c r="B5" t="s">
        <v>138</v>
      </c>
      <c r="C5">
        <f>'322'!K2</f>
        <v>22.45</v>
      </c>
      <c r="I5" s="39"/>
      <c r="J5" s="39"/>
      <c r="K5" s="39"/>
      <c r="L5" s="39"/>
      <c r="M5" s="39"/>
      <c r="N5" s="39"/>
      <c r="O5" s="39"/>
      <c r="P5" s="39"/>
    </row>
    <row r="6" spans="2:26" ht="15" thickBot="1" x14ac:dyDescent="0.35">
      <c r="B6" t="s">
        <v>139</v>
      </c>
      <c r="C6">
        <f>'322'!B13</f>
        <v>13</v>
      </c>
      <c r="I6" s="39"/>
      <c r="J6" s="39"/>
      <c r="K6" s="39"/>
      <c r="L6" s="39"/>
      <c r="M6" s="39"/>
      <c r="N6" s="39"/>
      <c r="O6" s="39"/>
      <c r="P6" s="39"/>
    </row>
    <row r="7" spans="2:26" ht="15" thickBot="1" x14ac:dyDescent="0.35">
      <c r="B7" t="s">
        <v>140</v>
      </c>
      <c r="C7" s="188">
        <v>0</v>
      </c>
      <c r="I7" s="180" t="s">
        <v>143</v>
      </c>
      <c r="J7" s="180" t="s">
        <v>144</v>
      </c>
      <c r="K7" s="180" t="s">
        <v>145</v>
      </c>
      <c r="L7" s="180" t="s">
        <v>146</v>
      </c>
      <c r="M7" s="180" t="s">
        <v>147</v>
      </c>
      <c r="N7" s="180" t="s">
        <v>148</v>
      </c>
      <c r="O7" s="180" t="s">
        <v>149</v>
      </c>
      <c r="P7" s="180" t="s">
        <v>150</v>
      </c>
    </row>
    <row r="8" spans="2:26" x14ac:dyDescent="0.3">
      <c r="B8" t="s">
        <v>141</v>
      </c>
      <c r="C8">
        <v>30</v>
      </c>
      <c r="I8" s="181" t="s">
        <v>151</v>
      </c>
      <c r="J8" s="181">
        <v>-5.0999999999999997E-2</v>
      </c>
      <c r="K8" s="181">
        <v>0.99819999999999998</v>
      </c>
      <c r="L8" s="181">
        <v>1.0150999999999999</v>
      </c>
      <c r="M8" s="181">
        <v>0.35039999999999999</v>
      </c>
      <c r="N8" s="181">
        <v>1.1000000000000001E-3</v>
      </c>
      <c r="O8" s="181">
        <v>4.8999999999999998E-3</v>
      </c>
      <c r="P8" s="181">
        <v>9.0800000000000006E-2</v>
      </c>
    </row>
    <row r="9" spans="2:26" x14ac:dyDescent="0.3">
      <c r="B9" t="s">
        <v>81</v>
      </c>
      <c r="C9" s="179">
        <f>'322'!K3</f>
        <v>19.622712320193607</v>
      </c>
      <c r="I9" s="181" t="s">
        <v>152</v>
      </c>
      <c r="J9" s="181">
        <v>-5.4800000000000001E-2</v>
      </c>
      <c r="K9" s="181">
        <v>0.71419999999999995</v>
      </c>
      <c r="L9" s="181">
        <v>1.0512999999999999</v>
      </c>
      <c r="M9" s="181">
        <v>0.1502</v>
      </c>
      <c r="N9" s="181">
        <v>0</v>
      </c>
      <c r="O9" s="181">
        <v>1.4E-3</v>
      </c>
      <c r="P9" s="181">
        <v>0.1336</v>
      </c>
    </row>
    <row r="10" spans="2:26" x14ac:dyDescent="0.3">
      <c r="B10" t="s">
        <v>142</v>
      </c>
      <c r="C10">
        <f>10000/(4*5)</f>
        <v>500</v>
      </c>
      <c r="I10" s="181" t="s">
        <v>153</v>
      </c>
      <c r="J10" s="181">
        <v>-8.2100000000000006E-2</v>
      </c>
      <c r="K10" s="181">
        <v>0.34399999999999997</v>
      </c>
      <c r="L10" s="181">
        <v>0.99139999999999995</v>
      </c>
      <c r="M10" s="181">
        <v>5.67E-2</v>
      </c>
      <c r="N10" s="181">
        <v>-2.0000000000000001E-4</v>
      </c>
      <c r="O10" s="181">
        <v>0</v>
      </c>
      <c r="P10" s="181">
        <v>1.04E-2</v>
      </c>
    </row>
    <row r="11" spans="2:26" x14ac:dyDescent="0.3">
      <c r="B11" t="s">
        <v>80</v>
      </c>
      <c r="C11" s="194">
        <f>'322'!K4</f>
        <v>462.5</v>
      </c>
      <c r="I11" s="39"/>
      <c r="J11" s="39"/>
      <c r="K11" s="39"/>
      <c r="L11" s="39"/>
      <c r="M11" s="39"/>
      <c r="N11" s="39"/>
      <c r="O11" s="39"/>
      <c r="P11" s="39"/>
    </row>
    <row r="12" spans="2:26" x14ac:dyDescent="0.3">
      <c r="B12" s="1"/>
      <c r="C12" s="1" t="s">
        <v>155</v>
      </c>
      <c r="D12" s="187" t="s">
        <v>157</v>
      </c>
      <c r="I12" s="39"/>
      <c r="J12" s="39"/>
      <c r="K12" s="39"/>
      <c r="L12" s="39"/>
      <c r="M12" s="39"/>
      <c r="N12" s="39"/>
      <c r="O12" s="39"/>
      <c r="P12" s="39"/>
    </row>
    <row r="13" spans="2:26" x14ac:dyDescent="0.3">
      <c r="B13" s="1" t="s">
        <v>154</v>
      </c>
      <c r="C13" s="134">
        <f>M8+N8*$C$7+O8/(1-($C$8/2000))+P8*100/($C$9*SQRT($C$10))</f>
        <v>0.37606849371851764</v>
      </c>
      <c r="D13" s="189">
        <f>C13*$C$6^J8*$C$5^K8*$C$4^L8</f>
        <v>152.74043150190619</v>
      </c>
      <c r="I13" s="39"/>
      <c r="J13" s="39"/>
      <c r="K13" s="39"/>
      <c r="L13" s="39"/>
      <c r="M13" s="39"/>
      <c r="N13" s="39"/>
      <c r="O13" s="39"/>
      <c r="P13" s="39"/>
    </row>
    <row r="14" spans="2:26" x14ac:dyDescent="0.3">
      <c r="B14" s="1" t="s">
        <v>152</v>
      </c>
      <c r="C14" s="134">
        <f>M9+N9*$C$7+O9/(1-($C$8/2000))+P9*100/($C$9*SQRT($C$10))</f>
        <v>0.18206957556499528</v>
      </c>
      <c r="D14" s="189">
        <f t="shared" ref="D14" si="0">C14*$C$6^J9*$C$5^K9*$C$4^L9</f>
        <v>33.721122837127616</v>
      </c>
      <c r="I14" s="39"/>
      <c r="J14" s="39"/>
      <c r="K14" s="39"/>
      <c r="L14" s="39"/>
      <c r="M14" s="39"/>
      <c r="N14" s="39"/>
      <c r="O14" s="39"/>
      <c r="P14" s="39"/>
    </row>
    <row r="15" spans="2:26" x14ac:dyDescent="0.3">
      <c r="B15" s="1" t="s">
        <v>156</v>
      </c>
      <c r="C15" s="134">
        <f t="shared" ref="C15" si="1">M10+N10*$C$7+O10/(1-($C$8/2000))+P10*100/($C$9*SQRT($C$10))</f>
        <v>5.9070223502901392E-2</v>
      </c>
      <c r="D15" s="189">
        <f>C15*$C$6^J10*$C$5^K10*$C$4^L10</f>
        <v>2.6959037700433583</v>
      </c>
      <c r="I15" s="39"/>
      <c r="J15" s="39"/>
      <c r="K15" s="39"/>
      <c r="L15" s="39"/>
      <c r="M15" s="39"/>
      <c r="N15" s="39"/>
      <c r="O15" s="39"/>
      <c r="P15" s="39"/>
    </row>
    <row r="16" spans="2:26" x14ac:dyDescent="0.3">
      <c r="C16" s="170"/>
      <c r="I16" s="39"/>
      <c r="J16" s="39"/>
      <c r="K16" s="39"/>
      <c r="L16" s="39"/>
      <c r="M16" s="39"/>
      <c r="N16" s="39"/>
      <c r="O16" s="39"/>
      <c r="P16" s="39"/>
      <c r="S16" s="328" t="s">
        <v>191</v>
      </c>
      <c r="T16" s="328"/>
      <c r="U16" s="328"/>
      <c r="V16" s="328"/>
      <c r="W16" s="328"/>
      <c r="X16" s="328"/>
      <c r="Y16" s="328"/>
      <c r="Z16" s="328"/>
    </row>
    <row r="17" spans="2:26" ht="16.2" x14ac:dyDescent="0.3">
      <c r="B17" s="336" t="s">
        <v>159</v>
      </c>
      <c r="C17" s="336"/>
      <c r="D17" s="336"/>
      <c r="E17" s="336"/>
      <c r="F17" s="336"/>
      <c r="G17" s="336"/>
      <c r="S17" s="329"/>
      <c r="T17" s="329"/>
      <c r="U17" s="329"/>
      <c r="V17" s="329"/>
      <c r="W17" s="329"/>
      <c r="X17" s="329"/>
      <c r="Y17" s="329"/>
      <c r="Z17" s="329"/>
    </row>
    <row r="18" spans="2:26" x14ac:dyDescent="0.3">
      <c r="C18" s="170"/>
      <c r="I18" s="337" t="s">
        <v>115</v>
      </c>
      <c r="J18" s="337"/>
      <c r="K18" s="337"/>
      <c r="L18" s="337"/>
      <c r="M18" s="337"/>
      <c r="N18" s="337"/>
      <c r="O18" s="337"/>
      <c r="P18" s="337"/>
      <c r="S18" s="330" t="s">
        <v>192</v>
      </c>
      <c r="T18" s="330"/>
      <c r="U18" s="330"/>
      <c r="V18" s="330"/>
      <c r="W18" s="330"/>
      <c r="X18" s="330"/>
      <c r="Y18" s="330"/>
      <c r="Z18" s="330"/>
    </row>
    <row r="19" spans="2:26" x14ac:dyDescent="0.3">
      <c r="C19" s="183" t="s">
        <v>158</v>
      </c>
      <c r="D19" s="179">
        <f>D13+D14</f>
        <v>186.4615543390338</v>
      </c>
      <c r="I19" s="38"/>
      <c r="J19" s="38"/>
      <c r="K19" s="38"/>
      <c r="L19" s="38"/>
      <c r="M19" s="38"/>
      <c r="N19" s="38"/>
      <c r="O19" s="38"/>
      <c r="P19" s="146" t="s">
        <v>165</v>
      </c>
      <c r="Q19" s="186">
        <f>N37</f>
        <v>79.355253651805981</v>
      </c>
      <c r="S19" s="331"/>
      <c r="T19" s="331"/>
      <c r="U19" s="331"/>
      <c r="V19" s="331"/>
      <c r="W19" s="331"/>
      <c r="X19" s="331"/>
      <c r="Y19" s="331"/>
      <c r="Z19" s="331"/>
    </row>
    <row r="20" spans="2:26" x14ac:dyDescent="0.3">
      <c r="I20" s="38"/>
      <c r="J20" s="38"/>
      <c r="K20" s="38"/>
      <c r="L20" s="38"/>
      <c r="M20" s="38"/>
      <c r="N20" s="38"/>
      <c r="O20" s="38"/>
      <c r="P20" s="146" t="s">
        <v>182</v>
      </c>
      <c r="Q20" s="186">
        <f>O37-N37</f>
        <v>61.741789238425753</v>
      </c>
      <c r="S20" s="330" t="s">
        <v>193</v>
      </c>
      <c r="T20" s="330"/>
      <c r="U20" s="330"/>
      <c r="V20" s="330"/>
      <c r="W20" s="330"/>
      <c r="X20" s="330"/>
      <c r="Y20" s="330"/>
      <c r="Z20" s="330"/>
    </row>
    <row r="21" spans="2:26" ht="16.8" customHeight="1" x14ac:dyDescent="0.3">
      <c r="B21" s="336" t="s">
        <v>160</v>
      </c>
      <c r="C21" s="336"/>
      <c r="D21" s="336"/>
      <c r="E21" s="336"/>
      <c r="F21" s="336"/>
      <c r="G21" s="336"/>
      <c r="I21" s="38"/>
      <c r="J21" s="38"/>
      <c r="K21" s="38"/>
      <c r="L21" s="38"/>
      <c r="M21" s="38"/>
      <c r="N21" s="38"/>
      <c r="O21" s="38"/>
      <c r="P21" s="146" t="s">
        <v>166</v>
      </c>
      <c r="Q21" s="186">
        <f>P37-O37</f>
        <v>7.9367995666327715</v>
      </c>
      <c r="S21" s="330" t="s">
        <v>194</v>
      </c>
      <c r="T21" s="330"/>
      <c r="U21" s="330"/>
      <c r="V21" s="330"/>
      <c r="W21" s="330"/>
      <c r="X21" s="330"/>
      <c r="Y21" s="330"/>
      <c r="Z21" s="330"/>
    </row>
    <row r="22" spans="2:26" x14ac:dyDescent="0.3">
      <c r="I22" s="38"/>
      <c r="J22" s="38"/>
      <c r="K22" s="38"/>
      <c r="L22" s="38"/>
      <c r="M22" s="38"/>
      <c r="N22" s="38"/>
      <c r="O22" s="38"/>
      <c r="P22" s="184" t="s">
        <v>167</v>
      </c>
      <c r="Q22" s="186">
        <f>K37-P37</f>
        <v>1.0106852749983375</v>
      </c>
      <c r="S22" s="330" t="s">
        <v>195</v>
      </c>
      <c r="T22" s="330"/>
      <c r="U22" s="330"/>
      <c r="V22" s="330"/>
      <c r="W22" s="330"/>
      <c r="X22" s="330"/>
      <c r="Y22" s="330"/>
      <c r="Z22" s="330"/>
    </row>
    <row r="23" spans="2:26" ht="15" thickBot="1" x14ac:dyDescent="0.35">
      <c r="C23" s="29" t="s">
        <v>154</v>
      </c>
      <c r="D23" s="179">
        <f>D13</f>
        <v>152.74043150190619</v>
      </c>
      <c r="I23" s="325" t="s">
        <v>171</v>
      </c>
      <c r="J23" s="325"/>
      <c r="K23" s="325"/>
      <c r="L23" s="325"/>
      <c r="M23" s="325"/>
      <c r="N23" s="325"/>
      <c r="O23" s="325"/>
      <c r="P23" s="325"/>
      <c r="S23" s="332" t="s">
        <v>196</v>
      </c>
      <c r="T23" s="332"/>
      <c r="U23" s="332"/>
      <c r="V23" s="332"/>
      <c r="W23" s="332"/>
      <c r="X23" s="332"/>
      <c r="Y23" s="332"/>
      <c r="Z23" s="332"/>
    </row>
    <row r="24" spans="2:26" ht="14.4" customHeight="1" thickBot="1" x14ac:dyDescent="0.35">
      <c r="I24" s="325"/>
      <c r="J24" s="325"/>
      <c r="K24" s="325"/>
      <c r="L24" s="325"/>
      <c r="M24" s="325"/>
      <c r="N24" s="325"/>
      <c r="O24" s="325"/>
      <c r="P24" s="325"/>
      <c r="S24" s="193" t="s">
        <v>197</v>
      </c>
      <c r="T24" s="193" t="s">
        <v>144</v>
      </c>
      <c r="U24" s="193" t="s">
        <v>198</v>
      </c>
      <c r="V24" s="193" t="s">
        <v>199</v>
      </c>
      <c r="W24" s="193" t="s">
        <v>200</v>
      </c>
      <c r="X24" s="193" t="s">
        <v>201</v>
      </c>
      <c r="Y24" s="193" t="s">
        <v>202</v>
      </c>
      <c r="Z24" s="193" t="s">
        <v>146</v>
      </c>
    </row>
    <row r="25" spans="2:26" ht="16.8" thickBot="1" x14ac:dyDescent="0.35">
      <c r="B25" s="336" t="s">
        <v>161</v>
      </c>
      <c r="C25" s="336"/>
      <c r="D25" s="336"/>
      <c r="E25" s="336"/>
      <c r="F25" s="336"/>
      <c r="G25" s="336"/>
      <c r="I25" s="333"/>
      <c r="J25" s="333"/>
      <c r="K25" s="333"/>
      <c r="L25" s="333"/>
      <c r="M25" s="333"/>
      <c r="N25" s="333"/>
      <c r="O25" s="333"/>
      <c r="P25" s="333"/>
      <c r="S25" s="181" t="s">
        <v>203</v>
      </c>
      <c r="T25" s="181">
        <v>9.6699999999999994E-2</v>
      </c>
      <c r="U25" s="181">
        <v>1.0547</v>
      </c>
      <c r="V25" s="181">
        <v>-1.8E-3</v>
      </c>
      <c r="W25" s="181">
        <v>-6.4999999999999997E-3</v>
      </c>
      <c r="X25" s="181">
        <v>-0.51980000000000004</v>
      </c>
      <c r="Y25" s="181">
        <v>-1.2104999999999999</v>
      </c>
      <c r="Z25" s="181">
        <v>1.1886000000000001</v>
      </c>
    </row>
    <row r="26" spans="2:26" x14ac:dyDescent="0.3">
      <c r="I26" s="334" t="s">
        <v>172</v>
      </c>
      <c r="J26" s="334"/>
      <c r="K26" s="334"/>
      <c r="L26" s="334"/>
      <c r="M26" s="334"/>
      <c r="N26" s="334"/>
      <c r="O26" s="334"/>
      <c r="P26" s="334"/>
      <c r="S26" s="181" t="s">
        <v>204</v>
      </c>
      <c r="T26" s="181">
        <v>3.6360000000000003E-2</v>
      </c>
      <c r="U26" s="181">
        <v>1.1691</v>
      </c>
      <c r="V26" s="181">
        <v>-8.3000000000000001E-3</v>
      </c>
      <c r="W26" s="181">
        <v>-4.5900000000000003E-2</v>
      </c>
      <c r="X26" s="181">
        <v>3.2288999999999999</v>
      </c>
      <c r="Y26" s="181">
        <v>2.0880000000000001</v>
      </c>
      <c r="Z26" s="181">
        <v>0.67100000000000004</v>
      </c>
    </row>
    <row r="27" spans="2:26" x14ac:dyDescent="0.3">
      <c r="C27" s="29" t="s">
        <v>162</v>
      </c>
      <c r="D27" s="179">
        <f>D13-D15</f>
        <v>150.04452773186284</v>
      </c>
      <c r="I27" s="335"/>
      <c r="J27" s="335"/>
      <c r="K27" s="335"/>
      <c r="L27" s="335"/>
      <c r="M27" s="335"/>
      <c r="N27" s="335"/>
      <c r="O27" s="335"/>
      <c r="P27" s="335"/>
      <c r="S27" s="181" t="s">
        <v>205</v>
      </c>
      <c r="T27" s="181">
        <v>1.044</v>
      </c>
      <c r="U27" s="181">
        <v>1.0971</v>
      </c>
      <c r="V27" s="181"/>
      <c r="W27" s="181">
        <v>-1.12E-2</v>
      </c>
      <c r="X27" s="181">
        <v>-1.2206999999999999</v>
      </c>
      <c r="Y27" s="181">
        <v>-6.2807000000000004</v>
      </c>
      <c r="Z27" s="181">
        <v>-0.31290000000000001</v>
      </c>
    </row>
    <row r="28" spans="2:26" x14ac:dyDescent="0.3">
      <c r="I28" s="335" t="s">
        <v>173</v>
      </c>
      <c r="J28" s="335"/>
      <c r="K28" s="335"/>
      <c r="L28" s="335"/>
      <c r="M28" s="335"/>
      <c r="N28" s="335"/>
      <c r="O28" s="335"/>
      <c r="P28" s="335"/>
      <c r="S28" s="181" t="s">
        <v>206</v>
      </c>
      <c r="T28" s="181">
        <v>0.3972</v>
      </c>
      <c r="U28" s="181">
        <v>1.0004999999999999</v>
      </c>
      <c r="V28" s="181"/>
      <c r="W28" s="181">
        <v>-1.9199999999999998E-2</v>
      </c>
      <c r="X28" s="181">
        <v>3.3170000000000002</v>
      </c>
      <c r="Y28" s="181">
        <v>-1.2746999999999999</v>
      </c>
      <c r="Z28" s="181">
        <v>-1.6E-2</v>
      </c>
    </row>
    <row r="29" spans="2:26" ht="16.8" thickBot="1" x14ac:dyDescent="0.35">
      <c r="B29" s="336" t="s">
        <v>163</v>
      </c>
      <c r="C29" s="336"/>
      <c r="D29" s="336"/>
      <c r="E29" s="336"/>
      <c r="F29" s="336"/>
      <c r="G29" s="336"/>
      <c r="I29" s="324"/>
      <c r="J29" s="324"/>
      <c r="K29" s="324"/>
      <c r="L29" s="324"/>
      <c r="M29" s="324"/>
      <c r="N29" s="324"/>
      <c r="O29" s="324"/>
      <c r="P29" s="324"/>
      <c r="S29" s="191" t="s">
        <v>207</v>
      </c>
      <c r="T29" s="191">
        <v>0.2487</v>
      </c>
      <c r="U29" s="191"/>
      <c r="V29" s="191"/>
      <c r="W29" s="191"/>
      <c r="X29" s="191"/>
      <c r="Y29" s="191"/>
      <c r="Z29" s="191"/>
    </row>
    <row r="30" spans="2:26" ht="15.6" customHeight="1" thickBot="1" x14ac:dyDescent="0.35">
      <c r="I30" s="190" t="s">
        <v>143</v>
      </c>
      <c r="J30" s="190" t="s">
        <v>174</v>
      </c>
      <c r="K30" s="190" t="s">
        <v>175</v>
      </c>
      <c r="L30" s="190" t="s">
        <v>176</v>
      </c>
      <c r="M30" s="190" t="s">
        <v>177</v>
      </c>
      <c r="N30" s="190" t="s">
        <v>178</v>
      </c>
      <c r="O30" s="190" t="s">
        <v>179</v>
      </c>
      <c r="P30" s="190" t="s">
        <v>180</v>
      </c>
      <c r="S30" s="326" t="s">
        <v>208</v>
      </c>
      <c r="T30" s="326"/>
      <c r="U30" s="326"/>
      <c r="V30" s="326"/>
      <c r="W30" s="326"/>
      <c r="X30" s="326"/>
      <c r="Y30" s="326"/>
      <c r="Z30" s="326"/>
    </row>
    <row r="31" spans="2:26" ht="15" thickBot="1" x14ac:dyDescent="0.35">
      <c r="C31" s="183" t="s">
        <v>164</v>
      </c>
      <c r="D31" s="179">
        <f>D13+D14-D15</f>
        <v>183.76565056899045</v>
      </c>
      <c r="I31" s="191" t="s">
        <v>181</v>
      </c>
      <c r="J31" s="191">
        <v>-1.1074999999999999</v>
      </c>
      <c r="K31" s="191">
        <v>-0.34360000000000002</v>
      </c>
      <c r="L31" s="191">
        <v>7.4099999999999999E-2</v>
      </c>
      <c r="M31" s="191">
        <v>1.2604</v>
      </c>
      <c r="N31" s="191">
        <v>0.26600000000000001</v>
      </c>
      <c r="O31" s="191">
        <v>3.1854</v>
      </c>
      <c r="P31" s="191">
        <v>0.55130000000000001</v>
      </c>
      <c r="S31" s="327"/>
      <c r="T31" s="327"/>
      <c r="U31" s="327"/>
      <c r="V31" s="327"/>
      <c r="W31" s="327"/>
      <c r="X31" s="327"/>
      <c r="Y31" s="327"/>
      <c r="Z31" s="327"/>
    </row>
    <row r="32" spans="2:26" ht="14.4" customHeight="1" x14ac:dyDescent="0.3">
      <c r="I32" s="326" t="s">
        <v>210</v>
      </c>
      <c r="J32" s="326"/>
      <c r="K32" s="326"/>
      <c r="L32" s="326"/>
      <c r="M32" s="326"/>
      <c r="N32" s="326"/>
      <c r="O32" s="326"/>
      <c r="P32" s="326"/>
      <c r="S32" s="327"/>
      <c r="T32" s="327"/>
      <c r="U32" s="327"/>
      <c r="V32" s="327"/>
      <c r="W32" s="327"/>
      <c r="X32" s="327"/>
      <c r="Y32" s="327"/>
      <c r="Z32" s="327"/>
    </row>
    <row r="33" spans="9:26" x14ac:dyDescent="0.3">
      <c r="I33" s="327"/>
      <c r="J33" s="327"/>
      <c r="K33" s="327"/>
      <c r="L33" s="327"/>
      <c r="M33" s="327"/>
      <c r="N33" s="327"/>
      <c r="O33" s="327"/>
      <c r="P33" s="327"/>
      <c r="S33" s="327"/>
      <c r="T33" s="327"/>
      <c r="U33" s="327"/>
      <c r="V33" s="327"/>
      <c r="W33" s="327"/>
      <c r="X33" s="327"/>
      <c r="Y33" s="327"/>
      <c r="Z33" s="327"/>
    </row>
    <row r="35" spans="9:26" ht="16.2" x14ac:dyDescent="0.3">
      <c r="I35" s="38"/>
      <c r="J35" s="38"/>
      <c r="K35" s="38"/>
      <c r="L35" s="38"/>
      <c r="M35" s="38"/>
      <c r="N35" s="338" t="s">
        <v>168</v>
      </c>
      <c r="O35" s="338"/>
      <c r="P35" s="338"/>
      <c r="R35" s="38"/>
      <c r="S35" s="38"/>
      <c r="T35" s="38"/>
      <c r="U35" s="38"/>
      <c r="V35" s="184" t="s">
        <v>183</v>
      </c>
      <c r="W35" s="182" t="s">
        <v>145</v>
      </c>
      <c r="X35" s="182" t="s">
        <v>209</v>
      </c>
    </row>
    <row r="36" spans="9:26" x14ac:dyDescent="0.3">
      <c r="I36" s="195" t="s">
        <v>169</v>
      </c>
      <c r="J36" s="186">
        <f>'322'!K7</f>
        <v>23.359464775430851</v>
      </c>
      <c r="K36" s="187" t="s">
        <v>170</v>
      </c>
      <c r="L36" s="187" t="s">
        <v>144</v>
      </c>
      <c r="M36" s="187" t="s">
        <v>145</v>
      </c>
      <c r="N36" s="187">
        <v>25</v>
      </c>
      <c r="O36" s="187">
        <v>12</v>
      </c>
      <c r="P36" s="187">
        <v>6</v>
      </c>
      <c r="R36" s="38"/>
      <c r="S36" s="38"/>
      <c r="T36" s="38"/>
      <c r="U36" s="38"/>
      <c r="V36" s="184" t="s">
        <v>184</v>
      </c>
      <c r="W36">
        <f>U25+V25*$C$7+W25*'324'!$C$11/1000+'324'!X25*'324'!$C$9/1000+'324'!Y25*$C$6/1000</f>
        <v>1.0257573641359632</v>
      </c>
      <c r="X36" s="179">
        <f>T25*$C$4^W36*$C$5^Z25</f>
        <v>83.564188247086832</v>
      </c>
    </row>
    <row r="37" spans="9:26" x14ac:dyDescent="0.3">
      <c r="I37" s="38"/>
      <c r="J37" s="38"/>
      <c r="K37" s="189">
        <f>D27</f>
        <v>150.04452773186284</v>
      </c>
      <c r="L37" s="192">
        <f>J31+K31*C7+L31*C10/1000+M31*100/(C9*SQRT(C10))+$N$31/(1-(C8/2000))</f>
        <v>-0.51314638251551492</v>
      </c>
      <c r="M37" s="187">
        <f>O31+P31*C7</f>
        <v>3.1854</v>
      </c>
      <c r="N37" s="189">
        <f>$K$37*EXP($L$37*(N36/J36)^$M$37)</f>
        <v>79.355253651805981</v>
      </c>
      <c r="O37" s="189">
        <f>$K$37*EXP($L$37*(O36/J36)^$M$37)</f>
        <v>141.09704289023173</v>
      </c>
      <c r="P37" s="189">
        <f>$K$37*EXP($L$37*(P36/J36)^$M$37)</f>
        <v>149.03384245686451</v>
      </c>
      <c r="R37" s="38"/>
      <c r="S37" s="29"/>
      <c r="T37" s="38"/>
      <c r="U37" s="38"/>
      <c r="V37" s="146" t="s">
        <v>185</v>
      </c>
      <c r="W37" s="38">
        <f>U26+V26*$C$7+W26*'324'!$C$11/1000+'324'!X26*'324'!$C$9/1000+'324'!Y26*$C$6/1000</f>
        <v>1.2383750258106734</v>
      </c>
      <c r="X37" s="179">
        <f t="shared" ref="X37:X39" si="2">T26*$C$4^W37*$C$5^Z26</f>
        <v>11.84732254283576</v>
      </c>
    </row>
    <row r="38" spans="9:26" x14ac:dyDescent="0.3">
      <c r="R38" s="38"/>
      <c r="S38" s="38"/>
      <c r="T38" s="38"/>
      <c r="U38" s="38"/>
      <c r="V38" s="146" t="s">
        <v>186</v>
      </c>
      <c r="W38" s="38">
        <f>U27+V27*$C$7+W27*'324'!$C$11/1000+'324'!X27*'324'!$C$9/1000+'324'!Y27*$C$6/1000</f>
        <v>0.98631745507073953</v>
      </c>
      <c r="X38" s="179">
        <f t="shared" si="2"/>
        <v>7.5038525971340775</v>
      </c>
    </row>
    <row r="39" spans="9:26" x14ac:dyDescent="0.3">
      <c r="R39" s="38"/>
      <c r="S39" s="38"/>
      <c r="T39" s="38"/>
      <c r="U39" s="38"/>
      <c r="V39" s="146" t="s">
        <v>187</v>
      </c>
      <c r="W39" s="38">
        <f>U28+V28*$C$7+W28*'324'!$C$11/1000+'324'!X28*'324'!$C$9/1000+'324'!Y28*$C$6/1000</f>
        <v>1.0401374367660823</v>
      </c>
      <c r="X39" s="179">
        <f t="shared" si="2"/>
        <v>8.4446283518675571</v>
      </c>
    </row>
    <row r="40" spans="9:26" x14ac:dyDescent="0.3">
      <c r="R40" s="38"/>
      <c r="S40" s="38"/>
      <c r="T40" s="38"/>
      <c r="U40" s="38"/>
      <c r="V40" s="146" t="s">
        <v>188</v>
      </c>
      <c r="X40" s="179">
        <f>SUM(X36:X39)</f>
        <v>111.35999173892421</v>
      </c>
    </row>
    <row r="41" spans="9:26" x14ac:dyDescent="0.3">
      <c r="R41" s="38"/>
      <c r="S41" s="38"/>
      <c r="T41" s="38"/>
      <c r="U41" s="38"/>
      <c r="V41" s="146" t="s">
        <v>189</v>
      </c>
      <c r="X41" s="179">
        <f>T29*X40</f>
        <v>27.695229945470452</v>
      </c>
    </row>
    <row r="42" spans="9:26" x14ac:dyDescent="0.3">
      <c r="R42" s="38"/>
      <c r="S42" s="38"/>
      <c r="T42" s="38"/>
      <c r="U42" s="38"/>
      <c r="V42" s="146" t="s">
        <v>190</v>
      </c>
      <c r="X42" s="179">
        <f>X40+X41</f>
        <v>139.05522168439467</v>
      </c>
    </row>
  </sheetData>
  <mergeCells count="22">
    <mergeCell ref="N35:P35"/>
    <mergeCell ref="B17:G17"/>
    <mergeCell ref="B21:G21"/>
    <mergeCell ref="B25:G25"/>
    <mergeCell ref="B29:G29"/>
    <mergeCell ref="I18:P18"/>
    <mergeCell ref="I29:P29"/>
    <mergeCell ref="I23:P24"/>
    <mergeCell ref="I32:P33"/>
    <mergeCell ref="S16:Z16"/>
    <mergeCell ref="S17:Z17"/>
    <mergeCell ref="S18:Z18"/>
    <mergeCell ref="S19:Z19"/>
    <mergeCell ref="S20:Z20"/>
    <mergeCell ref="S21:Z21"/>
    <mergeCell ref="S22:Z22"/>
    <mergeCell ref="S23:Z23"/>
    <mergeCell ref="S30:Z33"/>
    <mergeCell ref="I25:P25"/>
    <mergeCell ref="I26:P26"/>
    <mergeCell ref="I27:P27"/>
    <mergeCell ref="I28:P2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zoomScale="146" zoomScaleNormal="146" workbookViewId="0">
      <selection activeCell="O6" sqref="O6"/>
    </sheetView>
  </sheetViews>
  <sheetFormatPr defaultRowHeight="14.4" x14ac:dyDescent="0.3"/>
  <cols>
    <col min="9" max="9" width="9" customWidth="1"/>
    <col min="13" max="13" width="6" customWidth="1"/>
  </cols>
  <sheetData>
    <row r="1" spans="1:15" ht="14.4" customHeight="1" x14ac:dyDescent="0.3">
      <c r="A1" s="111"/>
      <c r="B1" s="339" t="s">
        <v>76</v>
      </c>
      <c r="C1" s="339"/>
      <c r="D1" s="339"/>
      <c r="E1" s="339"/>
      <c r="F1" s="339"/>
      <c r="G1" s="339"/>
      <c r="H1" s="339"/>
      <c r="I1" s="339"/>
      <c r="J1" s="339"/>
      <c r="K1" s="339"/>
      <c r="L1" s="339"/>
    </row>
    <row r="2" spans="1:15" s="38" customFormat="1" ht="14.4" customHeight="1" x14ac:dyDescent="0.3">
      <c r="A2" s="111"/>
      <c r="B2" s="102"/>
      <c r="C2" s="102"/>
      <c r="D2" s="102"/>
      <c r="E2" s="102"/>
      <c r="F2" s="112"/>
      <c r="G2" s="112"/>
      <c r="H2" s="112"/>
      <c r="I2" s="112"/>
      <c r="J2" s="112"/>
      <c r="K2" s="112"/>
      <c r="L2" s="114" t="s">
        <v>88</v>
      </c>
      <c r="M2" s="36">
        <v>40</v>
      </c>
    </row>
    <row r="3" spans="1:15" s="38" customFormat="1" ht="14.4" customHeight="1" x14ac:dyDescent="0.3">
      <c r="A3" s="111"/>
      <c r="B3" s="102"/>
      <c r="C3" s="102"/>
      <c r="D3" s="102"/>
      <c r="E3" s="102"/>
      <c r="F3" s="112"/>
      <c r="G3" s="112"/>
      <c r="H3" s="112"/>
      <c r="I3" s="112"/>
      <c r="J3" s="112"/>
      <c r="K3" s="112"/>
      <c r="L3" s="29" t="s">
        <v>89</v>
      </c>
      <c r="M3" s="104">
        <f>PI()*M2^2</f>
        <v>5026.5482457436692</v>
      </c>
    </row>
    <row r="4" spans="1:15" s="38" customFormat="1" ht="14.4" customHeight="1" x14ac:dyDescent="0.3">
      <c r="A4" s="111"/>
      <c r="B4" s="102"/>
      <c r="C4" s="102"/>
      <c r="D4" s="102"/>
      <c r="E4" s="102"/>
      <c r="F4" s="112"/>
      <c r="G4" s="112"/>
      <c r="H4" s="112"/>
      <c r="I4" s="112"/>
      <c r="J4" s="112"/>
      <c r="K4" s="112"/>
      <c r="L4" s="114" t="s">
        <v>87</v>
      </c>
      <c r="M4" s="115">
        <f>COUNT(H11:H41)*10000/M3</f>
        <v>61.672540448109444</v>
      </c>
    </row>
    <row r="5" spans="1:15" s="38" customFormat="1" ht="14.4" customHeight="1" x14ac:dyDescent="0.3">
      <c r="A5" s="111"/>
      <c r="B5" s="102"/>
      <c r="C5" s="102"/>
      <c r="D5" s="102"/>
      <c r="E5" s="102"/>
      <c r="F5" s="112"/>
      <c r="G5" s="112"/>
      <c r="H5" s="112"/>
      <c r="I5" s="112"/>
      <c r="J5" s="112"/>
      <c r="K5" s="112"/>
      <c r="L5" t="s">
        <v>86</v>
      </c>
      <c r="M5" s="113">
        <f>AVERAGE(E11:H41)</f>
        <v>4.1104838709677427</v>
      </c>
    </row>
    <row r="6" spans="1:15" x14ac:dyDescent="0.3">
      <c r="A6" s="103"/>
      <c r="B6" s="101"/>
      <c r="C6" s="101"/>
      <c r="D6" s="101"/>
      <c r="E6" s="101"/>
      <c r="F6" s="39"/>
      <c r="G6" s="39"/>
      <c r="H6" s="39"/>
      <c r="I6" s="39"/>
      <c r="J6" s="39"/>
      <c r="K6" s="39"/>
      <c r="L6" s="29" t="s">
        <v>90</v>
      </c>
      <c r="M6" s="113">
        <f>100/(M5*SQRT(M4))</f>
        <v>3.0978553300631955</v>
      </c>
    </row>
    <row r="7" spans="1:15" ht="15" thickBot="1" x14ac:dyDescent="0.35">
      <c r="F7" s="39"/>
      <c r="G7" s="39"/>
      <c r="H7" s="39"/>
      <c r="I7" s="39"/>
      <c r="J7" s="39"/>
      <c r="K7" s="39"/>
      <c r="L7" s="39"/>
    </row>
    <row r="8" spans="1:15" ht="15.6" thickTop="1" thickBot="1" x14ac:dyDescent="0.35">
      <c r="B8" s="341" t="s">
        <v>77</v>
      </c>
      <c r="C8" s="342"/>
      <c r="D8" s="342"/>
      <c r="E8" s="342"/>
      <c r="F8" s="342"/>
      <c r="G8" s="342"/>
      <c r="H8" s="343"/>
    </row>
    <row r="9" spans="1:15" ht="15.6" thickTop="1" thickBot="1" x14ac:dyDescent="0.35">
      <c r="B9" s="344" t="s">
        <v>78</v>
      </c>
      <c r="C9" s="344" t="s">
        <v>33</v>
      </c>
      <c r="D9" s="344" t="s">
        <v>4</v>
      </c>
      <c r="E9" s="346" t="s">
        <v>79</v>
      </c>
      <c r="F9" s="347"/>
      <c r="G9" s="347"/>
      <c r="H9" s="348"/>
      <c r="K9" s="39"/>
      <c r="L9" s="39"/>
      <c r="M9" s="39"/>
      <c r="N9" s="39"/>
      <c r="O9" s="39"/>
    </row>
    <row r="10" spans="1:15" ht="27" thickBot="1" x14ac:dyDescent="0.35">
      <c r="B10" s="345"/>
      <c r="C10" s="345"/>
      <c r="D10" s="345"/>
      <c r="E10" s="109" t="s">
        <v>80</v>
      </c>
      <c r="F10" s="109" t="s">
        <v>81</v>
      </c>
      <c r="G10" s="109" t="s">
        <v>82</v>
      </c>
      <c r="H10" s="110" t="s">
        <v>83</v>
      </c>
      <c r="I10" s="116" t="s">
        <v>93</v>
      </c>
      <c r="J10" s="116" t="s">
        <v>91</v>
      </c>
      <c r="K10" s="39"/>
      <c r="L10" s="39"/>
      <c r="M10" s="39"/>
      <c r="N10" s="39"/>
      <c r="O10" s="39"/>
    </row>
    <row r="11" spans="1:15" ht="15" thickBot="1" x14ac:dyDescent="0.35">
      <c r="B11" s="117">
        <v>1</v>
      </c>
      <c r="C11" s="118" t="s">
        <v>84</v>
      </c>
      <c r="D11" s="118">
        <v>25.46</v>
      </c>
      <c r="E11" s="118">
        <v>3</v>
      </c>
      <c r="F11" s="118">
        <v>4.4000000000000004</v>
      </c>
      <c r="G11" s="118">
        <v>2.2999999999999998</v>
      </c>
      <c r="H11" s="119">
        <v>4.7</v>
      </c>
      <c r="I11" s="1">
        <f>AVERAGE(E11:H11)</f>
        <v>3.5999999999999996</v>
      </c>
      <c r="J11" s="1">
        <f>PI()*I11^2</f>
        <v>40.715040790523709</v>
      </c>
      <c r="K11" s="39"/>
      <c r="L11" s="39"/>
      <c r="M11" s="39"/>
      <c r="N11" s="39"/>
      <c r="O11" s="39"/>
    </row>
    <row r="12" spans="1:15" ht="15" thickBot="1" x14ac:dyDescent="0.35">
      <c r="B12" s="117">
        <v>2</v>
      </c>
      <c r="C12" s="118" t="s">
        <v>84</v>
      </c>
      <c r="D12" s="118">
        <v>42.02</v>
      </c>
      <c r="E12" s="118">
        <v>5.2</v>
      </c>
      <c r="F12" s="118">
        <v>7.4</v>
      </c>
      <c r="G12" s="118">
        <v>4.5</v>
      </c>
      <c r="H12" s="119">
        <v>6.2</v>
      </c>
      <c r="I12" s="1">
        <f t="shared" ref="I12:I41" si="0">AVERAGE(E12:H12)</f>
        <v>5.8250000000000002</v>
      </c>
      <c r="J12" s="1">
        <f t="shared" ref="J12:J41" si="1">PI()*I12^2</f>
        <v>106.59620223171017</v>
      </c>
      <c r="K12" s="39"/>
      <c r="L12" s="39"/>
      <c r="M12" s="39"/>
      <c r="N12" s="39"/>
      <c r="O12" s="39"/>
    </row>
    <row r="13" spans="1:15" ht="15" thickBot="1" x14ac:dyDescent="0.35">
      <c r="B13" s="117">
        <v>3</v>
      </c>
      <c r="C13" s="118" t="s">
        <v>84</v>
      </c>
      <c r="D13" s="118">
        <v>34.06</v>
      </c>
      <c r="E13" s="118">
        <v>4.5999999999999996</v>
      </c>
      <c r="F13" s="118">
        <v>6.2</v>
      </c>
      <c r="G13" s="118">
        <v>2.7</v>
      </c>
      <c r="H13" s="119">
        <v>3.9</v>
      </c>
      <c r="I13" s="1">
        <f t="shared" si="0"/>
        <v>4.3499999999999996</v>
      </c>
      <c r="J13" s="1">
        <f t="shared" si="1"/>
        <v>59.446786987552848</v>
      </c>
      <c r="K13" s="39"/>
      <c r="L13" s="39"/>
      <c r="M13" s="39"/>
      <c r="N13" s="39"/>
      <c r="O13" s="39"/>
    </row>
    <row r="14" spans="1:15" ht="15" thickBot="1" x14ac:dyDescent="0.35">
      <c r="B14" s="117">
        <v>4</v>
      </c>
      <c r="C14" s="118" t="s">
        <v>84</v>
      </c>
      <c r="D14" s="118">
        <v>22.6</v>
      </c>
      <c r="E14" s="118">
        <v>1.9</v>
      </c>
      <c r="F14" s="118">
        <v>3</v>
      </c>
      <c r="G14" s="118">
        <v>3.1</v>
      </c>
      <c r="H14" s="119">
        <v>3.3</v>
      </c>
      <c r="I14" s="1">
        <f t="shared" si="0"/>
        <v>2.8250000000000002</v>
      </c>
      <c r="J14" s="1">
        <f t="shared" si="1"/>
        <v>25.071872871055046</v>
      </c>
      <c r="K14" s="39"/>
      <c r="L14" s="39"/>
      <c r="M14" s="39"/>
      <c r="N14" s="39"/>
      <c r="O14" s="39"/>
    </row>
    <row r="15" spans="1:15" ht="15" thickBot="1" x14ac:dyDescent="0.35">
      <c r="B15" s="117">
        <v>5</v>
      </c>
      <c r="C15" s="118" t="s">
        <v>84</v>
      </c>
      <c r="D15" s="118">
        <v>44.56</v>
      </c>
      <c r="E15" s="118">
        <v>2</v>
      </c>
      <c r="F15" s="118">
        <v>4.2</v>
      </c>
      <c r="G15" s="118">
        <v>4.0999999999999996</v>
      </c>
      <c r="H15" s="119">
        <v>5.4</v>
      </c>
      <c r="I15" s="1">
        <f t="shared" si="0"/>
        <v>3.9250000000000003</v>
      </c>
      <c r="J15" s="1">
        <f t="shared" si="1"/>
        <v>48.398198323959264</v>
      </c>
      <c r="K15" s="39"/>
      <c r="L15" s="39"/>
      <c r="M15" s="39"/>
      <c r="N15" s="39"/>
      <c r="O15" s="39"/>
    </row>
    <row r="16" spans="1:15" ht="15" thickBot="1" x14ac:dyDescent="0.35">
      <c r="B16" s="117">
        <v>6</v>
      </c>
      <c r="C16" s="118" t="s">
        <v>84</v>
      </c>
      <c r="D16" s="118">
        <v>44.88</v>
      </c>
      <c r="E16" s="118">
        <v>5</v>
      </c>
      <c r="F16" s="118">
        <v>4.9000000000000004</v>
      </c>
      <c r="G16" s="118">
        <v>5.6</v>
      </c>
      <c r="H16" s="119">
        <v>4.9000000000000004</v>
      </c>
      <c r="I16" s="1">
        <f t="shared" si="0"/>
        <v>5.0999999999999996</v>
      </c>
      <c r="J16" s="1">
        <f t="shared" si="1"/>
        <v>81.712824919870513</v>
      </c>
      <c r="K16" s="39"/>
      <c r="L16" s="39"/>
      <c r="M16" s="39"/>
      <c r="N16" s="39"/>
      <c r="O16" s="39"/>
    </row>
    <row r="17" spans="2:15" ht="15" thickBot="1" x14ac:dyDescent="0.35">
      <c r="B17" s="117">
        <v>7</v>
      </c>
      <c r="C17" s="118" t="s">
        <v>84</v>
      </c>
      <c r="D17" s="118">
        <v>31.19</v>
      </c>
      <c r="E17" s="118">
        <v>2.5</v>
      </c>
      <c r="F17" s="118">
        <v>6.5</v>
      </c>
      <c r="G17" s="118">
        <v>2.2000000000000002</v>
      </c>
      <c r="H17" s="119">
        <v>4.2</v>
      </c>
      <c r="I17" s="1">
        <f t="shared" si="0"/>
        <v>3.8499999999999996</v>
      </c>
      <c r="J17" s="1">
        <f t="shared" si="1"/>
        <v>46.566257107834701</v>
      </c>
      <c r="K17" s="39"/>
      <c r="L17" s="39"/>
      <c r="M17" s="39"/>
      <c r="N17" s="39"/>
      <c r="O17" s="39"/>
    </row>
    <row r="18" spans="2:15" ht="15" thickBot="1" x14ac:dyDescent="0.35">
      <c r="B18" s="117">
        <v>8</v>
      </c>
      <c r="C18" s="118" t="s">
        <v>84</v>
      </c>
      <c r="D18" s="118">
        <v>60.8</v>
      </c>
      <c r="E18" s="118">
        <v>6.6</v>
      </c>
      <c r="F18" s="118">
        <v>9.1</v>
      </c>
      <c r="G18" s="118">
        <v>8.3000000000000007</v>
      </c>
      <c r="H18" s="119">
        <v>7.8</v>
      </c>
      <c r="I18" s="1">
        <f t="shared" si="0"/>
        <v>7.95</v>
      </c>
      <c r="J18" s="1">
        <f t="shared" si="1"/>
        <v>198.5565096885089</v>
      </c>
      <c r="K18" s="39"/>
      <c r="L18" s="39"/>
      <c r="M18" s="39"/>
      <c r="N18" s="39"/>
      <c r="O18" s="39"/>
    </row>
    <row r="19" spans="2:15" ht="15" thickBot="1" x14ac:dyDescent="0.35">
      <c r="B19" s="117">
        <v>9</v>
      </c>
      <c r="C19" s="118" t="s">
        <v>84</v>
      </c>
      <c r="D19" s="118">
        <v>27.69</v>
      </c>
      <c r="E19" s="118">
        <v>2.4</v>
      </c>
      <c r="F19" s="118">
        <v>4.2</v>
      </c>
      <c r="G19" s="118">
        <v>5.0999999999999996</v>
      </c>
      <c r="H19" s="119">
        <v>3.8</v>
      </c>
      <c r="I19" s="1">
        <f t="shared" si="0"/>
        <v>3.875</v>
      </c>
      <c r="J19" s="1">
        <f t="shared" si="1"/>
        <v>47.172977189059239</v>
      </c>
      <c r="L19" s="29" t="s">
        <v>92</v>
      </c>
      <c r="M19" s="36">
        <f>SUM(J11:J41)/M3*100</f>
        <v>38.625898437499998</v>
      </c>
    </row>
    <row r="20" spans="2:15" ht="15" thickBot="1" x14ac:dyDescent="0.35">
      <c r="B20" s="117">
        <v>10</v>
      </c>
      <c r="C20" s="118" t="s">
        <v>84</v>
      </c>
      <c r="D20" s="118">
        <v>27.37</v>
      </c>
      <c r="E20" s="118">
        <v>2.9</v>
      </c>
      <c r="F20" s="118">
        <v>5.5</v>
      </c>
      <c r="G20" s="118">
        <v>2.6</v>
      </c>
      <c r="H20" s="119">
        <v>3.8</v>
      </c>
      <c r="I20" s="1">
        <f t="shared" si="0"/>
        <v>3.7</v>
      </c>
      <c r="J20" s="1">
        <f t="shared" si="1"/>
        <v>43.008403427644275</v>
      </c>
    </row>
    <row r="21" spans="2:15" ht="15" thickBot="1" x14ac:dyDescent="0.35">
      <c r="B21" s="117">
        <v>11</v>
      </c>
      <c r="C21" s="118" t="s">
        <v>84</v>
      </c>
      <c r="D21" s="118">
        <v>48.38</v>
      </c>
      <c r="E21" s="118">
        <v>5.4</v>
      </c>
      <c r="F21" s="118">
        <v>3.6</v>
      </c>
      <c r="G21" s="118">
        <v>2.8</v>
      </c>
      <c r="H21" s="119">
        <v>4.3</v>
      </c>
      <c r="I21" s="1">
        <f t="shared" si="0"/>
        <v>4.0250000000000004</v>
      </c>
      <c r="J21" s="1">
        <f t="shared" si="1"/>
        <v>50.895764483563148</v>
      </c>
      <c r="K21" s="120"/>
      <c r="L21" s="340" t="s">
        <v>94</v>
      </c>
      <c r="M21" s="340"/>
      <c r="N21" s="340"/>
      <c r="O21" s="340"/>
    </row>
    <row r="22" spans="2:15" ht="15" thickBot="1" x14ac:dyDescent="0.35">
      <c r="B22" s="117">
        <v>12</v>
      </c>
      <c r="C22" s="118" t="s">
        <v>84</v>
      </c>
      <c r="D22" s="118">
        <v>52.84</v>
      </c>
      <c r="E22" s="118">
        <v>5.6</v>
      </c>
      <c r="F22" s="118">
        <v>5.7</v>
      </c>
      <c r="G22" s="118">
        <v>8.1</v>
      </c>
      <c r="H22" s="119">
        <v>4.7</v>
      </c>
      <c r="I22" s="1">
        <f t="shared" si="0"/>
        <v>6.0249999999999995</v>
      </c>
      <c r="J22" s="1">
        <f t="shared" si="1"/>
        <v>114.04177682071797</v>
      </c>
      <c r="K22" s="120"/>
      <c r="L22" s="340"/>
      <c r="M22" s="340"/>
      <c r="N22" s="340"/>
      <c r="O22" s="340"/>
    </row>
    <row r="23" spans="2:15" ht="15" thickBot="1" x14ac:dyDescent="0.35">
      <c r="B23" s="117">
        <v>13</v>
      </c>
      <c r="C23" s="118" t="s">
        <v>84</v>
      </c>
      <c r="D23" s="118">
        <v>42.65</v>
      </c>
      <c r="E23" s="118">
        <v>3.7</v>
      </c>
      <c r="F23" s="118">
        <v>6.1</v>
      </c>
      <c r="G23" s="118">
        <v>4.7</v>
      </c>
      <c r="H23" s="119">
        <v>2</v>
      </c>
      <c r="I23" s="1">
        <f t="shared" si="0"/>
        <v>4.125</v>
      </c>
      <c r="J23" s="1">
        <f t="shared" si="1"/>
        <v>53.456162496238825</v>
      </c>
      <c r="K23" s="120"/>
      <c r="L23" s="340"/>
      <c r="M23" s="340"/>
      <c r="N23" s="340"/>
      <c r="O23" s="340"/>
    </row>
    <row r="24" spans="2:15" ht="15" thickBot="1" x14ac:dyDescent="0.35">
      <c r="B24" s="117">
        <v>14</v>
      </c>
      <c r="C24" s="118" t="s">
        <v>84</v>
      </c>
      <c r="D24" s="118">
        <v>54.43</v>
      </c>
      <c r="E24" s="118">
        <v>5.0999999999999996</v>
      </c>
      <c r="F24" s="118">
        <v>7.1</v>
      </c>
      <c r="G24" s="118">
        <v>6.7</v>
      </c>
      <c r="H24" s="119">
        <v>5.5</v>
      </c>
      <c r="I24" s="1">
        <f t="shared" si="0"/>
        <v>6.1</v>
      </c>
      <c r="J24" s="1">
        <f t="shared" si="1"/>
        <v>116.89866264007618</v>
      </c>
      <c r="K24" s="120"/>
      <c r="L24" s="340"/>
      <c r="M24" s="340"/>
      <c r="N24" s="340"/>
      <c r="O24" s="340"/>
    </row>
    <row r="25" spans="2:15" ht="15" thickBot="1" x14ac:dyDescent="0.35">
      <c r="B25" s="117">
        <v>15</v>
      </c>
      <c r="C25" s="118" t="s">
        <v>84</v>
      </c>
      <c r="D25" s="118">
        <v>58.25</v>
      </c>
      <c r="E25" s="118">
        <v>6.7</v>
      </c>
      <c r="F25" s="118">
        <v>7.1</v>
      </c>
      <c r="G25" s="118">
        <v>7.2</v>
      </c>
      <c r="H25" s="119">
        <v>6.6</v>
      </c>
      <c r="I25" s="1">
        <f t="shared" si="0"/>
        <v>6.9</v>
      </c>
      <c r="J25" s="1">
        <f t="shared" si="1"/>
        <v>149.57122623741006</v>
      </c>
      <c r="K25" s="120"/>
      <c r="L25" s="340"/>
      <c r="M25" s="340"/>
      <c r="N25" s="340"/>
      <c r="O25" s="340"/>
    </row>
    <row r="26" spans="2:15" ht="15" thickBot="1" x14ac:dyDescent="0.35">
      <c r="B26" s="117">
        <v>16</v>
      </c>
      <c r="C26" s="118" t="s">
        <v>84</v>
      </c>
      <c r="D26" s="118">
        <v>47.43</v>
      </c>
      <c r="E26" s="118">
        <v>5.0999999999999996</v>
      </c>
      <c r="F26" s="118">
        <v>5.5</v>
      </c>
      <c r="G26" s="118">
        <v>4.3</v>
      </c>
      <c r="H26" s="119">
        <v>5.4</v>
      </c>
      <c r="I26" s="1">
        <f t="shared" si="0"/>
        <v>5.0749999999999993</v>
      </c>
      <c r="J26" s="1">
        <f t="shared" si="1"/>
        <v>80.913682288613586</v>
      </c>
      <c r="K26" s="120"/>
      <c r="L26" s="340"/>
      <c r="M26" s="340"/>
      <c r="N26" s="340"/>
      <c r="O26" s="340"/>
    </row>
    <row r="27" spans="2:15" ht="15" thickBot="1" x14ac:dyDescent="0.35">
      <c r="B27" s="117">
        <v>17</v>
      </c>
      <c r="C27" s="118" t="s">
        <v>84</v>
      </c>
      <c r="D27" s="118">
        <v>35.97</v>
      </c>
      <c r="E27" s="118">
        <v>5.0999999999999996</v>
      </c>
      <c r="F27" s="118">
        <v>4.5</v>
      </c>
      <c r="G27" s="118">
        <v>5.7</v>
      </c>
      <c r="H27" s="119">
        <v>4.5</v>
      </c>
      <c r="I27" s="1">
        <f t="shared" si="0"/>
        <v>4.95</v>
      </c>
      <c r="J27" s="1">
        <f t="shared" si="1"/>
        <v>76.976873994583912</v>
      </c>
      <c r="K27" s="120"/>
      <c r="L27" s="340"/>
      <c r="M27" s="340"/>
      <c r="N27" s="340"/>
      <c r="O27" s="340"/>
    </row>
    <row r="28" spans="2:15" ht="15" thickBot="1" x14ac:dyDescent="0.35">
      <c r="B28" s="117">
        <v>18</v>
      </c>
      <c r="C28" s="118" t="s">
        <v>84</v>
      </c>
      <c r="D28" s="118">
        <v>31.83</v>
      </c>
      <c r="E28" s="118">
        <v>6.1</v>
      </c>
      <c r="F28" s="118">
        <v>5.9</v>
      </c>
      <c r="G28" s="118">
        <v>5.4</v>
      </c>
      <c r="H28" s="119">
        <v>5.0999999999999996</v>
      </c>
      <c r="I28" s="1">
        <f t="shared" si="0"/>
        <v>5.625</v>
      </c>
      <c r="J28" s="1">
        <f t="shared" si="1"/>
        <v>99.401955054989543</v>
      </c>
      <c r="K28" s="120"/>
      <c r="L28" s="340"/>
      <c r="M28" s="340"/>
      <c r="N28" s="340"/>
      <c r="O28" s="340"/>
    </row>
    <row r="29" spans="2:15" ht="15" thickBot="1" x14ac:dyDescent="0.35">
      <c r="B29" s="117">
        <v>19</v>
      </c>
      <c r="C29" s="118" t="s">
        <v>84</v>
      </c>
      <c r="D29" s="118">
        <v>25.78</v>
      </c>
      <c r="E29" s="118">
        <v>2.9</v>
      </c>
      <c r="F29" s="118">
        <v>4.8</v>
      </c>
      <c r="G29" s="118">
        <v>4</v>
      </c>
      <c r="H29" s="119">
        <v>3.6</v>
      </c>
      <c r="I29" s="1">
        <f t="shared" si="0"/>
        <v>3.8249999999999997</v>
      </c>
      <c r="J29" s="1">
        <f t="shared" si="1"/>
        <v>45.963464017427164</v>
      </c>
      <c r="K29" s="120"/>
      <c r="L29" s="340"/>
      <c r="M29" s="340"/>
      <c r="N29" s="340"/>
      <c r="O29" s="340"/>
    </row>
    <row r="30" spans="2:15" ht="15" thickBot="1" x14ac:dyDescent="0.35">
      <c r="B30" s="117">
        <v>20</v>
      </c>
      <c r="C30" s="118" t="s">
        <v>84</v>
      </c>
      <c r="D30" s="118">
        <v>74.17</v>
      </c>
      <c r="E30" s="118">
        <v>7.5</v>
      </c>
      <c r="F30" s="118">
        <v>9.6</v>
      </c>
      <c r="G30" s="118">
        <v>5.3</v>
      </c>
      <c r="H30" s="119">
        <v>7.9</v>
      </c>
      <c r="I30" s="1">
        <f t="shared" si="0"/>
        <v>7.5750000000000011</v>
      </c>
      <c r="J30" s="1">
        <f t="shared" si="1"/>
        <v>180.26654995839087</v>
      </c>
      <c r="K30" s="120"/>
      <c r="L30" s="340"/>
      <c r="M30" s="340"/>
      <c r="N30" s="340"/>
      <c r="O30" s="340"/>
    </row>
    <row r="31" spans="2:15" ht="15" thickBot="1" x14ac:dyDescent="0.35">
      <c r="B31" s="117">
        <v>21</v>
      </c>
      <c r="C31" s="118" t="s">
        <v>84</v>
      </c>
      <c r="D31" s="118">
        <v>22.28</v>
      </c>
      <c r="E31" s="118">
        <v>2.6</v>
      </c>
      <c r="F31" s="118">
        <v>1.4</v>
      </c>
      <c r="G31" s="118">
        <v>1.9</v>
      </c>
      <c r="H31" s="119">
        <v>2.4</v>
      </c>
      <c r="I31" s="1">
        <f t="shared" si="0"/>
        <v>2.0750000000000002</v>
      </c>
      <c r="J31" s="1">
        <f t="shared" si="1"/>
        <v>13.526519869112557</v>
      </c>
      <c r="K31" s="120"/>
      <c r="L31" s="340"/>
      <c r="M31" s="340"/>
      <c r="N31" s="340"/>
      <c r="O31" s="340"/>
    </row>
    <row r="32" spans="2:15" ht="15" thickBot="1" x14ac:dyDescent="0.35">
      <c r="B32" s="117">
        <v>22</v>
      </c>
      <c r="C32" s="118" t="s">
        <v>84</v>
      </c>
      <c r="D32" s="118">
        <v>16.87</v>
      </c>
      <c r="E32" s="118">
        <v>2</v>
      </c>
      <c r="F32" s="118">
        <v>0.3</v>
      </c>
      <c r="G32" s="118">
        <v>1.8</v>
      </c>
      <c r="H32" s="119">
        <v>0.8</v>
      </c>
      <c r="I32" s="1">
        <f t="shared" si="0"/>
        <v>1.2249999999999999</v>
      </c>
      <c r="J32" s="1">
        <f t="shared" si="1"/>
        <v>4.7143524757931825</v>
      </c>
      <c r="K32" s="120"/>
      <c r="L32" s="340"/>
      <c r="M32" s="340"/>
      <c r="N32" s="340"/>
      <c r="O32" s="340"/>
    </row>
    <row r="33" spans="2:15" ht="15" thickBot="1" x14ac:dyDescent="0.35">
      <c r="B33" s="117">
        <v>23</v>
      </c>
      <c r="C33" s="118" t="s">
        <v>84</v>
      </c>
      <c r="D33" s="118">
        <v>20.37</v>
      </c>
      <c r="E33" s="118">
        <v>0.8</v>
      </c>
      <c r="F33" s="118">
        <v>2.1</v>
      </c>
      <c r="G33" s="118">
        <v>2</v>
      </c>
      <c r="H33" s="119">
        <v>1.6</v>
      </c>
      <c r="I33" s="1">
        <f t="shared" si="0"/>
        <v>1.625</v>
      </c>
      <c r="J33" s="1">
        <f t="shared" si="1"/>
        <v>8.2957681008855477</v>
      </c>
      <c r="K33" s="120"/>
      <c r="L33" s="340"/>
      <c r="M33" s="340"/>
      <c r="N33" s="340"/>
      <c r="O33" s="340"/>
    </row>
    <row r="34" spans="2:15" ht="15" thickBot="1" x14ac:dyDescent="0.35">
      <c r="B34" s="117">
        <v>24</v>
      </c>
      <c r="C34" s="118" t="s">
        <v>85</v>
      </c>
      <c r="D34" s="118">
        <v>25.46</v>
      </c>
      <c r="E34" s="118">
        <v>3.4</v>
      </c>
      <c r="F34" s="118">
        <v>2.9</v>
      </c>
      <c r="G34" s="118">
        <v>3.5</v>
      </c>
      <c r="H34" s="119">
        <v>3</v>
      </c>
      <c r="I34" s="1">
        <f t="shared" si="0"/>
        <v>3.2</v>
      </c>
      <c r="J34" s="1">
        <f t="shared" si="1"/>
        <v>32.169908772759484</v>
      </c>
      <c r="K34" s="120"/>
      <c r="L34" s="340"/>
      <c r="M34" s="340"/>
      <c r="N34" s="340"/>
      <c r="O34" s="340"/>
    </row>
    <row r="35" spans="2:15" ht="15" thickBot="1" x14ac:dyDescent="0.35">
      <c r="B35" s="117">
        <v>25</v>
      </c>
      <c r="C35" s="118" t="s">
        <v>85</v>
      </c>
      <c r="D35" s="118">
        <v>30.24</v>
      </c>
      <c r="E35" s="118">
        <v>4.8</v>
      </c>
      <c r="F35" s="118">
        <v>3.4</v>
      </c>
      <c r="G35" s="118">
        <v>4.3</v>
      </c>
      <c r="H35" s="119">
        <v>3.9</v>
      </c>
      <c r="I35" s="1">
        <f t="shared" si="0"/>
        <v>4.0999999999999996</v>
      </c>
      <c r="J35" s="1">
        <f t="shared" si="1"/>
        <v>52.810172506844417</v>
      </c>
      <c r="K35" s="120"/>
      <c r="L35" s="340"/>
      <c r="M35" s="340"/>
      <c r="N35" s="340"/>
      <c r="O35" s="340"/>
    </row>
    <row r="36" spans="2:15" ht="15" thickBot="1" x14ac:dyDescent="0.35">
      <c r="B36" s="117">
        <v>26</v>
      </c>
      <c r="C36" s="118" t="s">
        <v>85</v>
      </c>
      <c r="D36" s="118">
        <v>17.190000000000001</v>
      </c>
      <c r="E36" s="118">
        <v>1.9</v>
      </c>
      <c r="F36" s="118">
        <v>1.7</v>
      </c>
      <c r="G36" s="118">
        <v>2.1</v>
      </c>
      <c r="H36" s="119">
        <v>1.7</v>
      </c>
      <c r="I36" s="1">
        <f t="shared" si="0"/>
        <v>1.8499999999999999</v>
      </c>
      <c r="J36" s="1">
        <f t="shared" si="1"/>
        <v>10.752100856911065</v>
      </c>
      <c r="K36" s="120"/>
      <c r="L36" s="340"/>
      <c r="M36" s="340"/>
      <c r="N36" s="340"/>
      <c r="O36" s="340"/>
    </row>
    <row r="37" spans="2:15" ht="15" thickBot="1" x14ac:dyDescent="0.35">
      <c r="B37" s="117">
        <v>27</v>
      </c>
      <c r="C37" s="118" t="s">
        <v>85</v>
      </c>
      <c r="D37" s="118">
        <v>20.37</v>
      </c>
      <c r="E37" s="118">
        <v>2.6</v>
      </c>
      <c r="F37" s="118">
        <v>2.5</v>
      </c>
      <c r="G37" s="118">
        <v>2.7</v>
      </c>
      <c r="H37" s="119">
        <v>2</v>
      </c>
      <c r="I37" s="1">
        <f t="shared" si="0"/>
        <v>2.4500000000000002</v>
      </c>
      <c r="J37" s="1">
        <f t="shared" si="1"/>
        <v>18.857409903172737</v>
      </c>
      <c r="K37" s="120"/>
      <c r="L37" s="340"/>
      <c r="M37" s="340"/>
      <c r="N37" s="340"/>
      <c r="O37" s="340"/>
    </row>
    <row r="38" spans="2:15" ht="15" thickBot="1" x14ac:dyDescent="0.35">
      <c r="B38" s="117">
        <v>28</v>
      </c>
      <c r="C38" s="118" t="s">
        <v>85</v>
      </c>
      <c r="D38" s="118">
        <v>13.69</v>
      </c>
      <c r="E38" s="118">
        <v>1.4</v>
      </c>
      <c r="F38" s="118">
        <v>1.7</v>
      </c>
      <c r="G38" s="118">
        <v>1.6</v>
      </c>
      <c r="H38" s="119">
        <v>1.9</v>
      </c>
      <c r="I38" s="1">
        <f t="shared" si="0"/>
        <v>1.65</v>
      </c>
      <c r="J38" s="1">
        <f t="shared" si="1"/>
        <v>8.55298599939821</v>
      </c>
      <c r="K38" s="120"/>
      <c r="L38" s="340"/>
      <c r="M38" s="340"/>
      <c r="N38" s="340"/>
      <c r="O38" s="340"/>
    </row>
    <row r="39" spans="2:15" ht="15" thickBot="1" x14ac:dyDescent="0.35">
      <c r="B39" s="117">
        <v>29</v>
      </c>
      <c r="C39" s="118" t="s">
        <v>85</v>
      </c>
      <c r="D39" s="118">
        <v>48.06</v>
      </c>
      <c r="E39" s="118">
        <v>5.3</v>
      </c>
      <c r="F39" s="118">
        <v>6.1</v>
      </c>
      <c r="G39" s="118">
        <v>5.8</v>
      </c>
      <c r="H39" s="119">
        <v>4.5999999999999996</v>
      </c>
      <c r="I39" s="1">
        <f t="shared" si="0"/>
        <v>5.4499999999999993</v>
      </c>
      <c r="J39" s="1">
        <f t="shared" si="1"/>
        <v>93.313155793250814</v>
      </c>
      <c r="K39" s="120"/>
      <c r="L39" s="340"/>
      <c r="M39" s="340"/>
      <c r="N39" s="340"/>
      <c r="O39" s="340"/>
    </row>
    <row r="40" spans="2:15" ht="15" thickBot="1" x14ac:dyDescent="0.35">
      <c r="B40" s="117">
        <v>30</v>
      </c>
      <c r="C40" s="118" t="s">
        <v>85</v>
      </c>
      <c r="D40" s="118">
        <v>18.46</v>
      </c>
      <c r="E40" s="118">
        <v>2.1</v>
      </c>
      <c r="F40" s="118">
        <v>2.2999999999999998</v>
      </c>
      <c r="G40" s="118">
        <v>2</v>
      </c>
      <c r="H40" s="119">
        <v>2.4</v>
      </c>
      <c r="I40" s="1">
        <f t="shared" si="0"/>
        <v>2.2000000000000002</v>
      </c>
      <c r="J40" s="1">
        <f t="shared" si="1"/>
        <v>15.205308443374602</v>
      </c>
      <c r="K40" s="120"/>
      <c r="L40" s="340"/>
      <c r="M40" s="340"/>
      <c r="N40" s="340"/>
      <c r="O40" s="340"/>
    </row>
    <row r="41" spans="2:15" ht="15" thickBot="1" x14ac:dyDescent="0.35">
      <c r="B41" s="117">
        <v>31</v>
      </c>
      <c r="C41" s="118" t="s">
        <v>85</v>
      </c>
      <c r="D41" s="118">
        <v>21.96</v>
      </c>
      <c r="E41" s="118">
        <v>2.2000000000000002</v>
      </c>
      <c r="F41" s="118">
        <v>2.7</v>
      </c>
      <c r="G41" s="118">
        <v>2.2000000000000002</v>
      </c>
      <c r="H41" s="119">
        <v>2.4</v>
      </c>
      <c r="I41" s="1">
        <f t="shared" si="0"/>
        <v>2.375</v>
      </c>
      <c r="J41" s="1">
        <f t="shared" si="1"/>
        <v>17.720546061654925</v>
      </c>
      <c r="K41" s="120"/>
      <c r="L41" s="340"/>
      <c r="M41" s="340"/>
      <c r="N41" s="340"/>
      <c r="O41" s="340"/>
    </row>
  </sheetData>
  <mergeCells count="7">
    <mergeCell ref="B1:L1"/>
    <mergeCell ref="L21:O41"/>
    <mergeCell ref="B8:H8"/>
    <mergeCell ref="B9:B10"/>
    <mergeCell ref="C9:C10"/>
    <mergeCell ref="D9:D10"/>
    <mergeCell ref="E9:H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ficha de campo</vt:lpstr>
      <vt:lpstr>322</vt:lpstr>
      <vt:lpstr>324</vt:lpstr>
      <vt:lpstr>322_K</vt:lpstr>
      <vt:lpstr>'322'!_Ref35361304</vt:lpstr>
      <vt:lpstr>'322'!_Toc35591880</vt:lpstr>
    </vt:vector>
  </TitlesOfParts>
  <Company>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smb</dc:creator>
  <cp:lastModifiedBy>smb</cp:lastModifiedBy>
  <cp:lastPrinted>2021-03-03T15:02:35Z</cp:lastPrinted>
  <dcterms:created xsi:type="dcterms:W3CDTF">2021-03-03T15:01:09Z</dcterms:created>
  <dcterms:modified xsi:type="dcterms:W3CDTF">2023-04-19T08:47:06Z</dcterms:modified>
</cp:coreProperties>
</file>