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Inventario\"/>
    </mc:Choice>
  </mc:AlternateContent>
  <bookViews>
    <workbookView xWindow="0" yWindow="0" windowWidth="20436" windowHeight="6996"/>
  </bookViews>
  <sheets>
    <sheet name="3.2.2" sheetId="5" r:id="rId1"/>
  </sheets>
  <externalReferences>
    <externalReference r:id="rId2"/>
    <externalReference r:id="rId3"/>
  </externalReferences>
  <definedNames>
    <definedName name="_xlnm._FilterDatabase" localSheetId="0" hidden="1">'3.2.2'!$B$2:$I$90</definedName>
    <definedName name="A">'[1]4.12.4'!$F$33</definedName>
    <definedName name="k">'[1]4.12.4'!$F$34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L2" i="5"/>
  <c r="Y19" i="5" l="1"/>
  <c r="W19" i="5"/>
  <c r="AA15" i="5"/>
  <c r="AA14" i="5"/>
  <c r="O19" i="5"/>
  <c r="N19" i="5"/>
  <c r="M19" i="5"/>
  <c r="L19" i="5"/>
  <c r="L16" i="5" l="1"/>
  <c r="P3" i="5"/>
  <c r="Z20" i="5" l="1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19" i="5"/>
  <c r="Y22" i="5"/>
  <c r="Y20" i="5"/>
  <c r="Y21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14" i="5"/>
  <c r="BJ33" i="5"/>
  <c r="BK32" i="5"/>
  <c r="BJ32" i="5"/>
  <c r="AF11" i="5"/>
  <c r="AX19" i="5"/>
  <c r="AX28" i="5" s="1"/>
  <c r="AY19" i="5"/>
  <c r="AY21" i="5" s="1"/>
  <c r="AZ19" i="5"/>
  <c r="AW19" i="5"/>
  <c r="AZ21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T24" i="5"/>
  <c r="T20" i="5"/>
  <c r="T21" i="5"/>
  <c r="T22" i="5"/>
  <c r="T23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R25" i="5"/>
  <c r="R20" i="5"/>
  <c r="R21" i="5"/>
  <c r="R22" i="5"/>
  <c r="R23" i="5"/>
  <c r="R24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19" i="5"/>
  <c r="W15" i="5" l="1"/>
  <c r="AX27" i="5"/>
  <c r="AX26" i="5"/>
  <c r="AX32" i="5"/>
  <c r="AX24" i="5"/>
  <c r="AX34" i="5"/>
  <c r="AX23" i="5"/>
  <c r="AX38" i="5"/>
  <c r="AX30" i="5"/>
  <c r="AX22" i="5"/>
  <c r="AX33" i="5"/>
  <c r="AX31" i="5"/>
  <c r="AX37" i="5"/>
  <c r="AX29" i="5"/>
  <c r="AX21" i="5"/>
  <c r="AX35" i="5"/>
  <c r="AX25" i="5"/>
  <c r="AX39" i="5"/>
  <c r="AX36" i="5"/>
  <c r="AZ25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P28" i="5"/>
  <c r="P20" i="5"/>
  <c r="P21" i="5"/>
  <c r="P22" i="5"/>
  <c r="P23" i="5"/>
  <c r="P24" i="5"/>
  <c r="P25" i="5"/>
  <c r="P26" i="5"/>
  <c r="P27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M31" i="5"/>
  <c r="M20" i="5"/>
  <c r="M21" i="5"/>
  <c r="M22" i="5"/>
  <c r="M23" i="5"/>
  <c r="M24" i="5"/>
  <c r="M25" i="5"/>
  <c r="M26" i="5"/>
  <c r="M27" i="5"/>
  <c r="M28" i="5"/>
  <c r="M29" i="5"/>
  <c r="M30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P4" i="5"/>
  <c r="O1" i="5"/>
  <c r="J3" i="5"/>
  <c r="J4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S19" i="5" l="1"/>
  <c r="P19" i="5"/>
  <c r="Q19" i="5"/>
  <c r="T19" i="5" l="1"/>
  <c r="U19" i="5"/>
  <c r="V19" i="5"/>
  <c r="AV59" i="5" l="1"/>
  <c r="AV58" i="5"/>
  <c r="AV57" i="5"/>
  <c r="AV56" i="5"/>
  <c r="AV55" i="5"/>
  <c r="AV54" i="5"/>
  <c r="AV53" i="5"/>
  <c r="AV52" i="5"/>
  <c r="AV51" i="5"/>
  <c r="AV50" i="5"/>
  <c r="K50" i="5"/>
  <c r="J50" i="5"/>
  <c r="AV49" i="5"/>
  <c r="K49" i="5"/>
  <c r="J49" i="5"/>
  <c r="AV48" i="5"/>
  <c r="K48" i="5"/>
  <c r="J48" i="5"/>
  <c r="AV47" i="5"/>
  <c r="K47" i="5"/>
  <c r="J47" i="5"/>
  <c r="AV46" i="5"/>
  <c r="K46" i="5"/>
  <c r="J46" i="5"/>
  <c r="AV45" i="5"/>
  <c r="K45" i="5"/>
  <c r="J45" i="5"/>
  <c r="AV44" i="5"/>
  <c r="K44" i="5"/>
  <c r="J44" i="5"/>
  <c r="AV43" i="5"/>
  <c r="K43" i="5"/>
  <c r="J43" i="5"/>
  <c r="AV42" i="5"/>
  <c r="K42" i="5"/>
  <c r="J42" i="5"/>
  <c r="AV41" i="5"/>
  <c r="K41" i="5"/>
  <c r="J41" i="5"/>
  <c r="K40" i="5"/>
  <c r="J40" i="5"/>
  <c r="AX59" i="5"/>
  <c r="AV39" i="5"/>
  <c r="K39" i="5"/>
  <c r="J39" i="5"/>
  <c r="AX58" i="5"/>
  <c r="AV38" i="5"/>
  <c r="K38" i="5"/>
  <c r="J38" i="5"/>
  <c r="AV37" i="5"/>
  <c r="K37" i="5"/>
  <c r="J37" i="5"/>
  <c r="AX56" i="5"/>
  <c r="AV36" i="5"/>
  <c r="K36" i="5"/>
  <c r="J36" i="5"/>
  <c r="AV35" i="5"/>
  <c r="K35" i="5"/>
  <c r="J35" i="5"/>
  <c r="AX54" i="5"/>
  <c r="AV34" i="5"/>
  <c r="K34" i="5"/>
  <c r="J34" i="5"/>
  <c r="AV33" i="5"/>
  <c r="K33" i="5"/>
  <c r="J33" i="5"/>
  <c r="AV32" i="5"/>
  <c r="K32" i="5"/>
  <c r="J32" i="5"/>
  <c r="AY31" i="5"/>
  <c r="AY51" i="5" s="1"/>
  <c r="AV31" i="5"/>
  <c r="K31" i="5"/>
  <c r="J31" i="5"/>
  <c r="AX50" i="5"/>
  <c r="AV30" i="5"/>
  <c r="K30" i="5"/>
  <c r="J30" i="5"/>
  <c r="AX49" i="5"/>
  <c r="AV29" i="5"/>
  <c r="K29" i="5"/>
  <c r="J29" i="5"/>
  <c r="AX48" i="5"/>
  <c r="AV28" i="5"/>
  <c r="K28" i="5"/>
  <c r="J28" i="5"/>
  <c r="AX47" i="5"/>
  <c r="AV27" i="5"/>
  <c r="K27" i="5"/>
  <c r="J27" i="5"/>
  <c r="AV26" i="5"/>
  <c r="K26" i="5"/>
  <c r="J26" i="5"/>
  <c r="AX45" i="5"/>
  <c r="AV25" i="5"/>
  <c r="K25" i="5"/>
  <c r="J25" i="5"/>
  <c r="AV24" i="5"/>
  <c r="K24" i="5"/>
  <c r="J24" i="5"/>
  <c r="AX43" i="5"/>
  <c r="AV23" i="5"/>
  <c r="K23" i="5"/>
  <c r="J23" i="5"/>
  <c r="AV22" i="5"/>
  <c r="K22" i="5"/>
  <c r="J22" i="5"/>
  <c r="AY41" i="5"/>
  <c r="K21" i="5"/>
  <c r="J21" i="5"/>
  <c r="AY33" i="5"/>
  <c r="AY53" i="5" s="1"/>
  <c r="AX51" i="5"/>
  <c r="K20" i="5"/>
  <c r="J20" i="5"/>
  <c r="K19" i="5"/>
  <c r="J19" i="5"/>
  <c r="K15" i="5"/>
  <c r="J15" i="5"/>
  <c r="F15" i="5"/>
  <c r="Z14" i="5"/>
  <c r="Z15" i="5" s="1"/>
  <c r="Y14" i="5"/>
  <c r="Y15" i="5" s="1"/>
  <c r="X14" i="5"/>
  <c r="V14" i="5"/>
  <c r="V15" i="5" s="1"/>
  <c r="U14" i="5"/>
  <c r="U15" i="5" s="1"/>
  <c r="T14" i="5"/>
  <c r="T15" i="5" s="1"/>
  <c r="S14" i="5"/>
  <c r="S15" i="5" s="1"/>
  <c r="N14" i="5"/>
  <c r="N15" i="5" s="1"/>
  <c r="M14" i="5"/>
  <c r="M15" i="5" s="1"/>
  <c r="K14" i="5"/>
  <c r="F14" i="5"/>
  <c r="J2" i="5"/>
  <c r="F2" i="5"/>
  <c r="J1" i="5"/>
  <c r="X15" i="5" l="1"/>
  <c r="AY28" i="5"/>
  <c r="AY48" i="5" s="1"/>
  <c r="AY29" i="5"/>
  <c r="AY49" i="5" s="1"/>
  <c r="AY30" i="5"/>
  <c r="AY50" i="5" s="1"/>
  <c r="AY39" i="5"/>
  <c r="AY59" i="5" s="1"/>
  <c r="AX46" i="5"/>
  <c r="AY27" i="5"/>
  <c r="AY47" i="5" s="1"/>
  <c r="AX57" i="5"/>
  <c r="AY38" i="5"/>
  <c r="AY58" i="5" s="1"/>
  <c r="AX44" i="5"/>
  <c r="AY25" i="5"/>
  <c r="AY45" i="5" s="1"/>
  <c r="AX55" i="5"/>
  <c r="AY36" i="5"/>
  <c r="AY56" i="5" s="1"/>
  <c r="AY35" i="5"/>
  <c r="AY55" i="5" s="1"/>
  <c r="AX42" i="5"/>
  <c r="AY23" i="5"/>
  <c r="AY43" i="5" s="1"/>
  <c r="AX52" i="5"/>
  <c r="AX53" i="5"/>
  <c r="AY34" i="5"/>
  <c r="AY54" i="5" s="1"/>
  <c r="AY26" i="5"/>
  <c r="AY46" i="5" s="1"/>
  <c r="AY37" i="5"/>
  <c r="AY57" i="5" s="1"/>
  <c r="AY24" i="5"/>
  <c r="AY44" i="5" s="1"/>
  <c r="AX41" i="5"/>
  <c r="AY22" i="5"/>
  <c r="AY42" i="5" s="1"/>
  <c r="AY32" i="5"/>
  <c r="AY52" i="5" s="1"/>
  <c r="AB15" i="5" l="1"/>
  <c r="AC15" i="5" s="1"/>
  <c r="AZ34" i="5"/>
  <c r="AZ54" i="5" s="1"/>
  <c r="AZ23" i="5"/>
  <c r="AZ43" i="5" s="1"/>
  <c r="AZ36" i="5"/>
  <c r="AZ56" i="5" s="1"/>
  <c r="AZ45" i="5"/>
  <c r="AZ27" i="5"/>
  <c r="AZ47" i="5" s="1"/>
  <c r="AZ33" i="5"/>
  <c r="AZ53" i="5" s="1"/>
  <c r="AZ32" i="5"/>
  <c r="AZ52" i="5" s="1"/>
  <c r="AZ22" i="5"/>
  <c r="AZ42" i="5" s="1"/>
  <c r="AZ35" i="5"/>
  <c r="AZ55" i="5" s="1"/>
  <c r="AZ24" i="5"/>
  <c r="AZ44" i="5" s="1"/>
  <c r="AZ37" i="5"/>
  <c r="AZ57" i="5" s="1"/>
  <c r="AZ26" i="5"/>
  <c r="AZ46" i="5" s="1"/>
  <c r="AZ38" i="5"/>
  <c r="AZ58" i="5" s="1"/>
  <c r="AZ39" i="5"/>
  <c r="AZ59" i="5" s="1"/>
  <c r="AZ30" i="5"/>
  <c r="AZ50" i="5" s="1"/>
  <c r="AZ29" i="5"/>
  <c r="AZ49" i="5" s="1"/>
  <c r="AZ28" i="5"/>
  <c r="AZ48" i="5" s="1"/>
  <c r="AZ31" i="5"/>
  <c r="AZ51" i="5" s="1"/>
  <c r="AZ41" i="5"/>
  <c r="AW38" i="5" l="1"/>
  <c r="AW58" i="5"/>
  <c r="AW24" i="5"/>
  <c r="AW44" i="5"/>
  <c r="AW30" i="5"/>
  <c r="AW50" i="5"/>
  <c r="AW39" i="5"/>
  <c r="AW59" i="5"/>
  <c r="AT20" i="5"/>
  <c r="AW34" i="5"/>
  <c r="AW54" i="5"/>
  <c r="AW31" i="5"/>
  <c r="AW51" i="5" s="1"/>
  <c r="AW27" i="5"/>
  <c r="AW47" i="5" s="1"/>
  <c r="AW23" i="5" l="1"/>
  <c r="AW43" i="5" s="1"/>
  <c r="AW29" i="5"/>
  <c r="AW49" i="5" s="1"/>
  <c r="AW26" i="5"/>
  <c r="AW46" i="5" s="1"/>
  <c r="AW22" i="5"/>
  <c r="AW42" i="5" s="1"/>
  <c r="AW37" i="5"/>
  <c r="AW57" i="5" s="1"/>
  <c r="AW35" i="5"/>
  <c r="AW55" i="5" s="1"/>
  <c r="AW28" i="5"/>
  <c r="AW48" i="5" s="1"/>
  <c r="AW36" i="5"/>
  <c r="AW56" i="5" s="1"/>
  <c r="AW25" i="5"/>
  <c r="AW45" i="5" s="1"/>
  <c r="AW33" i="5"/>
  <c r="AW53" i="5" s="1"/>
  <c r="AW21" i="5"/>
  <c r="AW41" i="5" s="1"/>
  <c r="AW32" i="5"/>
  <c r="AW52" i="5" s="1"/>
</calcChain>
</file>

<file path=xl/comments1.xml><?xml version="1.0" encoding="utf-8"?>
<comments xmlns="http://schemas.openxmlformats.org/spreadsheetml/2006/main">
  <authors>
    <author>Susana Barreiro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Susana Barreiro:</t>
        </r>
        <r>
          <rPr>
            <sz val="9"/>
            <color indexed="81"/>
            <rFont val="Tahoma"/>
            <family val="2"/>
          </rPr>
          <t xml:space="preserve">
acréscimo em d nos últimos 5 anos
</t>
        </r>
      </text>
    </comment>
  </commentList>
</comments>
</file>

<file path=xl/sharedStrings.xml><?xml version="1.0" encoding="utf-8"?>
<sst xmlns="http://schemas.openxmlformats.org/spreadsheetml/2006/main" count="193" uniqueCount="139">
  <si>
    <t>Arv nº</t>
  </si>
  <si>
    <t>(m)</t>
  </si>
  <si>
    <t>Área da parcela (m2) =</t>
  </si>
  <si>
    <t>hdom'</t>
  </si>
  <si>
    <t xml:space="preserve">t = </t>
  </si>
  <si>
    <t xml:space="preserve">f exp = </t>
  </si>
  <si>
    <t>dg (cm) =</t>
  </si>
  <si>
    <t>Nº dominantes =</t>
  </si>
  <si>
    <t>dom</t>
  </si>
  <si>
    <t>S (m) =</t>
  </si>
  <si>
    <t>id_parcela</t>
  </si>
  <si>
    <t>Quantas árvores remover?</t>
  </si>
  <si>
    <t>SDI =</t>
  </si>
  <si>
    <t>Espécie</t>
  </si>
  <si>
    <t>Linha de auto-desbaste</t>
  </si>
  <si>
    <t>Eucalipto</t>
  </si>
  <si>
    <t>(m3)</t>
  </si>
  <si>
    <t>g</t>
  </si>
  <si>
    <t>(m2)</t>
  </si>
  <si>
    <t>(cm)</t>
  </si>
  <si>
    <t>d</t>
  </si>
  <si>
    <t>Modelo</t>
  </si>
  <si>
    <r>
      <t>β</t>
    </r>
    <r>
      <rPr>
        <b/>
        <vertAlign val="subscript"/>
        <sz val="9"/>
        <rFont val="Arial"/>
        <family val="2"/>
      </rPr>
      <t>0</t>
    </r>
  </si>
  <si>
    <r>
      <t>β</t>
    </r>
    <r>
      <rPr>
        <b/>
        <vertAlign val="subscript"/>
        <sz val="9"/>
        <rFont val="Arial"/>
        <family val="2"/>
      </rPr>
      <t>1</t>
    </r>
  </si>
  <si>
    <r>
      <t>β</t>
    </r>
    <r>
      <rPr>
        <b/>
        <vertAlign val="subscript"/>
        <sz val="9"/>
        <rFont val="Arial"/>
        <family val="2"/>
      </rPr>
      <t>2</t>
    </r>
  </si>
  <si>
    <t>h</t>
  </si>
  <si>
    <t>3)</t>
  </si>
  <si>
    <t>2)</t>
  </si>
  <si>
    <t>V</t>
  </si>
  <si>
    <t>Vu_st</t>
  </si>
  <si>
    <t>limites de desponta</t>
  </si>
  <si>
    <t>Bicada</t>
  </si>
  <si>
    <t>Volumes por categorias de aproveitamento</t>
  </si>
  <si>
    <t>Classe 1</t>
  </si>
  <si>
    <t>Classe 2</t>
  </si>
  <si>
    <t>Classe 3</t>
  </si>
  <si>
    <t>FW pov. =</t>
  </si>
  <si>
    <t xml:space="preserve">FW siv. = </t>
  </si>
  <si>
    <t>N_silv =</t>
  </si>
  <si>
    <t>A</t>
  </si>
  <si>
    <t>d_hi=3.10m</t>
  </si>
  <si>
    <t>Ww</t>
  </si>
  <si>
    <t>Wb</t>
  </si>
  <si>
    <t>Wbr</t>
  </si>
  <si>
    <t>Wl</t>
  </si>
  <si>
    <t>Volume por categorias de aproveitamento</t>
  </si>
  <si>
    <t>wb</t>
  </si>
  <si>
    <t>wbr</t>
  </si>
  <si>
    <t>wl</t>
  </si>
  <si>
    <t>biomassa por componente</t>
  </si>
  <si>
    <t>(Kg)</t>
  </si>
  <si>
    <t>(Mg /ha)</t>
  </si>
  <si>
    <t>V_cat 1</t>
  </si>
  <si>
    <t>V_cat 2</t>
  </si>
  <si>
    <t>V_cat 3</t>
  </si>
  <si>
    <t>V_cat 4</t>
  </si>
  <si>
    <t>(m3/ha)</t>
  </si>
  <si>
    <t>Wa</t>
  </si>
  <si>
    <t>Wr</t>
  </si>
  <si>
    <t>-</t>
  </si>
  <si>
    <t>Vu-st</t>
  </si>
  <si>
    <t>G</t>
  </si>
  <si>
    <t>hdom</t>
  </si>
  <si>
    <t>(m2/ha)</t>
  </si>
  <si>
    <t>N_vivas</t>
  </si>
  <si>
    <t>N_mortas</t>
  </si>
  <si>
    <t>(ha)</t>
  </si>
  <si>
    <t>ddom</t>
  </si>
  <si>
    <r>
      <rPr>
        <sz val="9"/>
        <color theme="7"/>
        <rFont val="Arial"/>
        <family val="2"/>
      </rPr>
      <t>(cm)</t>
    </r>
    <r>
      <rPr>
        <sz val="9"/>
        <color theme="3" tint="0.39997558519241921"/>
        <rFont val="Arial"/>
        <family val="2"/>
      </rPr>
      <t xml:space="preserve">      (m)</t>
    </r>
  </si>
  <si>
    <t xml:space="preserve">1) </t>
  </si>
  <si>
    <t>anexo I, tabela 15</t>
  </si>
  <si>
    <t>a)</t>
  </si>
  <si>
    <t>b)</t>
  </si>
  <si>
    <t>c)</t>
  </si>
  <si>
    <t>d)</t>
  </si>
  <si>
    <t>e)</t>
  </si>
  <si>
    <t>f)</t>
  </si>
  <si>
    <t>g)</t>
  </si>
  <si>
    <t>h)</t>
  </si>
  <si>
    <t>j)</t>
  </si>
  <si>
    <t>l)</t>
  </si>
  <si>
    <t>m)</t>
  </si>
  <si>
    <t>n)</t>
  </si>
  <si>
    <t>o)</t>
  </si>
  <si>
    <t>W</t>
  </si>
  <si>
    <t>p)</t>
  </si>
  <si>
    <t>anexo I, tabela 5</t>
  </si>
  <si>
    <t>anexo I, tabela 4</t>
  </si>
  <si>
    <t xml:space="preserve">Altura do cepo= </t>
  </si>
  <si>
    <t xml:space="preserve">Não havendo restrição ao comprimento dos toros, ou se a árvore conseguir obedecer as restrições de diâmetro e altura correspondente ao comprimento do toro </t>
  </si>
  <si>
    <t xml:space="preserve">N </t>
  </si>
  <si>
    <t>dg</t>
  </si>
  <si>
    <t>SDI</t>
  </si>
  <si>
    <t>k=</t>
  </si>
  <si>
    <t>b=</t>
  </si>
  <si>
    <t xml:space="preserve">ln(dg) = </t>
  </si>
  <si>
    <t>ln(N) =</t>
  </si>
  <si>
    <t>ln(N)</t>
  </si>
  <si>
    <t>ln(dg)</t>
  </si>
  <si>
    <t>anexo I, tabela 2</t>
  </si>
  <si>
    <t xml:space="preserve">Havendo restrição ao comprimento dos toros (3 m) e a árvore NÃO conseguir obedecer a ambas restrições (de diâmetro e altura correspondente ao comprimento do toro), então o volume abaixo do diâmetro de desponta de 25 será contabilizado na classe 2 em vez de o ser na 1 </t>
  </si>
  <si>
    <t>(ver os gráficos à direita e a nossa parcela lá assinalada a azul)</t>
  </si>
  <si>
    <t>(pag 17)</t>
  </si>
  <si>
    <t>Hmed =</t>
  </si>
  <si>
    <t>hcopa</t>
  </si>
  <si>
    <t>casca</t>
  </si>
  <si>
    <t>id</t>
  </si>
  <si>
    <t>t</t>
  </si>
  <si>
    <t>(pag 35)</t>
  </si>
  <si>
    <t>Anexo 1,  tabela 15</t>
  </si>
  <si>
    <t>n</t>
  </si>
  <si>
    <t>tp</t>
  </si>
  <si>
    <t>IFN</t>
  </si>
  <si>
    <t>Pb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</si>
  <si>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</si>
  <si>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</si>
  <si>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</si>
  <si>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</si>
  <si>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1a</t>
  </si>
  <si>
    <t>1)</t>
  </si>
  <si>
    <t>Pb vu_st</t>
  </si>
  <si>
    <t>Pb Pvudi</t>
  </si>
  <si>
    <t>Pb wb</t>
  </si>
  <si>
    <t>Pb wbr</t>
  </si>
  <si>
    <t>Pb wl</t>
  </si>
  <si>
    <t>Pb ws</t>
  </si>
  <si>
    <t>Pb wr</t>
  </si>
  <si>
    <t xml:space="preserve">Anexo I, tabela 6 </t>
  </si>
  <si>
    <t>Pb di</t>
  </si>
  <si>
    <t>4)</t>
  </si>
  <si>
    <t>Pinheiro bravo</t>
  </si>
  <si>
    <t>N_desb=</t>
  </si>
  <si>
    <t>vu_st</t>
  </si>
  <si>
    <t>1b</t>
  </si>
  <si>
    <t xml:space="preserve"> Pvudi</t>
  </si>
  <si>
    <t>Pinheiro bravo di</t>
  </si>
  <si>
    <t>ws</t>
  </si>
  <si>
    <t>árvores dominantes</t>
  </si>
  <si>
    <t>árvores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</si>
</sst>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00"/>
    <numFmt numFmtId="166" formatCode="0.000"/>
    <numFmt numFmtId="167" formatCode="0.00000"/>
    <numFmt numFmtId="168" formatCode="0.0000"/>
    <numFmt numFmtId="169" formatCode="#,##0.000"/>
  </numFmts>
  <fonts count="36" x14ac:knownFonts="1">
    <font>
      <sz val="10"/>
      <name val="Arial"/>
      <family val="2"/>
    </font>
    <font>
      <sz val="10"/>
      <name val="Cambria Math"/>
      <family val="1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4"/>
      <name val="Arial"/>
      <family val="2"/>
    </font>
    <font>
      <sz val="10"/>
      <color theme="9"/>
      <name val="Arial"/>
      <family val="2"/>
    </font>
    <font>
      <sz val="10"/>
      <color theme="7"/>
      <name val="Arial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  <font>
      <sz val="10"/>
      <color theme="0" tint="-4.9989318521683403E-2"/>
      <name val="Arial"/>
      <family val="2"/>
    </font>
    <font>
      <sz val="9"/>
      <color theme="9"/>
      <name val="Arial"/>
      <family val="2"/>
    </font>
    <font>
      <sz val="9"/>
      <color theme="5"/>
      <name val="Arial"/>
      <family val="2"/>
    </font>
    <font>
      <sz val="9"/>
      <color theme="4"/>
      <name val="Arial"/>
      <family val="2"/>
    </font>
    <font>
      <sz val="9"/>
      <color theme="3" tint="0.39997558519241921"/>
      <name val="Arial"/>
      <family val="2"/>
    </font>
    <font>
      <sz val="9"/>
      <color theme="7" tint="-0.249977111117893"/>
      <name val="Arial"/>
      <family val="2"/>
    </font>
    <font>
      <sz val="9"/>
      <color theme="7"/>
      <name val="Arial"/>
      <family val="2"/>
    </font>
    <font>
      <b/>
      <sz val="10"/>
      <color theme="0"/>
      <name val="Arial"/>
      <family val="2"/>
    </font>
    <font>
      <b/>
      <sz val="10"/>
      <color theme="9" tint="-0.249977111117893"/>
      <name val="Arial"/>
      <family val="2"/>
    </font>
    <font>
      <i/>
      <sz val="10"/>
      <color rgb="FF0070C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11"/>
      <color rgb="FFC00000"/>
      <name val="Arial"/>
      <family val="2"/>
    </font>
    <font>
      <b/>
      <sz val="10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166" fontId="0" fillId="0" borderId="0" xfId="0" applyNumberFormat="1"/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justify" vertical="center" readingOrder="1"/>
    </xf>
    <xf numFmtId="0" fontId="0" fillId="2" borderId="0" xfId="0" applyFill="1"/>
    <xf numFmtId="0" fontId="0" fillId="2" borderId="0" xfId="0" applyNumberFormat="1" applyFill="1"/>
    <xf numFmtId="0" fontId="0" fillId="0" borderId="0" xfId="0" applyFill="1"/>
    <xf numFmtId="0" fontId="2" fillId="2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0" xfId="0" applyFont="1" applyFill="1"/>
    <xf numFmtId="0" fontId="3" fillId="0" borderId="4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0" fillId="6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3" fillId="4" borderId="12" xfId="0" applyFon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2" fontId="0" fillId="0" borderId="12" xfId="0" applyNumberFormat="1" applyBorder="1"/>
    <xf numFmtId="0" fontId="17" fillId="8" borderId="12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0" xfId="0" applyNumberFormat="1"/>
    <xf numFmtId="0" fontId="17" fillId="7" borderId="12" xfId="0" applyFont="1" applyFill="1" applyBorder="1" applyAlignment="1">
      <alignment horizontal="center"/>
    </xf>
    <xf numFmtId="167" fontId="18" fillId="0" borderId="0" xfId="0" applyNumberFormat="1" applyFont="1" applyBorder="1" applyAlignment="1">
      <alignment horizontal="right"/>
    </xf>
    <xf numFmtId="167" fontId="20" fillId="0" borderId="0" xfId="0" applyNumberFormat="1" applyFont="1" applyBorder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right"/>
    </xf>
    <xf numFmtId="0" fontId="0" fillId="0" borderId="20" xfId="0" applyFill="1" applyBorder="1"/>
    <xf numFmtId="2" fontId="0" fillId="0" borderId="13" xfId="0" applyNumberForma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right"/>
    </xf>
    <xf numFmtId="0" fontId="2" fillId="10" borderId="12" xfId="0" applyFont="1" applyFill="1" applyBorder="1"/>
    <xf numFmtId="1" fontId="0" fillId="0" borderId="12" xfId="0" applyNumberForma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0" fillId="0" borderId="20" xfId="0" applyBorder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0" fillId="4" borderId="1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/>
    <xf numFmtId="0" fontId="6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0" fillId="0" borderId="0" xfId="0" applyAlignment="1">
      <alignment vertical="center" wrapText="1"/>
    </xf>
    <xf numFmtId="0" fontId="7" fillId="0" borderId="0" xfId="0" applyFont="1" applyBorder="1"/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2" borderId="0" xfId="0" applyFont="1" applyFill="1"/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7" fillId="2" borderId="0" xfId="0" applyFont="1" applyFill="1"/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3" fillId="0" borderId="7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14" fillId="0" borderId="0" xfId="0" applyFont="1" applyBorder="1"/>
    <xf numFmtId="0" fontId="0" fillId="0" borderId="21" xfId="0" applyBorder="1" applyAlignment="1">
      <alignment horizontal="center"/>
    </xf>
    <xf numFmtId="0" fontId="0" fillId="2" borderId="0" xfId="0" applyFill="1" applyAlignment="1">
      <alignment horizontal="right"/>
    </xf>
    <xf numFmtId="0" fontId="7" fillId="2" borderId="0" xfId="0" applyFont="1" applyFill="1" applyBorder="1"/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32" fillId="0" borderId="7" xfId="0" applyNumberFormat="1" applyFont="1" applyBorder="1" applyAlignment="1">
      <alignment horizontal="center" vertical="center" wrapText="1"/>
    </xf>
    <xf numFmtId="0" fontId="0" fillId="12" borderId="0" xfId="0" applyFill="1"/>
    <xf numFmtId="0" fontId="0" fillId="0" borderId="3" xfId="0" applyFill="1" applyBorder="1" applyAlignment="1"/>
    <xf numFmtId="0" fontId="0" fillId="0" borderId="12" xfId="0" applyFill="1" applyBorder="1" applyAlignment="1">
      <alignment horizontal="center"/>
    </xf>
    <xf numFmtId="2" fontId="0" fillId="1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1" fillId="13" borderId="0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0" fillId="1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82485814386625"/>
          <c:y val="5.3305042792393002E-2"/>
          <c:w val="0.7845214329876451"/>
          <c:h val="0.671643539184151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'3.2.2'!$AT$20</c:f>
              <c:strCache>
                <c:ptCount val="1"/>
                <c:pt idx="0">
                  <c:v>máximo (1270)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'3.2.2'!$AV$21:$AV$39</c:f>
              <c:numCache>
                <c:formatCode>General</c:formatCode>
                <c:ptCount val="19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2.3000000000000003</c:v>
                </c:pt>
                <c:pt idx="4">
                  <c:v>2.4000000000000004</c:v>
                </c:pt>
                <c:pt idx="5">
                  <c:v>2.5000000000000004</c:v>
                </c:pt>
                <c:pt idx="6">
                  <c:v>2.6000000000000005</c:v>
                </c:pt>
                <c:pt idx="7">
                  <c:v>2.7000000000000006</c:v>
                </c:pt>
                <c:pt idx="8">
                  <c:v>2.8000000000000007</c:v>
                </c:pt>
                <c:pt idx="9">
                  <c:v>2.9000000000000008</c:v>
                </c:pt>
                <c:pt idx="10">
                  <c:v>3.0000000000000009</c:v>
                </c:pt>
                <c:pt idx="11">
                  <c:v>3.100000000000001</c:v>
                </c:pt>
                <c:pt idx="12">
                  <c:v>3.2000000000000011</c:v>
                </c:pt>
                <c:pt idx="13">
                  <c:v>3.3000000000000012</c:v>
                </c:pt>
                <c:pt idx="14">
                  <c:v>3.4000000000000012</c:v>
                </c:pt>
                <c:pt idx="15">
                  <c:v>3.5000000000000013</c:v>
                </c:pt>
                <c:pt idx="16">
                  <c:v>3.6000000000000014</c:v>
                </c:pt>
                <c:pt idx="17">
                  <c:v>3.7000000000000015</c:v>
                </c:pt>
                <c:pt idx="18">
                  <c:v>3.8000000000000016</c:v>
                </c:pt>
              </c:numCache>
            </c:numRef>
          </c:xVal>
          <c:yVal>
            <c:numRef>
              <c:f>'3.2.2'!$AW$21:$AW$39</c:f>
              <c:numCache>
                <c:formatCode>General</c:formatCode>
                <c:ptCount val="19"/>
                <c:pt idx="0">
                  <c:v>9.5309298591695821</c:v>
                </c:pt>
                <c:pt idx="1">
                  <c:v>9.3353268591695837</c:v>
                </c:pt>
                <c:pt idx="2">
                  <c:v>9.1397238591695817</c:v>
                </c:pt>
                <c:pt idx="3">
                  <c:v>8.9441208591695833</c:v>
                </c:pt>
                <c:pt idx="4">
                  <c:v>8.7485178591695814</c:v>
                </c:pt>
                <c:pt idx="5">
                  <c:v>8.5529148591695829</c:v>
                </c:pt>
                <c:pt idx="6">
                  <c:v>8.357311859169581</c:v>
                </c:pt>
                <c:pt idx="7">
                  <c:v>8.1617088591695826</c:v>
                </c:pt>
                <c:pt idx="8">
                  <c:v>7.9661058591695815</c:v>
                </c:pt>
                <c:pt idx="9">
                  <c:v>7.7705028591695813</c:v>
                </c:pt>
                <c:pt idx="10">
                  <c:v>7.5748998591695811</c:v>
                </c:pt>
                <c:pt idx="11">
                  <c:v>7.3792968591695809</c:v>
                </c:pt>
                <c:pt idx="12">
                  <c:v>7.1836938591695807</c:v>
                </c:pt>
                <c:pt idx="13">
                  <c:v>6.9880908591695805</c:v>
                </c:pt>
                <c:pt idx="14">
                  <c:v>6.7924878591695803</c:v>
                </c:pt>
                <c:pt idx="15">
                  <c:v>6.5968848591695801</c:v>
                </c:pt>
                <c:pt idx="16">
                  <c:v>6.4012818591695799</c:v>
                </c:pt>
                <c:pt idx="17">
                  <c:v>6.2056788591695797</c:v>
                </c:pt>
                <c:pt idx="18">
                  <c:v>6.0100758591695795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F5-440B-9645-BB89CB9C01D1}"/>
            </c:ext>
          </c:extLst>
        </c:ser>
        <c:ser>
          <c:idx val="2"/>
          <c:order val="1"/>
          <c:tx>
            <c:strRef>
              <c:f>'3.2.2'!$AX$18</c:f>
              <c:strCache>
                <c:ptCount val="1"/>
                <c:pt idx="0">
                  <c:v>650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'3.2.2'!$AV$21:$AV$39</c:f>
              <c:numCache>
                <c:formatCode>General</c:formatCode>
                <c:ptCount val="19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2.3000000000000003</c:v>
                </c:pt>
                <c:pt idx="4">
                  <c:v>2.4000000000000004</c:v>
                </c:pt>
                <c:pt idx="5">
                  <c:v>2.5000000000000004</c:v>
                </c:pt>
                <c:pt idx="6">
                  <c:v>2.6000000000000005</c:v>
                </c:pt>
                <c:pt idx="7">
                  <c:v>2.7000000000000006</c:v>
                </c:pt>
                <c:pt idx="8">
                  <c:v>2.8000000000000007</c:v>
                </c:pt>
                <c:pt idx="9">
                  <c:v>2.9000000000000008</c:v>
                </c:pt>
                <c:pt idx="10">
                  <c:v>3.0000000000000009</c:v>
                </c:pt>
                <c:pt idx="11">
                  <c:v>3.100000000000001</c:v>
                </c:pt>
                <c:pt idx="12">
                  <c:v>3.2000000000000011</c:v>
                </c:pt>
                <c:pt idx="13">
                  <c:v>3.3000000000000012</c:v>
                </c:pt>
                <c:pt idx="14">
                  <c:v>3.4000000000000012</c:v>
                </c:pt>
                <c:pt idx="15">
                  <c:v>3.5000000000000013</c:v>
                </c:pt>
                <c:pt idx="16">
                  <c:v>3.6000000000000014</c:v>
                </c:pt>
                <c:pt idx="17">
                  <c:v>3.7000000000000015</c:v>
                </c:pt>
                <c:pt idx="18">
                  <c:v>3.8000000000000016</c:v>
                </c:pt>
              </c:numCache>
            </c:numRef>
          </c:xVal>
          <c:yVal>
            <c:numRef>
              <c:f>'3.2.2'!$AX$21:$AX$39</c:f>
              <c:numCache>
                <c:formatCode>General</c:formatCode>
                <c:ptCount val="19"/>
                <c:pt idx="0">
                  <c:v>8.8611300426066286</c:v>
                </c:pt>
                <c:pt idx="1">
                  <c:v>8.6655270426066302</c:v>
                </c:pt>
                <c:pt idx="2">
                  <c:v>8.4699240426066282</c:v>
                </c:pt>
                <c:pt idx="3">
                  <c:v>8.2743210426066298</c:v>
                </c:pt>
                <c:pt idx="4">
                  <c:v>8.0787180426066278</c:v>
                </c:pt>
                <c:pt idx="5">
                  <c:v>7.8831150426066285</c:v>
                </c:pt>
                <c:pt idx="6">
                  <c:v>7.6875120426066283</c:v>
                </c:pt>
                <c:pt idx="7">
                  <c:v>7.4919090426066282</c:v>
                </c:pt>
                <c:pt idx="8">
                  <c:v>7.296306042606628</c:v>
                </c:pt>
                <c:pt idx="9">
                  <c:v>7.1007030426066278</c:v>
                </c:pt>
                <c:pt idx="10">
                  <c:v>6.9051000426066276</c:v>
                </c:pt>
                <c:pt idx="11">
                  <c:v>6.7094970426066274</c:v>
                </c:pt>
                <c:pt idx="12">
                  <c:v>6.5138940426066272</c:v>
                </c:pt>
                <c:pt idx="13">
                  <c:v>6.318291042606627</c:v>
                </c:pt>
                <c:pt idx="14">
                  <c:v>6.1226880426066268</c:v>
                </c:pt>
                <c:pt idx="15">
                  <c:v>5.9270850426066266</c:v>
                </c:pt>
                <c:pt idx="16">
                  <c:v>5.7314820426066264</c:v>
                </c:pt>
                <c:pt idx="17">
                  <c:v>5.5358790426066262</c:v>
                </c:pt>
                <c:pt idx="18">
                  <c:v>5.340276042606626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F5-440B-9645-BB89CB9C01D1}"/>
            </c:ext>
          </c:extLst>
        </c:ser>
        <c:ser>
          <c:idx val="3"/>
          <c:order val="2"/>
          <c:tx>
            <c:strRef>
              <c:f>'3.2.2'!$AY$18</c:f>
              <c:strCache>
                <c:ptCount val="1"/>
                <c:pt idx="0">
                  <c:v>400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'3.2.2'!$AV$21:$AV$39</c:f>
              <c:numCache>
                <c:formatCode>General</c:formatCode>
                <c:ptCount val="19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2.3000000000000003</c:v>
                </c:pt>
                <c:pt idx="4">
                  <c:v>2.4000000000000004</c:v>
                </c:pt>
                <c:pt idx="5">
                  <c:v>2.5000000000000004</c:v>
                </c:pt>
                <c:pt idx="6">
                  <c:v>2.6000000000000005</c:v>
                </c:pt>
                <c:pt idx="7">
                  <c:v>2.7000000000000006</c:v>
                </c:pt>
                <c:pt idx="8">
                  <c:v>2.8000000000000007</c:v>
                </c:pt>
                <c:pt idx="9">
                  <c:v>2.9000000000000008</c:v>
                </c:pt>
                <c:pt idx="10">
                  <c:v>3.0000000000000009</c:v>
                </c:pt>
                <c:pt idx="11">
                  <c:v>3.100000000000001</c:v>
                </c:pt>
                <c:pt idx="12">
                  <c:v>3.2000000000000011</c:v>
                </c:pt>
                <c:pt idx="13">
                  <c:v>3.3000000000000012</c:v>
                </c:pt>
                <c:pt idx="14">
                  <c:v>3.4000000000000012</c:v>
                </c:pt>
                <c:pt idx="15">
                  <c:v>3.5000000000000013</c:v>
                </c:pt>
                <c:pt idx="16">
                  <c:v>3.6000000000000014</c:v>
                </c:pt>
                <c:pt idx="17">
                  <c:v>3.7000000000000015</c:v>
                </c:pt>
                <c:pt idx="18">
                  <c:v>3.8000000000000016</c:v>
                </c:pt>
              </c:numCache>
            </c:numRef>
          </c:xVal>
          <c:yVal>
            <c:numRef>
              <c:f>'3.2.2'!$AY$21:$AY$39</c:f>
              <c:numCache>
                <c:formatCode>General</c:formatCode>
                <c:ptCount val="19"/>
                <c:pt idx="0">
                  <c:v>8.3756222268249267</c:v>
                </c:pt>
                <c:pt idx="1">
                  <c:v>8.1800192268249283</c:v>
                </c:pt>
                <c:pt idx="2">
                  <c:v>7.9844162268249272</c:v>
                </c:pt>
                <c:pt idx="3">
                  <c:v>7.788813226824927</c:v>
                </c:pt>
                <c:pt idx="4">
                  <c:v>7.5932102268249269</c:v>
                </c:pt>
                <c:pt idx="5">
                  <c:v>7.3976072268249267</c:v>
                </c:pt>
                <c:pt idx="6">
                  <c:v>7.2020042268249265</c:v>
                </c:pt>
                <c:pt idx="7">
                  <c:v>7.0064012268249263</c:v>
                </c:pt>
                <c:pt idx="8">
                  <c:v>6.8107982268249261</c:v>
                </c:pt>
                <c:pt idx="9">
                  <c:v>6.6151952268249259</c:v>
                </c:pt>
                <c:pt idx="10">
                  <c:v>6.4195922268249257</c:v>
                </c:pt>
                <c:pt idx="11">
                  <c:v>6.2239892268249255</c:v>
                </c:pt>
                <c:pt idx="12">
                  <c:v>6.0283862268249253</c:v>
                </c:pt>
                <c:pt idx="13">
                  <c:v>5.8327832268249251</c:v>
                </c:pt>
                <c:pt idx="14">
                  <c:v>5.6371802268249249</c:v>
                </c:pt>
                <c:pt idx="15">
                  <c:v>5.4415772268249247</c:v>
                </c:pt>
                <c:pt idx="16">
                  <c:v>5.2459742268249245</c:v>
                </c:pt>
                <c:pt idx="17">
                  <c:v>5.0503712268249243</c:v>
                </c:pt>
                <c:pt idx="18">
                  <c:v>4.8547682268249241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F5-440B-9645-BB89CB9C01D1}"/>
            </c:ext>
          </c:extLst>
        </c:ser>
        <c:ser>
          <c:idx val="4"/>
          <c:order val="3"/>
          <c:tx>
            <c:strRef>
              <c:f>'3.2.2'!$AZ$18</c:f>
              <c:strCache>
                <c:ptCount val="1"/>
                <c:pt idx="0">
                  <c:v>250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'3.2.2'!$AV$21:$AV$39</c:f>
              <c:numCache>
                <c:formatCode>General</c:formatCode>
                <c:ptCount val="19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2.3000000000000003</c:v>
                </c:pt>
                <c:pt idx="4">
                  <c:v>2.4000000000000004</c:v>
                </c:pt>
                <c:pt idx="5">
                  <c:v>2.5000000000000004</c:v>
                </c:pt>
                <c:pt idx="6">
                  <c:v>2.6000000000000005</c:v>
                </c:pt>
                <c:pt idx="7">
                  <c:v>2.7000000000000006</c:v>
                </c:pt>
                <c:pt idx="8">
                  <c:v>2.8000000000000007</c:v>
                </c:pt>
                <c:pt idx="9">
                  <c:v>2.9000000000000008</c:v>
                </c:pt>
                <c:pt idx="10">
                  <c:v>3.0000000000000009</c:v>
                </c:pt>
                <c:pt idx="11">
                  <c:v>3.100000000000001</c:v>
                </c:pt>
                <c:pt idx="12">
                  <c:v>3.2000000000000011</c:v>
                </c:pt>
                <c:pt idx="13">
                  <c:v>3.3000000000000012</c:v>
                </c:pt>
                <c:pt idx="14">
                  <c:v>3.4000000000000012</c:v>
                </c:pt>
                <c:pt idx="15">
                  <c:v>3.5000000000000013</c:v>
                </c:pt>
                <c:pt idx="16">
                  <c:v>3.6000000000000014</c:v>
                </c:pt>
                <c:pt idx="17">
                  <c:v>3.7000000000000015</c:v>
                </c:pt>
                <c:pt idx="18">
                  <c:v>3.8000000000000016</c:v>
                </c:pt>
              </c:numCache>
            </c:numRef>
          </c:xVal>
          <c:yVal>
            <c:numRef>
              <c:f>'3.2.2'!$AZ$21:$AZ$39</c:f>
              <c:numCache>
                <c:formatCode>General</c:formatCode>
                <c:ptCount val="19"/>
                <c:pt idx="0">
                  <c:v>7.9056185975791919</c:v>
                </c:pt>
                <c:pt idx="1">
                  <c:v>7.7100155975791926</c:v>
                </c:pt>
                <c:pt idx="2">
                  <c:v>7.5144125975791924</c:v>
                </c:pt>
                <c:pt idx="3">
                  <c:v>7.3188095975791922</c:v>
                </c:pt>
                <c:pt idx="4">
                  <c:v>7.1232065975791921</c:v>
                </c:pt>
                <c:pt idx="5">
                  <c:v>6.9276035975791919</c:v>
                </c:pt>
                <c:pt idx="6">
                  <c:v>6.7320005975791917</c:v>
                </c:pt>
                <c:pt idx="7">
                  <c:v>6.5363975975791915</c:v>
                </c:pt>
                <c:pt idx="8">
                  <c:v>6.3407945975791913</c:v>
                </c:pt>
                <c:pt idx="9">
                  <c:v>6.1451915975791911</c:v>
                </c:pt>
                <c:pt idx="10">
                  <c:v>5.9495885975791909</c:v>
                </c:pt>
                <c:pt idx="11">
                  <c:v>5.7539855975791907</c:v>
                </c:pt>
                <c:pt idx="12">
                  <c:v>5.5583825975791905</c:v>
                </c:pt>
                <c:pt idx="13">
                  <c:v>5.3627795975791903</c:v>
                </c:pt>
                <c:pt idx="14">
                  <c:v>5.1671765975791901</c:v>
                </c:pt>
                <c:pt idx="15">
                  <c:v>4.9715735975791899</c:v>
                </c:pt>
                <c:pt idx="16">
                  <c:v>4.7759705975791897</c:v>
                </c:pt>
                <c:pt idx="17">
                  <c:v>4.5803675975791895</c:v>
                </c:pt>
                <c:pt idx="18">
                  <c:v>4.3847645975791893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F5-440B-9645-BB89CB9C01D1}"/>
            </c:ext>
          </c:extLst>
        </c:ser>
        <c:ser>
          <c:idx val="6"/>
          <c:order val="4"/>
          <c:tx>
            <c:v>Pb_parcela</c:v>
          </c:tx>
          <c:spPr>
            <a:ln>
              <a:noFill/>
            </a:ln>
          </c:spPr>
          <c:marker>
            <c:symbol val="circle"/>
            <c:size val="6"/>
            <c:spPr>
              <a:ln>
                <a:solidFill>
                  <a:srgbClr val="00B0F0"/>
                </a:solidFill>
              </a:ln>
            </c:spPr>
          </c:marker>
          <c:xVal>
            <c:numRef>
              <c:f>'3.2.2'!$BJ$32</c:f>
              <c:numCache>
                <c:formatCode>0.00</c:formatCode>
                <c:ptCount val="1"/>
                <c:pt idx="0">
                  <c:v>3.0994771700770287</c:v>
                </c:pt>
              </c:numCache>
            </c:numRef>
          </c:xVal>
          <c:yVal>
            <c:numRef>
              <c:f>'3.2.2'!$BK$32</c:f>
              <c:numCache>
                <c:formatCode>General</c:formatCode>
                <c:ptCount val="1"/>
                <c:pt idx="0">
                  <c:v>6.4614681763537174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8F5-440B-9645-BB89CB9C0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448095"/>
        <c:axId val="1"/>
      </c:scatterChart>
      <c:valAx>
        <c:axId val="1641448095"/>
        <c:scaling>
          <c:orientation val="minMax"/>
          <c:max val="3.8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ln(dg)</a:t>
                </a:r>
              </a:p>
            </c:rich>
          </c:tx>
          <c:layout>
            <c:manualLayout>
              <c:xMode val="edge"/>
              <c:yMode val="edge"/>
              <c:x val="0.51464606003989521"/>
              <c:y val="0.797443440174199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2"/>
      </c:valAx>
      <c:valAx>
        <c:axId val="1"/>
        <c:scaling>
          <c:orientation val="minMax"/>
          <c:max val="9"/>
          <c:min val="5.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ln(N)</a:t>
                </a:r>
              </a:p>
            </c:rich>
          </c:tx>
          <c:layout>
            <c:manualLayout>
              <c:xMode val="edge"/>
              <c:yMode val="edge"/>
              <c:x val="4.8117314556575572E-2"/>
              <c:y val="0.341152273871315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448095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291876290389329E-3"/>
          <c:y val="0.89126031548881091"/>
          <c:w val="0.99037081237096103"/>
          <c:h val="0.1087396701606267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82485814386625"/>
          <c:y val="5.3305042792393002E-2"/>
          <c:w val="0.7845214329876451"/>
          <c:h val="0.67164353918415176"/>
        </c:manualLayout>
      </c:layout>
      <c:scatterChart>
        <c:scatterStyle val="lineMarker"/>
        <c:varyColors val="0"/>
        <c:ser>
          <c:idx val="0"/>
          <c:order val="0"/>
          <c:tx>
            <c:strRef>
              <c:f>[2]figuras_Ec!$A$3</c:f>
              <c:strCache>
                <c:ptCount val="1"/>
                <c:pt idx="0">
                  <c:v>máximo (1000)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[2]figuras_Ec!$C$24:$C$42</c:f>
              <c:numCache>
                <c:formatCode>General</c:formatCode>
                <c:ptCount val="19"/>
                <c:pt idx="0">
                  <c:v>7.3890560989306504</c:v>
                </c:pt>
                <c:pt idx="1">
                  <c:v>8.1661699125676517</c:v>
                </c:pt>
                <c:pt idx="2">
                  <c:v>9.025013499434122</c:v>
                </c:pt>
                <c:pt idx="3">
                  <c:v>9.9741824548147235</c:v>
                </c:pt>
                <c:pt idx="4">
                  <c:v>11.023176380641605</c:v>
                </c:pt>
                <c:pt idx="5">
                  <c:v>12.182493960703479</c:v>
                </c:pt>
                <c:pt idx="6">
                  <c:v>13.463738035001697</c:v>
                </c:pt>
                <c:pt idx="7">
                  <c:v>14.879731724872844</c:v>
                </c:pt>
                <c:pt idx="8">
                  <c:v>16.444646771097062</c:v>
                </c:pt>
                <c:pt idx="9">
                  <c:v>18.174145369443075</c:v>
                </c:pt>
                <c:pt idx="10">
                  <c:v>20.085536923187686</c:v>
                </c:pt>
                <c:pt idx="11">
                  <c:v>22.197951281441654</c:v>
                </c:pt>
                <c:pt idx="12">
                  <c:v>24.532530197109374</c:v>
                </c:pt>
                <c:pt idx="13">
                  <c:v>27.112638920657918</c:v>
                </c:pt>
                <c:pt idx="14">
                  <c:v>29.96410004739705</c:v>
                </c:pt>
                <c:pt idx="15">
                  <c:v>33.115451958692361</c:v>
                </c:pt>
                <c:pt idx="16">
                  <c:v>36.598234443678038</c:v>
                </c:pt>
                <c:pt idx="17">
                  <c:v>40.447304360067449</c:v>
                </c:pt>
                <c:pt idx="18">
                  <c:v>44.701184493300893</c:v>
                </c:pt>
              </c:numCache>
            </c:numRef>
          </c:xVal>
          <c:yVal>
            <c:numRef>
              <c:f>[2]figuras_Ec!$D$24:$D$42</c:f>
              <c:numCache>
                <c:formatCode>General</c:formatCode>
                <c:ptCount val="19"/>
                <c:pt idx="0">
                  <c:v>7030.102736935537</c:v>
                </c:pt>
                <c:pt idx="1">
                  <c:v>5990.6583830739801</c:v>
                </c:pt>
                <c:pt idx="2">
                  <c:v>5104.9023329548572</c:v>
                </c:pt>
                <c:pt idx="3">
                  <c:v>4350.1108163066037</c:v>
                </c:pt>
                <c:pt idx="4">
                  <c:v>3706.9199134304072</c:v>
                </c:pt>
                <c:pt idx="5">
                  <c:v>3158.8287804248866</c:v>
                </c:pt>
                <c:pt idx="6">
                  <c:v>2691.7763256467765</c:v>
                </c:pt>
                <c:pt idx="7">
                  <c:v>2293.7804771861902</c:v>
                </c:pt>
                <c:pt idx="8">
                  <c:v>1954.6307868861643</c:v>
                </c:pt>
                <c:pt idx="9">
                  <c:v>1665.6264847671828</c:v>
                </c:pt>
                <c:pt idx="10">
                  <c:v>1419.3532637319786</c:v>
                </c:pt>
                <c:pt idx="11">
                  <c:v>1209.4930680381262</c:v>
                </c:pt>
                <c:pt idx="12">
                  <c:v>1030.6620057263765</c:v>
                </c:pt>
                <c:pt idx="13">
                  <c:v>878.27222670318929</c:v>
                </c:pt>
                <c:pt idx="14">
                  <c:v>748.41422300664692</c:v>
                </c:pt>
                <c:pt idx="15">
                  <c:v>637.75653170908708</c:v>
                </c:pt>
                <c:pt idx="16">
                  <c:v>543.46026736853105</c:v>
                </c:pt>
                <c:pt idx="17">
                  <c:v>463.10629138801028</c:v>
                </c:pt>
                <c:pt idx="18">
                  <c:v>394.63314983746938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2A-4AC3-A72D-2B77987FCE12}"/>
            </c:ext>
          </c:extLst>
        </c:ser>
        <c:ser>
          <c:idx val="2"/>
          <c:order val="1"/>
          <c:tx>
            <c:strRef>
              <c:f>[2]figuras_Ec!$E$1</c:f>
              <c:strCache>
                <c:ptCount val="1"/>
                <c:pt idx="0">
                  <c:v>600.0000006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[2]figuras_Ec!$C$24:$C$42</c:f>
              <c:numCache>
                <c:formatCode>General</c:formatCode>
                <c:ptCount val="19"/>
                <c:pt idx="0">
                  <c:v>7.3890560989306504</c:v>
                </c:pt>
                <c:pt idx="1">
                  <c:v>8.1661699125676517</c:v>
                </c:pt>
                <c:pt idx="2">
                  <c:v>9.025013499434122</c:v>
                </c:pt>
                <c:pt idx="3">
                  <c:v>9.9741824548147235</c:v>
                </c:pt>
                <c:pt idx="4">
                  <c:v>11.023176380641605</c:v>
                </c:pt>
                <c:pt idx="5">
                  <c:v>12.182493960703479</c:v>
                </c:pt>
                <c:pt idx="6">
                  <c:v>13.463738035001697</c:v>
                </c:pt>
                <c:pt idx="7">
                  <c:v>14.879731724872844</c:v>
                </c:pt>
                <c:pt idx="8">
                  <c:v>16.444646771097062</c:v>
                </c:pt>
                <c:pt idx="9">
                  <c:v>18.174145369443075</c:v>
                </c:pt>
                <c:pt idx="10">
                  <c:v>20.085536923187686</c:v>
                </c:pt>
                <c:pt idx="11">
                  <c:v>22.197951281441654</c:v>
                </c:pt>
                <c:pt idx="12">
                  <c:v>24.532530197109374</c:v>
                </c:pt>
                <c:pt idx="13">
                  <c:v>27.112638920657918</c:v>
                </c:pt>
                <c:pt idx="14">
                  <c:v>29.96410004739705</c:v>
                </c:pt>
                <c:pt idx="15">
                  <c:v>33.115451958692361</c:v>
                </c:pt>
                <c:pt idx="16">
                  <c:v>36.598234443678038</c:v>
                </c:pt>
                <c:pt idx="17">
                  <c:v>40.447304360067449</c:v>
                </c:pt>
                <c:pt idx="18">
                  <c:v>44.701184493300893</c:v>
                </c:pt>
              </c:numCache>
            </c:numRef>
          </c:xVal>
          <c:yVal>
            <c:numRef>
              <c:f>[2]figuras_Ec!$E$24:$E$42</c:f>
              <c:numCache>
                <c:formatCode>General</c:formatCode>
                <c:ptCount val="19"/>
                <c:pt idx="0">
                  <c:v>4218.0616460527517</c:v>
                </c:pt>
                <c:pt idx="1">
                  <c:v>3594.3950331604456</c:v>
                </c:pt>
                <c:pt idx="2">
                  <c:v>3062.9414025986725</c:v>
                </c:pt>
                <c:pt idx="3">
                  <c:v>2610.0664921919119</c:v>
                </c:pt>
                <c:pt idx="4">
                  <c:v>2224.1519501101639</c:v>
                </c:pt>
                <c:pt idx="5">
                  <c:v>1895.2972700034625</c:v>
                </c:pt>
                <c:pt idx="6">
                  <c:v>1615.0657968780667</c:v>
                </c:pt>
                <c:pt idx="7">
                  <c:v>1376.2682875814091</c:v>
                </c:pt>
                <c:pt idx="8">
                  <c:v>1172.7784732136611</c:v>
                </c:pt>
                <c:pt idx="9">
                  <c:v>999.37589178229746</c:v>
                </c:pt>
                <c:pt idx="10">
                  <c:v>851.61195902485326</c:v>
                </c:pt>
                <c:pt idx="11">
                  <c:v>725.6958414923763</c:v>
                </c:pt>
                <c:pt idx="12">
                  <c:v>618.39720400633655</c:v>
                </c:pt>
                <c:pt idx="13">
                  <c:v>526.96333650807071</c:v>
                </c:pt>
                <c:pt idx="14">
                  <c:v>449.04853421826397</c:v>
                </c:pt>
                <c:pt idx="15">
                  <c:v>382.65391937847482</c:v>
                </c:pt>
                <c:pt idx="16">
                  <c:v>326.07616072194463</c:v>
                </c:pt>
                <c:pt idx="17">
                  <c:v>277.86377508915314</c:v>
                </c:pt>
                <c:pt idx="18">
                  <c:v>236.7798901209261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2A-4AC3-A72D-2B77987FCE12}"/>
            </c:ext>
          </c:extLst>
        </c:ser>
        <c:ser>
          <c:idx val="3"/>
          <c:order val="2"/>
          <c:tx>
            <c:strRef>
              <c:f>[2]figuras_Ec!$F$1</c:f>
              <c:strCache>
                <c:ptCount val="1"/>
                <c:pt idx="0">
                  <c:v>400.0000004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[2]figuras_Ec!$C$24:$C$42</c:f>
              <c:numCache>
                <c:formatCode>General</c:formatCode>
                <c:ptCount val="19"/>
                <c:pt idx="0">
                  <c:v>7.3890560989306504</c:v>
                </c:pt>
                <c:pt idx="1">
                  <c:v>8.1661699125676517</c:v>
                </c:pt>
                <c:pt idx="2">
                  <c:v>9.025013499434122</c:v>
                </c:pt>
                <c:pt idx="3">
                  <c:v>9.9741824548147235</c:v>
                </c:pt>
                <c:pt idx="4">
                  <c:v>11.023176380641605</c:v>
                </c:pt>
                <c:pt idx="5">
                  <c:v>12.182493960703479</c:v>
                </c:pt>
                <c:pt idx="6">
                  <c:v>13.463738035001697</c:v>
                </c:pt>
                <c:pt idx="7">
                  <c:v>14.879731724872844</c:v>
                </c:pt>
                <c:pt idx="8">
                  <c:v>16.444646771097062</c:v>
                </c:pt>
                <c:pt idx="9">
                  <c:v>18.174145369443075</c:v>
                </c:pt>
                <c:pt idx="10">
                  <c:v>20.085536923187686</c:v>
                </c:pt>
                <c:pt idx="11">
                  <c:v>22.197951281441654</c:v>
                </c:pt>
                <c:pt idx="12">
                  <c:v>24.532530197109374</c:v>
                </c:pt>
                <c:pt idx="13">
                  <c:v>27.112638920657918</c:v>
                </c:pt>
                <c:pt idx="14">
                  <c:v>29.96410004739705</c:v>
                </c:pt>
                <c:pt idx="15">
                  <c:v>33.115451958692361</c:v>
                </c:pt>
                <c:pt idx="16">
                  <c:v>36.598234443678038</c:v>
                </c:pt>
                <c:pt idx="17">
                  <c:v>40.447304360067449</c:v>
                </c:pt>
                <c:pt idx="18">
                  <c:v>44.701184493300893</c:v>
                </c:pt>
              </c:numCache>
            </c:numRef>
          </c:xVal>
          <c:yVal>
            <c:numRef>
              <c:f>[2]figuras_Ec!$F$24:$F$42</c:f>
              <c:numCache>
                <c:formatCode>General</c:formatCode>
                <c:ptCount val="19"/>
                <c:pt idx="0">
                  <c:v>2812.0410978961822</c:v>
                </c:pt>
                <c:pt idx="1">
                  <c:v>2396.2633558899574</c:v>
                </c:pt>
                <c:pt idx="2">
                  <c:v>2041.9609354489569</c:v>
                </c:pt>
                <c:pt idx="3">
                  <c:v>1740.0443284544631</c:v>
                </c:pt>
                <c:pt idx="4">
                  <c:v>1482.7679670183527</c:v>
                </c:pt>
                <c:pt idx="5">
                  <c:v>1263.5315135727451</c:v>
                </c:pt>
                <c:pt idx="6">
                  <c:v>1076.7105314540909</c:v>
                </c:pt>
                <c:pt idx="7">
                  <c:v>917.51219189311189</c:v>
                </c:pt>
                <c:pt idx="8">
                  <c:v>781.85231562248987</c:v>
                </c:pt>
                <c:pt idx="9">
                  <c:v>666.25059464655453</c:v>
                </c:pt>
                <c:pt idx="10">
                  <c:v>567.74130612310637</c:v>
                </c:pt>
                <c:pt idx="11">
                  <c:v>483.79722775236945</c:v>
                </c:pt>
                <c:pt idx="12">
                  <c:v>412.26480274825309</c:v>
                </c:pt>
                <c:pt idx="13">
                  <c:v>351.30889107130412</c:v>
                </c:pt>
                <c:pt idx="14">
                  <c:v>299.36568953501904</c:v>
                </c:pt>
                <c:pt idx="15">
                  <c:v>255.10261296685357</c:v>
                </c:pt>
                <c:pt idx="16">
                  <c:v>217.38410718875554</c:v>
                </c:pt>
                <c:pt idx="17">
                  <c:v>185.24251676086314</c:v>
                </c:pt>
                <c:pt idx="18">
                  <c:v>157.85326011023881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2A-4AC3-A72D-2B77987FCE12}"/>
            </c:ext>
          </c:extLst>
        </c:ser>
        <c:ser>
          <c:idx val="4"/>
          <c:order val="3"/>
          <c:tx>
            <c:strRef>
              <c:f>[2]figuras_Ec!$G$1</c:f>
              <c:strCache>
                <c:ptCount val="1"/>
                <c:pt idx="0">
                  <c:v>250.0004752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[2]figuras_Ec!$C$24:$C$42</c:f>
              <c:numCache>
                <c:formatCode>General</c:formatCode>
                <c:ptCount val="19"/>
                <c:pt idx="0">
                  <c:v>7.3890560989306504</c:v>
                </c:pt>
                <c:pt idx="1">
                  <c:v>8.1661699125676517</c:v>
                </c:pt>
                <c:pt idx="2">
                  <c:v>9.025013499434122</c:v>
                </c:pt>
                <c:pt idx="3">
                  <c:v>9.9741824548147235</c:v>
                </c:pt>
                <c:pt idx="4">
                  <c:v>11.023176380641605</c:v>
                </c:pt>
                <c:pt idx="5">
                  <c:v>12.182493960703479</c:v>
                </c:pt>
                <c:pt idx="6">
                  <c:v>13.463738035001697</c:v>
                </c:pt>
                <c:pt idx="7">
                  <c:v>14.879731724872844</c:v>
                </c:pt>
                <c:pt idx="8">
                  <c:v>16.444646771097062</c:v>
                </c:pt>
                <c:pt idx="9">
                  <c:v>18.174145369443075</c:v>
                </c:pt>
                <c:pt idx="10">
                  <c:v>20.085536923187686</c:v>
                </c:pt>
                <c:pt idx="11">
                  <c:v>22.197951281441654</c:v>
                </c:pt>
                <c:pt idx="12">
                  <c:v>24.532530197109374</c:v>
                </c:pt>
                <c:pt idx="13">
                  <c:v>27.112638920657918</c:v>
                </c:pt>
                <c:pt idx="14">
                  <c:v>29.96410004739705</c:v>
                </c:pt>
                <c:pt idx="15">
                  <c:v>33.115451958692361</c:v>
                </c:pt>
                <c:pt idx="16">
                  <c:v>36.598234443678038</c:v>
                </c:pt>
                <c:pt idx="17">
                  <c:v>40.447304360067449</c:v>
                </c:pt>
                <c:pt idx="18">
                  <c:v>44.701184493300893</c:v>
                </c:pt>
              </c:numCache>
            </c:numRef>
          </c:xVal>
          <c:yVal>
            <c:numRef>
              <c:f>[2]figuras_Ec!$G$24:$G$42</c:f>
              <c:numCache>
                <c:formatCode>General</c:formatCode>
                <c:ptCount val="19"/>
                <c:pt idx="0">
                  <c:v>1757.5290249413863</c:v>
                </c:pt>
                <c:pt idx="1">
                  <c:v>1497.6674425316437</c:v>
                </c:pt>
                <c:pt idx="2">
                  <c:v>1276.2280090902502</c:v>
                </c:pt>
                <c:pt idx="3">
                  <c:v>1087.52977125097</c:v>
                </c:pt>
                <c:pt idx="4">
                  <c:v>926.73173988735857</c:v>
                </c:pt>
                <c:pt idx="5">
                  <c:v>789.70869618286304</c:v>
                </c:pt>
                <c:pt idx="6">
                  <c:v>672.94536054483149</c:v>
                </c:pt>
                <c:pt idx="7">
                  <c:v>573.44620930190581</c:v>
                </c:pt>
                <c:pt idx="8">
                  <c:v>488.65862556283696</c:v>
                </c:pt>
                <c:pt idx="9">
                  <c:v>416.40741269813697</c:v>
                </c:pt>
                <c:pt idx="10">
                  <c:v>354.83899041020726</c:v>
                </c:pt>
                <c:pt idx="11">
                  <c:v>302.37384176109913</c:v>
                </c:pt>
                <c:pt idx="12">
                  <c:v>257.66599120257257</c:v>
                </c:pt>
                <c:pt idx="13">
                  <c:v>219.56847403109464</c:v>
                </c:pt>
                <c:pt idx="14">
                  <c:v>187.10391139838615</c:v>
                </c:pt>
                <c:pt idx="15">
                  <c:v>159.43943598941905</c:v>
                </c:pt>
                <c:pt idx="16">
                  <c:v>135.86532509465926</c:v>
                </c:pt>
                <c:pt idx="17">
                  <c:v>115.77679291528898</c:v>
                </c:pt>
                <c:pt idx="18">
                  <c:v>98.658474989190751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2A-4AC3-A72D-2B77987F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448095"/>
        <c:axId val="1"/>
      </c:scatterChart>
      <c:valAx>
        <c:axId val="1641448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dg</a:t>
                </a:r>
                <a:r>
                  <a:rPr lang="pt-PT" baseline="0"/>
                  <a:t> (cm)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0.51464606003989521"/>
              <c:y val="0.797443440174199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N</a:t>
                </a:r>
              </a:p>
            </c:rich>
          </c:tx>
          <c:layout>
            <c:manualLayout>
              <c:xMode val="edge"/>
              <c:yMode val="edge"/>
              <c:x val="2.3710176918261789E-2"/>
              <c:y val="0.34115227562528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448095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2725152160639"/>
          <c:y val="0.89126031548881091"/>
          <c:w val="0.80125789022471494"/>
          <c:h val="5.7569446215784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144780</xdr:colOff>
          <xdr:row>0</xdr:row>
          <xdr:rowOff>68580</xdr:rowOff>
        </xdr:from>
        <xdr:to>
          <xdr:col>18</xdr:col>
          <xdr:colOff>556260</xdr:colOff>
          <xdr:row>3</xdr:row>
          <xdr:rowOff>7620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251460</xdr:colOff>
          <xdr:row>3</xdr:row>
          <xdr:rowOff>7620</xdr:rowOff>
        </xdr:from>
        <xdr:to>
          <xdr:col>18</xdr:col>
          <xdr:colOff>45720</xdr:colOff>
          <xdr:row>5</xdr:row>
          <xdr:rowOff>22860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30</xdr:col>
      <xdr:colOff>93549</xdr:colOff>
      <xdr:row>3</xdr:row>
      <xdr:rowOff>21427</xdr:rowOff>
    </xdr:from>
    <xdr:to>
      <xdr:col>32</xdr:col>
      <xdr:colOff>355941</xdr:colOff>
      <xdr:row>5</xdr:row>
      <xdr:rowOff>126286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4624" y="507202"/>
          <a:ext cx="1491834" cy="475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37</xdr:row>
          <xdr:rowOff>30480</xdr:rowOff>
        </xdr:from>
        <xdr:to>
          <xdr:col>29</xdr:col>
          <xdr:colOff>556260</xdr:colOff>
          <xdr:row>39</xdr:row>
          <xdr:rowOff>160020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198120</xdr:colOff>
          <xdr:row>45</xdr:row>
          <xdr:rowOff>30480</xdr:rowOff>
        </xdr:from>
        <xdr:to>
          <xdr:col>33</xdr:col>
          <xdr:colOff>571500</xdr:colOff>
          <xdr:row>48</xdr:row>
          <xdr:rowOff>152400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37</xdr:col>
      <xdr:colOff>142798</xdr:colOff>
      <xdr:row>18</xdr:row>
      <xdr:rowOff>1</xdr:rowOff>
    </xdr:from>
    <xdr:to>
      <xdr:col>44</xdr:col>
      <xdr:colOff>92177</xdr:colOff>
      <xdr:row>43</xdr:row>
      <xdr:rowOff>36490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6092" t="25231" r="24039" b="16981"/>
        <a:stretch/>
      </xdr:blipFill>
      <xdr:spPr>
        <a:xfrm>
          <a:off x="23555863" y="3011130"/>
          <a:ext cx="4250992" cy="4686328"/>
        </a:xfrm>
        <a:prstGeom prst="rect">
          <a:avLst/>
        </a:prstGeom>
      </xdr:spPr>
    </xdr:pic>
    <xdr:clientData/>
  </xdr:twoCellAnchor>
  <xdr:twoCellAnchor editAs="oneCell">
    <xdr:from>
      <xdr:col>37</xdr:col>
      <xdr:colOff>102420</xdr:colOff>
      <xdr:row>49</xdr:row>
      <xdr:rowOff>81938</xdr:rowOff>
    </xdr:from>
    <xdr:to>
      <xdr:col>44</xdr:col>
      <xdr:colOff>30434</xdr:colOff>
      <xdr:row>70</xdr:row>
      <xdr:rowOff>99733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6110" t="27402" r="16565" b="17525"/>
        <a:stretch/>
      </xdr:blipFill>
      <xdr:spPr>
        <a:xfrm>
          <a:off x="23515485" y="8295970"/>
          <a:ext cx="4229627" cy="3573794"/>
        </a:xfrm>
        <a:prstGeom prst="rect">
          <a:avLst/>
        </a:prstGeom>
      </xdr:spPr>
    </xdr:pic>
    <xdr:clientData/>
  </xdr:twoCellAnchor>
  <xdr:twoCellAnchor editAs="oneCell">
    <xdr:from>
      <xdr:col>37</xdr:col>
      <xdr:colOff>42819</xdr:colOff>
      <xdr:row>76</xdr:row>
      <xdr:rowOff>2220</xdr:rowOff>
    </xdr:from>
    <xdr:to>
      <xdr:col>43</xdr:col>
      <xdr:colOff>604990</xdr:colOff>
      <xdr:row>97</xdr:row>
      <xdr:rowOff>30725</xdr:rowOff>
    </xdr:to>
    <xdr:pic>
      <xdr:nvPicPr>
        <xdr:cNvPr id="47" name="Picture 4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6012" t="28286" r="16786" b="17805"/>
        <a:stretch/>
      </xdr:blipFill>
      <xdr:spPr>
        <a:xfrm>
          <a:off x="21612335" y="12753430"/>
          <a:ext cx="4258793" cy="3469796"/>
        </a:xfrm>
        <a:prstGeom prst="rect">
          <a:avLst/>
        </a:prstGeom>
      </xdr:spPr>
    </xdr:pic>
    <xdr:clientData/>
  </xdr:twoCellAnchor>
  <xdr:twoCellAnchor>
    <xdr:from>
      <xdr:col>52</xdr:col>
      <xdr:colOff>594360</xdr:colOff>
      <xdr:row>18</xdr:row>
      <xdr:rowOff>7620</xdr:rowOff>
    </xdr:from>
    <xdr:to>
      <xdr:col>58</xdr:col>
      <xdr:colOff>579120</xdr:colOff>
      <xdr:row>42</xdr:row>
      <xdr:rowOff>15240</xdr:rowOff>
    </xdr:to>
    <xdr:graphicFrame macro="">
      <xdr:nvGraphicFramePr>
        <xdr:cNvPr id="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548640</xdr:colOff>
      <xdr:row>19</xdr:row>
      <xdr:rowOff>129540</xdr:rowOff>
    </xdr:from>
    <xdr:to>
      <xdr:col>58</xdr:col>
      <xdr:colOff>396240</xdr:colOff>
      <xdr:row>20</xdr:row>
      <xdr:rowOff>144780</xdr:rowOff>
    </xdr:to>
    <xdr:sp macro="" textlink="">
      <xdr:nvSpPr>
        <xdr:cNvPr id="63" name="Text Box 36"/>
        <xdr:cNvSpPr txBox="1">
          <a:spLocks noChangeArrowheads="1"/>
        </xdr:cNvSpPr>
      </xdr:nvSpPr>
      <xdr:spPr bwMode="auto">
        <a:xfrm>
          <a:off x="6749415" y="453390"/>
          <a:ext cx="1676400" cy="177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ln</a:t>
          </a:r>
          <a:r>
            <a:rPr lang="pt-P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N = 12.06 - 1.60 ln dg</a:t>
          </a:r>
        </a:p>
      </xdr:txBody>
    </xdr:sp>
    <xdr:clientData/>
  </xdr:twoCellAnchor>
  <xdr:twoCellAnchor>
    <xdr:from>
      <xdr:col>53</xdr:col>
      <xdr:colOff>0</xdr:colOff>
      <xdr:row>42</xdr:row>
      <xdr:rowOff>0</xdr:rowOff>
    </xdr:from>
    <xdr:to>
      <xdr:col>58</xdr:col>
      <xdr:colOff>594360</xdr:colOff>
      <xdr:row>66</xdr:row>
      <xdr:rowOff>7620</xdr:rowOff>
    </xdr:to>
    <xdr:graphicFrame macro="">
      <xdr:nvGraphicFramePr>
        <xdr:cNvPr id="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350520</xdr:colOff>
          <xdr:row>19</xdr:row>
          <xdr:rowOff>99060</xdr:rowOff>
        </xdr:from>
        <xdr:to>
          <xdr:col>30</xdr:col>
          <xdr:colOff>350520</xdr:colOff>
          <xdr:row>22</xdr:row>
          <xdr:rowOff>114300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99060</xdr:colOff>
          <xdr:row>28</xdr:row>
          <xdr:rowOff>76200</xdr:rowOff>
        </xdr:from>
        <xdr:to>
          <xdr:col>33</xdr:col>
          <xdr:colOff>556260</xdr:colOff>
          <xdr:row>31</xdr:row>
          <xdr:rowOff>144780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289560</xdr:colOff>
          <xdr:row>46</xdr:row>
          <xdr:rowOff>121920</xdr:rowOff>
        </xdr:from>
        <xdr:to>
          <xdr:col>30</xdr:col>
          <xdr:colOff>274320</xdr:colOff>
          <xdr:row>48</xdr:row>
          <xdr:rowOff>68580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236220</xdr:colOff>
          <xdr:row>7</xdr:row>
          <xdr:rowOff>7620</xdr:rowOff>
        </xdr:from>
        <xdr:to>
          <xdr:col>26</xdr:col>
          <xdr:colOff>60960</xdr:colOff>
          <xdr:row>8</xdr:row>
          <xdr:rowOff>38100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228600</xdr:colOff>
          <xdr:row>8</xdr:row>
          <xdr:rowOff>45720</xdr:rowOff>
        </xdr:from>
        <xdr:to>
          <xdr:col>26</xdr:col>
          <xdr:colOff>198120</xdr:colOff>
          <xdr:row>10</xdr:row>
          <xdr:rowOff>45720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266700</xdr:colOff>
          <xdr:row>48</xdr:row>
          <xdr:rowOff>121920</xdr:rowOff>
        </xdr:from>
        <xdr:to>
          <xdr:col>32</xdr:col>
          <xdr:colOff>22860</xdr:colOff>
          <xdr:row>52</xdr:row>
          <xdr:rowOff>38100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5</xdr:row>
          <xdr:rowOff>15240</xdr:rowOff>
        </xdr:from>
        <xdr:to>
          <xdr:col>8</xdr:col>
          <xdr:colOff>15240</xdr:colOff>
          <xdr:row>8</xdr:row>
          <xdr:rowOff>83820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426720</xdr:colOff>
          <xdr:row>4</xdr:row>
          <xdr:rowOff>99060</xdr:rowOff>
        </xdr:from>
        <xdr:to>
          <xdr:col>10</xdr:col>
          <xdr:colOff>441960</xdr:colOff>
          <xdr:row>8</xdr:row>
          <xdr:rowOff>15240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3</xdr:row>
          <xdr:rowOff>167640</xdr:rowOff>
        </xdr:from>
        <xdr:to>
          <xdr:col>12</xdr:col>
          <xdr:colOff>670560</xdr:colOff>
          <xdr:row>6</xdr:row>
          <xdr:rowOff>68580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144780</xdr:colOff>
          <xdr:row>7</xdr:row>
          <xdr:rowOff>15240</xdr:rowOff>
        </xdr:from>
        <xdr:to>
          <xdr:col>13</xdr:col>
          <xdr:colOff>304800</xdr:colOff>
          <xdr:row>8</xdr:row>
          <xdr:rowOff>160020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10</xdr:row>
          <xdr:rowOff>38100</xdr:rowOff>
        </xdr:from>
        <xdr:to>
          <xdr:col>17</xdr:col>
          <xdr:colOff>640080</xdr:colOff>
          <xdr:row>12</xdr:row>
          <xdr:rowOff>7620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777240</xdr:colOff>
          <xdr:row>9</xdr:row>
          <xdr:rowOff>274320</xdr:rowOff>
        </xdr:from>
        <xdr:to>
          <xdr:col>22</xdr:col>
          <xdr:colOff>198120</xdr:colOff>
          <xdr:row>11</xdr:row>
          <xdr:rowOff>160020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0.7075</cdr:x>
      <cdr:y>0.34477</cdr:y>
    </cdr:from>
    <cdr:to>
      <cdr:x>0.7075</cdr:x>
      <cdr:y>0.72145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79830" y="1232205"/>
          <a:ext cx="0" cy="1349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0.56524</cdr:x>
      <cdr:y>0.34477</cdr:y>
    </cdr:from>
    <cdr:to>
      <cdr:x>0.56524</cdr:x>
      <cdr:y>0.72145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58810" y="1389761"/>
          <a:ext cx="0" cy="15183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atome/Dropbox/2_Ensino/1Ciclo-InventarioFlorestal/Exercicios/Caracterizacao%20dos%20povoamentos/Exercicios4-VariaveisDoPovoamento-parc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_Backup/Susana/Aulas/2020-2021_Inventario/SDI_Eucali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2.1"/>
      <sheetName val="4.12.2"/>
      <sheetName val="4.12.3 (2)"/>
      <sheetName val="4.12.3"/>
      <sheetName val="4.12.4"/>
      <sheetName val="4.12.5"/>
      <sheetName val="4.12.6"/>
      <sheetName val="4.12.7"/>
      <sheetName val="4.12.8"/>
      <sheetName val="4.12.9"/>
      <sheetName val="4.12.10"/>
      <sheetName val="4.12.11"/>
      <sheetName val="4.12.12"/>
      <sheetName val="4.12.13"/>
      <sheetName val="4.12.14"/>
      <sheetName val="5.7.1"/>
    </sheetNames>
    <sheetDataSet>
      <sheetData sheetId="0"/>
      <sheetData sheetId="1"/>
      <sheetData sheetId="2"/>
      <sheetData sheetId="3">
        <row r="3">
          <cell r="C3">
            <v>4.05</v>
          </cell>
        </row>
      </sheetData>
      <sheetData sheetId="4">
        <row r="33">
          <cell r="F33">
            <v>38.15</v>
          </cell>
        </row>
        <row r="34">
          <cell r="F34">
            <v>6.7599999999999993E-2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s_Ec"/>
    </sheetNames>
    <sheetDataSet>
      <sheetData sheetId="0">
        <row r="1">
          <cell r="E1">
            <v>600.00000055353848</v>
          </cell>
          <cell r="F1">
            <v>400.00000044408625</v>
          </cell>
          <cell r="G1">
            <v>250.00047520038183</v>
          </cell>
        </row>
        <row r="3">
          <cell r="A3" t="str">
            <v>máximo (1000)</v>
          </cell>
        </row>
        <row r="24">
          <cell r="C24">
            <v>7.3890560989306504</v>
          </cell>
          <cell r="D24">
            <v>7030.102736935537</v>
          </cell>
          <cell r="E24">
            <v>4218.0616460527517</v>
          </cell>
          <cell r="F24">
            <v>2812.0410978961822</v>
          </cell>
          <cell r="G24">
            <v>1757.5290249413863</v>
          </cell>
        </row>
        <row r="25">
          <cell r="C25">
            <v>8.1661699125676517</v>
          </cell>
          <cell r="D25">
            <v>5990.6583830739801</v>
          </cell>
          <cell r="E25">
            <v>3594.3950331604456</v>
          </cell>
          <cell r="F25">
            <v>2396.2633558899574</v>
          </cell>
          <cell r="G25">
            <v>1497.6674425316437</v>
          </cell>
        </row>
        <row r="26">
          <cell r="C26">
            <v>9.025013499434122</v>
          </cell>
          <cell r="D26">
            <v>5104.9023329548572</v>
          </cell>
          <cell r="E26">
            <v>3062.9414025986725</v>
          </cell>
          <cell r="F26">
            <v>2041.9609354489569</v>
          </cell>
          <cell r="G26">
            <v>1276.2280090902502</v>
          </cell>
        </row>
        <row r="27">
          <cell r="C27">
            <v>9.9741824548147235</v>
          </cell>
          <cell r="D27">
            <v>4350.1108163066037</v>
          </cell>
          <cell r="E27">
            <v>2610.0664921919119</v>
          </cell>
          <cell r="F27">
            <v>1740.0443284544631</v>
          </cell>
          <cell r="G27">
            <v>1087.52977125097</v>
          </cell>
        </row>
        <row r="28">
          <cell r="C28">
            <v>11.023176380641605</v>
          </cell>
          <cell r="D28">
            <v>3706.9199134304072</v>
          </cell>
          <cell r="E28">
            <v>2224.1519501101639</v>
          </cell>
          <cell r="F28">
            <v>1482.7679670183527</v>
          </cell>
          <cell r="G28">
            <v>926.73173988735857</v>
          </cell>
        </row>
        <row r="29">
          <cell r="C29">
            <v>12.182493960703479</v>
          </cell>
          <cell r="D29">
            <v>3158.8287804248866</v>
          </cell>
          <cell r="E29">
            <v>1895.2972700034625</v>
          </cell>
          <cell r="F29">
            <v>1263.5315135727451</v>
          </cell>
          <cell r="G29">
            <v>789.70869618286304</v>
          </cell>
        </row>
        <row r="30">
          <cell r="C30">
            <v>13.463738035001697</v>
          </cell>
          <cell r="D30">
            <v>2691.7763256467765</v>
          </cell>
          <cell r="E30">
            <v>1615.0657968780667</v>
          </cell>
          <cell r="F30">
            <v>1076.7105314540909</v>
          </cell>
          <cell r="G30">
            <v>672.94536054483149</v>
          </cell>
        </row>
        <row r="31">
          <cell r="C31">
            <v>14.879731724872844</v>
          </cell>
          <cell r="D31">
            <v>2293.7804771861902</v>
          </cell>
          <cell r="E31">
            <v>1376.2682875814091</v>
          </cell>
          <cell r="F31">
            <v>917.51219189311189</v>
          </cell>
          <cell r="G31">
            <v>573.44620930190581</v>
          </cell>
        </row>
        <row r="32">
          <cell r="C32">
            <v>16.444646771097062</v>
          </cell>
          <cell r="D32">
            <v>1954.6307868861643</v>
          </cell>
          <cell r="E32">
            <v>1172.7784732136611</v>
          </cell>
          <cell r="F32">
            <v>781.85231562248987</v>
          </cell>
          <cell r="G32">
            <v>488.65862556283696</v>
          </cell>
        </row>
        <row r="33">
          <cell r="C33">
            <v>18.174145369443075</v>
          </cell>
          <cell r="D33">
            <v>1665.6264847671828</v>
          </cell>
          <cell r="E33">
            <v>999.37589178229746</v>
          </cell>
          <cell r="F33">
            <v>666.25059464655453</v>
          </cell>
          <cell r="G33">
            <v>416.40741269813697</v>
          </cell>
        </row>
        <row r="34">
          <cell r="C34">
            <v>20.085536923187686</v>
          </cell>
          <cell r="D34">
            <v>1419.3532637319786</v>
          </cell>
          <cell r="E34">
            <v>851.61195902485326</v>
          </cell>
          <cell r="F34">
            <v>567.74130612310637</v>
          </cell>
          <cell r="G34">
            <v>354.83899041020726</v>
          </cell>
        </row>
        <row r="35">
          <cell r="C35">
            <v>22.197951281441654</v>
          </cell>
          <cell r="D35">
            <v>1209.4930680381262</v>
          </cell>
          <cell r="E35">
            <v>725.6958414923763</v>
          </cell>
          <cell r="F35">
            <v>483.79722775236945</v>
          </cell>
          <cell r="G35">
            <v>302.37384176109913</v>
          </cell>
        </row>
        <row r="36">
          <cell r="C36">
            <v>24.532530197109374</v>
          </cell>
          <cell r="D36">
            <v>1030.6620057263765</v>
          </cell>
          <cell r="E36">
            <v>618.39720400633655</v>
          </cell>
          <cell r="F36">
            <v>412.26480274825309</v>
          </cell>
          <cell r="G36">
            <v>257.66599120257257</v>
          </cell>
        </row>
        <row r="37">
          <cell r="C37">
            <v>27.112638920657918</v>
          </cell>
          <cell r="D37">
            <v>878.27222670318929</v>
          </cell>
          <cell r="E37">
            <v>526.96333650807071</v>
          </cell>
          <cell r="F37">
            <v>351.30889107130412</v>
          </cell>
          <cell r="G37">
            <v>219.56847403109464</v>
          </cell>
        </row>
        <row r="38">
          <cell r="C38">
            <v>29.96410004739705</v>
          </cell>
          <cell r="D38">
            <v>748.41422300664692</v>
          </cell>
          <cell r="E38">
            <v>449.04853421826397</v>
          </cell>
          <cell r="F38">
            <v>299.36568953501904</v>
          </cell>
          <cell r="G38">
            <v>187.10391139838615</v>
          </cell>
        </row>
        <row r="39">
          <cell r="C39">
            <v>33.115451958692361</v>
          </cell>
          <cell r="D39">
            <v>637.75653170908708</v>
          </cell>
          <cell r="E39">
            <v>382.65391937847482</v>
          </cell>
          <cell r="F39">
            <v>255.10261296685357</v>
          </cell>
          <cell r="G39">
            <v>159.43943598941905</v>
          </cell>
        </row>
        <row r="40">
          <cell r="C40">
            <v>36.598234443678038</v>
          </cell>
          <cell r="D40">
            <v>543.46026736853105</v>
          </cell>
          <cell r="E40">
            <v>326.07616072194463</v>
          </cell>
          <cell r="F40">
            <v>217.38410718875554</v>
          </cell>
          <cell r="G40">
            <v>135.86532509465926</v>
          </cell>
        </row>
        <row r="41">
          <cell r="C41">
            <v>40.447304360067449</v>
          </cell>
          <cell r="D41">
            <v>463.10629138801028</v>
          </cell>
          <cell r="E41">
            <v>277.86377508915314</v>
          </cell>
          <cell r="F41">
            <v>185.24251676086314</v>
          </cell>
          <cell r="G41">
            <v>115.77679291528898</v>
          </cell>
        </row>
        <row r="42">
          <cell r="C42">
            <v>44.701184493300893</v>
          </cell>
          <cell r="D42">
            <v>394.63314983746938</v>
          </cell>
          <cell r="E42">
            <v>236.7798901209261</v>
          </cell>
          <cell r="F42">
            <v>157.85326011023881</v>
          </cell>
          <cell r="G42">
            <v>98.658474989190751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3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oleObject" Target="../embeddings/oleObject1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5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oleObject" Target="../embeddings/oleObject14.bin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99"/>
  <sheetViews>
    <sheetView tabSelected="1" topLeftCell="A37" zoomScale="130" zoomScaleNormal="130" workbookViewId="0">
      <selection activeCell="K45" sqref="K45"/>
    </sheetView>
  </sheetViews>
  <sheetFormatPr defaultRowHeight="13.2" x14ac:dyDescent="0.25"/>
  <cols>
    <col min="1" max="1" width="5" customWidth="1"/>
    <col min="2" max="2" width="7.21875" customWidth="1"/>
    <col min="3" max="3" width="6.88671875" customWidth="1"/>
    <col min="4" max="4" width="6" customWidth="1"/>
    <col min="13" max="13" width="10" customWidth="1"/>
    <col min="14" max="14" width="9.44140625" customWidth="1"/>
    <col min="16" max="16" width="9.44140625" customWidth="1"/>
    <col min="17" max="17" width="7.5546875" customWidth="1"/>
    <col min="18" max="18" width="11.109375" customWidth="1"/>
    <col min="19" max="19" width="11.44140625" customWidth="1"/>
    <col min="20" max="20" width="10.6640625" customWidth="1"/>
    <col min="21" max="21" width="10.109375" customWidth="1"/>
    <col min="22" max="22" width="7.88671875" customWidth="1"/>
    <col min="23" max="23" width="9.109375" customWidth="1"/>
    <col min="24" max="27" width="7.88671875" customWidth="1"/>
    <col min="31" max="31" width="9.44140625" bestFit="1" customWidth="1"/>
  </cols>
  <sheetData>
    <row r="1" spans="1:59" ht="15" thickBot="1" x14ac:dyDescent="0.35">
      <c r="E1" s="1" t="s">
        <v>2</v>
      </c>
      <c r="F1" s="2">
        <v>500</v>
      </c>
      <c r="G1" t="s">
        <v>102</v>
      </c>
      <c r="I1" s="1" t="s">
        <v>7</v>
      </c>
      <c r="J1" s="2">
        <f>SUM(H19:H50)</f>
        <v>5</v>
      </c>
      <c r="M1" s="73" t="s">
        <v>77</v>
      </c>
      <c r="N1" s="1" t="s">
        <v>36</v>
      </c>
      <c r="O1" s="10">
        <f>100/(J15*SQRT(F15))</f>
        <v>0.25338763302631245</v>
      </c>
      <c r="Q1" s="12"/>
      <c r="R1" s="12"/>
      <c r="S1" s="12"/>
      <c r="U1" s="32" t="s">
        <v>13</v>
      </c>
      <c r="V1" s="33" t="s">
        <v>21</v>
      </c>
      <c r="W1" s="16" t="s">
        <v>22</v>
      </c>
      <c r="X1" s="25" t="s">
        <v>23</v>
      </c>
      <c r="Y1" s="25" t="s">
        <v>24</v>
      </c>
      <c r="AB1" s="14"/>
      <c r="AC1" s="14"/>
      <c r="AL1" s="95" t="s">
        <v>109</v>
      </c>
      <c r="AM1" s="12"/>
      <c r="AN1" s="12"/>
      <c r="AO1" s="18" t="s">
        <v>127</v>
      </c>
      <c r="AP1" s="12"/>
      <c r="AQ1" s="12"/>
      <c r="AR1" s="12"/>
      <c r="AS1" s="12"/>
    </row>
    <row r="2" spans="1:59" ht="13.8" thickBot="1" x14ac:dyDescent="0.3">
      <c r="E2" s="1" t="s">
        <v>4</v>
      </c>
      <c r="F2" s="2">
        <f>AVERAGE(I19:I20)+3</f>
        <v>40</v>
      </c>
      <c r="I2" s="1" t="s">
        <v>5</v>
      </c>
      <c r="J2" s="2">
        <f>10000/F1</f>
        <v>20</v>
      </c>
      <c r="K2" t="s">
        <v>103</v>
      </c>
      <c r="L2" s="9">
        <f>AVERAGE(L19:L50)</f>
        <v>14.169365924749075</v>
      </c>
      <c r="M2" s="73" t="s">
        <v>78</v>
      </c>
      <c r="N2" s="2" t="s">
        <v>11</v>
      </c>
      <c r="Q2" s="12"/>
      <c r="R2" s="12"/>
      <c r="S2" s="12"/>
      <c r="U2" s="44" t="s">
        <v>125</v>
      </c>
      <c r="V2" s="31">
        <v>1</v>
      </c>
      <c r="W2" s="17">
        <v>1.46E-2</v>
      </c>
      <c r="X2" s="111">
        <v>1.9468700000000001</v>
      </c>
      <c r="Y2" s="111">
        <v>1.1065769999999999</v>
      </c>
      <c r="AD2" s="71" t="s">
        <v>79</v>
      </c>
      <c r="AE2" s="12"/>
      <c r="AF2" s="12"/>
      <c r="AG2" s="12"/>
      <c r="AH2" s="127" t="s">
        <v>101</v>
      </c>
      <c r="AI2" s="127"/>
      <c r="AL2" s="12"/>
      <c r="AM2" s="12"/>
      <c r="AN2" s="12"/>
      <c r="AO2" s="12"/>
      <c r="AP2" s="12"/>
      <c r="AQ2" s="12"/>
      <c r="AR2" s="12"/>
      <c r="AS2" s="12"/>
    </row>
    <row r="3" spans="1:59" ht="13.8" thickBot="1" x14ac:dyDescent="0.3">
      <c r="E3" s="1" t="s">
        <v>37</v>
      </c>
      <c r="F3" s="2">
        <v>0.27</v>
      </c>
      <c r="G3" t="s">
        <v>108</v>
      </c>
      <c r="H3" s="73" t="s">
        <v>72</v>
      </c>
      <c r="I3" s="1" t="s">
        <v>9</v>
      </c>
      <c r="J3" s="3">
        <f>K11*(J15/K11)^((37/M11)^$L$11)</f>
        <v>16.435547319874047</v>
      </c>
      <c r="O3" s="1" t="s">
        <v>38</v>
      </c>
      <c r="P3" s="39">
        <f>100^2/(J15^2*F3^2)</f>
        <v>563.6678634462744</v>
      </c>
      <c r="Q3" s="12"/>
      <c r="R3" s="12"/>
      <c r="S3" s="12"/>
      <c r="U3" s="45" t="s">
        <v>122</v>
      </c>
      <c r="V3" s="28">
        <v>1</v>
      </c>
      <c r="W3" s="17">
        <v>1.14E-2</v>
      </c>
      <c r="X3" s="111">
        <v>1.8728</v>
      </c>
      <c r="Y3" s="23">
        <v>0.6694</v>
      </c>
      <c r="AE3" s="13"/>
      <c r="AF3" s="13"/>
      <c r="AG3" s="12"/>
      <c r="AH3" s="127"/>
      <c r="AI3" s="127"/>
      <c r="AL3" s="12"/>
      <c r="AM3" s="12"/>
      <c r="AN3" s="12"/>
      <c r="AO3" s="12" t="s">
        <v>119</v>
      </c>
      <c r="AP3" s="12"/>
      <c r="AQ3" s="12"/>
      <c r="AS3" s="12"/>
    </row>
    <row r="4" spans="1:59" ht="15.75" customHeight="1" thickBot="1" x14ac:dyDescent="0.3">
      <c r="E4" s="1" t="s">
        <v>88</v>
      </c>
      <c r="F4" s="2">
        <v>0.1</v>
      </c>
      <c r="H4" s="73" t="s">
        <v>76</v>
      </c>
      <c r="I4" s="1" t="s">
        <v>6</v>
      </c>
      <c r="J4" s="41">
        <f>SQRT((4*K15)/(PI()*F15))*100</f>
        <v>22.186348561671881</v>
      </c>
      <c r="M4" s="1"/>
      <c r="N4" s="10"/>
      <c r="O4" t="s">
        <v>131</v>
      </c>
      <c r="P4" s="4">
        <f>F15-P3</f>
        <v>76.332136553725604</v>
      </c>
      <c r="Q4" s="12"/>
      <c r="R4" s="12"/>
      <c r="S4" s="12"/>
      <c r="U4" s="45" t="s">
        <v>123</v>
      </c>
      <c r="V4" s="28">
        <v>2</v>
      </c>
      <c r="W4" s="17">
        <v>3.0799999999999998E-3</v>
      </c>
      <c r="X4" s="111">
        <v>2.7576100000000001</v>
      </c>
      <c r="Y4" s="112">
        <v>-0.39380999999999999</v>
      </c>
      <c r="Z4" s="11"/>
      <c r="AA4" s="11"/>
      <c r="AE4" s="13"/>
      <c r="AF4" s="13"/>
      <c r="AG4" s="13"/>
      <c r="AH4" s="127"/>
      <c r="AI4" s="127"/>
      <c r="AL4" s="12"/>
      <c r="AM4" s="12"/>
      <c r="AN4" s="12"/>
      <c r="AO4" s="12"/>
      <c r="AP4" s="12"/>
      <c r="AR4" s="105" t="s">
        <v>26</v>
      </c>
      <c r="AS4" s="12"/>
    </row>
    <row r="5" spans="1:59" ht="13.8" thickBot="1" x14ac:dyDescent="0.3">
      <c r="F5" s="2"/>
      <c r="J5" s="12"/>
      <c r="K5" s="12"/>
      <c r="L5" s="12"/>
      <c r="M5" s="12"/>
      <c r="N5" s="12"/>
      <c r="Q5" s="12"/>
      <c r="R5" s="12"/>
      <c r="S5" s="12"/>
      <c r="U5" s="46" t="s">
        <v>124</v>
      </c>
      <c r="V5" s="34">
        <v>2</v>
      </c>
      <c r="W5" s="17">
        <v>9.98E-2</v>
      </c>
      <c r="X5" s="111">
        <v>1.39252</v>
      </c>
      <c r="Y5" s="112">
        <v>-0.71962000000000004</v>
      </c>
      <c r="AE5" s="13"/>
      <c r="AF5" s="13"/>
      <c r="AG5" s="13"/>
      <c r="AH5" s="127"/>
      <c r="AI5" s="127"/>
      <c r="AL5" s="12"/>
      <c r="AM5" s="12"/>
      <c r="AN5" s="12"/>
      <c r="AO5" s="12" t="s">
        <v>27</v>
      </c>
      <c r="AP5" s="12"/>
      <c r="AQ5" s="12"/>
      <c r="AR5" s="12"/>
    </row>
    <row r="6" spans="1:59" ht="14.4" thickBot="1" x14ac:dyDescent="0.3">
      <c r="B6" s="12"/>
      <c r="C6" s="12"/>
      <c r="D6" s="12"/>
      <c r="E6" s="12"/>
      <c r="F6" s="12"/>
      <c r="G6" s="12"/>
      <c r="H6" s="12"/>
      <c r="I6" s="116"/>
      <c r="J6" s="118"/>
      <c r="K6" s="12"/>
      <c r="L6" s="117"/>
      <c r="M6" s="12"/>
      <c r="N6" s="12"/>
      <c r="R6" s="12"/>
      <c r="S6" s="12"/>
      <c r="U6" s="109" t="s">
        <v>126</v>
      </c>
      <c r="V6" s="109">
        <v>3</v>
      </c>
      <c r="W6" s="110">
        <v>0.27560000000000001</v>
      </c>
      <c r="X6" s="108"/>
      <c r="Y6" s="107"/>
      <c r="AE6" s="13"/>
      <c r="AF6" s="13"/>
      <c r="AG6" s="13"/>
      <c r="AH6" s="127"/>
      <c r="AI6" s="127"/>
      <c r="AO6" s="12"/>
      <c r="AP6" s="12"/>
      <c r="AQ6" s="12"/>
      <c r="AR6" s="12"/>
      <c r="AS6" s="12"/>
    </row>
    <row r="7" spans="1:59" ht="13.8" thickBot="1" x14ac:dyDescent="0.3">
      <c r="B7" s="12"/>
      <c r="C7" s="12"/>
      <c r="D7" s="12"/>
      <c r="E7" s="12"/>
      <c r="F7" s="12"/>
      <c r="G7" s="12"/>
      <c r="H7" s="12"/>
      <c r="I7" s="116"/>
      <c r="J7" s="12"/>
      <c r="K7" s="12"/>
      <c r="L7" s="12"/>
      <c r="M7" s="116"/>
      <c r="N7" s="119"/>
      <c r="O7" s="96" t="s">
        <v>13</v>
      </c>
      <c r="P7" s="97" t="s">
        <v>21</v>
      </c>
      <c r="Q7" s="97" t="s">
        <v>114</v>
      </c>
      <c r="R7" s="97" t="s">
        <v>115</v>
      </c>
      <c r="S7" s="97" t="s">
        <v>116</v>
      </c>
      <c r="U7" s="96" t="s">
        <v>13</v>
      </c>
      <c r="V7" s="97" t="s">
        <v>21</v>
      </c>
      <c r="W7" s="97" t="s">
        <v>114</v>
      </c>
      <c r="X7" s="97" t="s">
        <v>115</v>
      </c>
      <c r="Y7" s="12"/>
      <c r="Z7" s="12"/>
      <c r="AA7" s="12"/>
      <c r="AB7" s="12"/>
      <c r="AC7" s="12"/>
      <c r="AE7" s="5"/>
      <c r="AF7" s="5"/>
      <c r="AG7" s="5"/>
      <c r="AO7" s="12"/>
      <c r="AP7" s="12"/>
      <c r="AQ7" s="12"/>
      <c r="AR7" s="12"/>
      <c r="AS7" s="12"/>
    </row>
    <row r="8" spans="1:59" ht="23.4" thickBot="1" x14ac:dyDescent="0.3">
      <c r="B8" s="12"/>
      <c r="C8" s="12"/>
      <c r="D8" s="12"/>
      <c r="E8" s="12"/>
      <c r="F8" s="12"/>
      <c r="G8" s="12"/>
      <c r="H8" s="12"/>
      <c r="I8" s="116"/>
      <c r="J8" s="118"/>
      <c r="K8" s="117"/>
      <c r="L8" s="120"/>
      <c r="M8" s="116"/>
      <c r="N8" s="120"/>
      <c r="O8" s="98" t="s">
        <v>28</v>
      </c>
      <c r="P8" s="99" t="s">
        <v>118</v>
      </c>
      <c r="Q8" s="99">
        <v>0.752</v>
      </c>
      <c r="R8" s="99">
        <v>2.0706000000000002</v>
      </c>
      <c r="S8" s="99">
        <v>0.80310000000000004</v>
      </c>
      <c r="U8" s="98" t="s">
        <v>135</v>
      </c>
      <c r="V8" s="121">
        <v>-4</v>
      </c>
      <c r="W8" s="99">
        <v>2.1823000000000001</v>
      </c>
      <c r="X8" s="99">
        <v>0.85909999999999997</v>
      </c>
      <c r="Y8" s="12"/>
      <c r="Z8" s="12"/>
      <c r="AA8" s="12"/>
      <c r="AB8" s="12"/>
      <c r="AC8" s="12"/>
      <c r="AE8" s="5" t="s">
        <v>13</v>
      </c>
      <c r="AF8" s="5" t="s">
        <v>14</v>
      </c>
      <c r="AG8" s="5"/>
    </row>
    <row r="9" spans="1:59" ht="14.4" thickBot="1" x14ac:dyDescent="0.3">
      <c r="B9" s="12"/>
      <c r="C9" s="12"/>
      <c r="D9" s="12"/>
      <c r="E9" s="12"/>
      <c r="F9" s="12"/>
      <c r="G9" s="12"/>
      <c r="H9" s="12"/>
      <c r="I9" s="117"/>
      <c r="J9" s="117"/>
      <c r="K9" s="117"/>
      <c r="L9" s="117"/>
      <c r="M9" s="116"/>
      <c r="N9" s="120"/>
      <c r="O9" s="98" t="s">
        <v>132</v>
      </c>
      <c r="P9" s="99" t="s">
        <v>133</v>
      </c>
      <c r="Q9" s="99">
        <v>2.4700000000000001E-5</v>
      </c>
      <c r="R9" s="99">
        <v>2.1118999999999999</v>
      </c>
      <c r="S9" s="99">
        <v>0.92610000000000003</v>
      </c>
      <c r="Y9" s="12"/>
      <c r="Z9" s="12"/>
      <c r="AA9" s="12"/>
      <c r="AB9" s="12"/>
      <c r="AC9" s="12"/>
      <c r="AE9" t="s">
        <v>15</v>
      </c>
      <c r="AF9" s="2">
        <v>1.9560299999999999</v>
      </c>
    </row>
    <row r="10" spans="1:59" ht="24.6" thickBot="1" x14ac:dyDescent="0.3">
      <c r="B10" s="96" t="s">
        <v>13</v>
      </c>
      <c r="C10" s="97" t="s">
        <v>21</v>
      </c>
      <c r="D10" s="97" t="s">
        <v>114</v>
      </c>
      <c r="E10" s="97" t="s">
        <v>115</v>
      </c>
      <c r="F10" s="97" t="s">
        <v>116</v>
      </c>
      <c r="G10" s="97" t="s">
        <v>117</v>
      </c>
      <c r="I10" s="96" t="s">
        <v>13</v>
      </c>
      <c r="J10" s="97" t="s">
        <v>21</v>
      </c>
      <c r="K10" s="97" t="s">
        <v>39</v>
      </c>
      <c r="L10" s="97" t="s">
        <v>110</v>
      </c>
      <c r="M10" s="97" t="s">
        <v>111</v>
      </c>
      <c r="N10" s="3"/>
      <c r="O10" s="98" t="s">
        <v>134</v>
      </c>
      <c r="P10" s="99">
        <v>3</v>
      </c>
      <c r="Q10" s="99">
        <v>1.413</v>
      </c>
      <c r="R10" s="99">
        <v>4.3487999999999998</v>
      </c>
      <c r="S10" s="99">
        <v>4.3188000000000004</v>
      </c>
      <c r="Y10" s="12"/>
      <c r="Z10" s="12"/>
      <c r="AA10" s="12"/>
      <c r="AB10" s="12"/>
      <c r="AC10" s="12"/>
    </row>
    <row r="11" spans="1:59" ht="34.799999999999997" thickBot="1" x14ac:dyDescent="0.3">
      <c r="B11" s="98" t="s">
        <v>130</v>
      </c>
      <c r="C11" s="99">
        <v>1</v>
      </c>
      <c r="D11" s="99">
        <v>7.9500000000000001E-2</v>
      </c>
      <c r="E11" s="99">
        <v>2.1100000000000001E-2</v>
      </c>
      <c r="F11" s="99">
        <v>2.5399999999999999E-2</v>
      </c>
      <c r="G11" s="99">
        <v>-1.1657999999999999</v>
      </c>
      <c r="I11" s="98" t="s">
        <v>130</v>
      </c>
      <c r="J11" s="99">
        <v>1</v>
      </c>
      <c r="K11" s="99">
        <v>69</v>
      </c>
      <c r="L11" s="99">
        <v>0.45820300000000003</v>
      </c>
      <c r="M11" s="99">
        <v>40</v>
      </c>
      <c r="N11" s="14"/>
      <c r="O11" s="12"/>
      <c r="P11" s="116"/>
      <c r="Q11" s="119"/>
      <c r="R11" s="119"/>
      <c r="S11" s="12"/>
      <c r="AE11" s="1" t="s">
        <v>12</v>
      </c>
      <c r="AF11" s="4">
        <f>F15*(J4/25)^AF9</f>
        <v>506.70086804912478</v>
      </c>
      <c r="AG11" s="1" t="s">
        <v>95</v>
      </c>
      <c r="AH11" s="10"/>
    </row>
    <row r="12" spans="1:59" x14ac:dyDescent="0.25">
      <c r="F12" s="30" t="s">
        <v>73</v>
      </c>
      <c r="G12" s="30" t="s">
        <v>74</v>
      </c>
      <c r="H12" s="71"/>
      <c r="I12" s="71"/>
      <c r="J12" s="72" t="s">
        <v>71</v>
      </c>
      <c r="K12" s="72" t="s">
        <v>75</v>
      </c>
      <c r="L12" s="72" t="s">
        <v>80</v>
      </c>
      <c r="M12" s="72" t="s">
        <v>81</v>
      </c>
      <c r="N12" s="72" t="s">
        <v>82</v>
      </c>
      <c r="O12" s="128" t="s">
        <v>83</v>
      </c>
      <c r="P12" s="128"/>
      <c r="Q12" s="128"/>
      <c r="R12" s="128"/>
      <c r="S12" s="128"/>
      <c r="T12" s="128"/>
      <c r="U12" s="128"/>
      <c r="V12" s="128"/>
      <c r="W12" s="129" t="s">
        <v>85</v>
      </c>
      <c r="X12" s="129"/>
      <c r="Y12" s="129"/>
      <c r="Z12" s="129"/>
      <c r="AA12" s="129"/>
      <c r="AB12" s="129"/>
      <c r="AC12" s="129"/>
      <c r="AG12" s="1" t="s">
        <v>96</v>
      </c>
      <c r="AH12" s="10"/>
    </row>
    <row r="13" spans="1:59" x14ac:dyDescent="0.25">
      <c r="F13" s="65" t="s">
        <v>64</v>
      </c>
      <c r="G13" s="66" t="s">
        <v>65</v>
      </c>
      <c r="H13" s="69" t="s">
        <v>67</v>
      </c>
      <c r="J13" s="64" t="s">
        <v>62</v>
      </c>
      <c r="K13" s="57" t="s">
        <v>61</v>
      </c>
      <c r="L13" s="14"/>
      <c r="M13" s="50" t="s">
        <v>28</v>
      </c>
      <c r="N13" s="50" t="s">
        <v>60</v>
      </c>
      <c r="O13" s="14"/>
      <c r="P13" s="38"/>
      <c r="S13" s="50" t="s">
        <v>52</v>
      </c>
      <c r="T13" s="50" t="s">
        <v>53</v>
      </c>
      <c r="U13" s="50" t="s">
        <v>54</v>
      </c>
      <c r="V13" s="50" t="s">
        <v>55</v>
      </c>
      <c r="W13" s="49" t="s">
        <v>41</v>
      </c>
      <c r="X13" s="49" t="s">
        <v>42</v>
      </c>
      <c r="Y13" s="49" t="s">
        <v>43</v>
      </c>
      <c r="Z13" s="49" t="s">
        <v>44</v>
      </c>
      <c r="AA13" s="49" t="s">
        <v>57</v>
      </c>
      <c r="AB13" s="49" t="s">
        <v>58</v>
      </c>
      <c r="AC13" s="49" t="s">
        <v>84</v>
      </c>
    </row>
    <row r="14" spans="1:59" x14ac:dyDescent="0.25">
      <c r="A14" s="71" t="s">
        <v>137</v>
      </c>
      <c r="B14" s="71"/>
      <c r="C14" s="71"/>
      <c r="F14" s="28">
        <f>COUNT(C19:C50)</f>
        <v>32</v>
      </c>
      <c r="G14" s="28"/>
      <c r="H14" s="70">
        <f>SUMPRODUCT($C$19:$C$50,$H$19:$H$50)/SUM($H$19:$H$50)</f>
        <v>27.24</v>
      </c>
      <c r="J14" s="62"/>
      <c r="K14" s="55">
        <f>SUM($K$19:$K$50)</f>
        <v>1.2371191316773271</v>
      </c>
      <c r="L14" s="59" t="s">
        <v>18</v>
      </c>
      <c r="M14" s="55">
        <f>SUM(M19:M92)</f>
        <v>9.2435560729012209</v>
      </c>
      <c r="N14" s="55">
        <f>SUM(N19:N92)</f>
        <v>6.6660911422313402</v>
      </c>
      <c r="O14" s="14"/>
      <c r="P14" s="58" t="s">
        <v>16</v>
      </c>
      <c r="S14" s="51">
        <f t="shared" ref="S14:Z14" si="0">SUM(S19:S92)</f>
        <v>0.44417032735726258</v>
      </c>
      <c r="T14" s="51">
        <f t="shared" si="0"/>
        <v>5.5212084155094443</v>
      </c>
      <c r="U14" s="51">
        <f t="shared" si="0"/>
        <v>0.64993783173714514</v>
      </c>
      <c r="V14" s="52">
        <f t="shared" si="0"/>
        <v>4.0703845466478886E-2</v>
      </c>
      <c r="W14" s="53">
        <f>SUM(W19:W92)</f>
        <v>3809.0980733899396</v>
      </c>
      <c r="X14" s="53">
        <f t="shared" si="0"/>
        <v>726.53407355433615</v>
      </c>
      <c r="Y14" s="53">
        <f t="shared" si="0"/>
        <v>635.17002509442477</v>
      </c>
      <c r="Z14" s="53">
        <f t="shared" si="0"/>
        <v>325.2117542092206</v>
      </c>
      <c r="AA14" s="53">
        <f>SUM(W14:Z14)-X14</f>
        <v>4769.4798526935856</v>
      </c>
      <c r="AB14" s="47" t="s">
        <v>59</v>
      </c>
      <c r="AC14" s="29"/>
      <c r="AD14" s="60" t="s">
        <v>50</v>
      </c>
    </row>
    <row r="15" spans="1:59" ht="13.8" thickBot="1" x14ac:dyDescent="0.3">
      <c r="A15" s="146" t="s">
        <v>138</v>
      </c>
      <c r="B15" s="146"/>
      <c r="C15" s="146"/>
      <c r="E15" s="68" t="s">
        <v>66</v>
      </c>
      <c r="F15" s="67">
        <f>F14*$J$2</f>
        <v>640</v>
      </c>
      <c r="G15" s="53">
        <v>0</v>
      </c>
      <c r="H15" s="31"/>
      <c r="I15" s="61" t="s">
        <v>68</v>
      </c>
      <c r="J15" s="63">
        <f>AVERAGE($J$19:$J$50)</f>
        <v>15.6</v>
      </c>
      <c r="K15" s="55">
        <f>K14*$J$2</f>
        <v>24.742382633546541</v>
      </c>
      <c r="L15" s="59" t="s">
        <v>63</v>
      </c>
      <c r="M15" s="51">
        <f>M14*$J$2</f>
        <v>184.87112145802442</v>
      </c>
      <c r="N15" s="51">
        <f>N14*$J$2</f>
        <v>133.32182284462681</v>
      </c>
      <c r="O15" s="14"/>
      <c r="P15" s="58" t="s">
        <v>56</v>
      </c>
      <c r="S15" s="51">
        <f>S14*$J$2</f>
        <v>8.8834065471452526</v>
      </c>
      <c r="T15" s="51">
        <f>T14*$J$2</f>
        <v>110.42416831018889</v>
      </c>
      <c r="U15" s="51">
        <f>U14*$J$2</f>
        <v>12.998756634742904</v>
      </c>
      <c r="V15" s="51">
        <f>V14*$J$2</f>
        <v>0.81407690932957766</v>
      </c>
      <c r="W15" s="51">
        <f>W14*$J$2/1000</f>
        <v>76.1819614677988</v>
      </c>
      <c r="X15" s="51">
        <f>X14*$J$2/1000</f>
        <v>14.530681471086721</v>
      </c>
      <c r="Y15" s="51">
        <f>Y14*$J$2/1000</f>
        <v>12.703400501888497</v>
      </c>
      <c r="Z15" s="51">
        <f>Z14*$J$2/1000</f>
        <v>6.5042350841844119</v>
      </c>
      <c r="AA15" s="51">
        <f>AA14*$J$2/1000</f>
        <v>95.389597053871711</v>
      </c>
      <c r="AB15" s="54">
        <f>$W$6*AA15</f>
        <v>26.289372948047045</v>
      </c>
      <c r="AC15" s="48">
        <f>AA15+AB15</f>
        <v>121.67897000191876</v>
      </c>
      <c r="AD15" s="60" t="s">
        <v>51</v>
      </c>
    </row>
    <row r="16" spans="1:59" ht="13.8" thickBot="1" x14ac:dyDescent="0.3">
      <c r="L16" s="9">
        <f>AVERAGE(L19:L50)</f>
        <v>14.169365924749075</v>
      </c>
      <c r="P16" s="1"/>
      <c r="Q16" s="4"/>
      <c r="R16" s="4"/>
      <c r="AK16" s="86"/>
      <c r="AL16" s="86"/>
      <c r="AM16" s="130" t="s">
        <v>32</v>
      </c>
      <c r="AN16" s="131"/>
      <c r="AO16" s="131"/>
      <c r="AP16" s="131"/>
      <c r="AQ16" s="131"/>
      <c r="AR16" s="132"/>
      <c r="AT16" s="133" t="s">
        <v>92</v>
      </c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</row>
    <row r="17" spans="1:63" x14ac:dyDescent="0.25">
      <c r="A17" s="91"/>
      <c r="B17" s="91"/>
      <c r="C17" s="91" t="s">
        <v>19</v>
      </c>
      <c r="D17" s="91" t="s">
        <v>1</v>
      </c>
      <c r="E17" s="91" t="s">
        <v>1</v>
      </c>
      <c r="F17" s="91" t="s">
        <v>19</v>
      </c>
      <c r="G17" s="91" t="s">
        <v>19</v>
      </c>
      <c r="H17" s="92"/>
      <c r="I17" s="92"/>
      <c r="J17" s="28" t="s">
        <v>1</v>
      </c>
      <c r="K17" s="28" t="s">
        <v>18</v>
      </c>
      <c r="L17" s="28" t="s">
        <v>1</v>
      </c>
      <c r="M17" s="40" t="s">
        <v>16</v>
      </c>
      <c r="N17" s="40" t="s">
        <v>16</v>
      </c>
      <c r="O17" s="134" t="s">
        <v>30</v>
      </c>
      <c r="P17" s="135"/>
      <c r="Q17" s="136"/>
      <c r="R17" s="74"/>
      <c r="S17" s="137" t="s">
        <v>45</v>
      </c>
      <c r="T17" s="137"/>
      <c r="U17" s="137"/>
      <c r="V17" s="137"/>
      <c r="W17" s="138" t="s">
        <v>49</v>
      </c>
      <c r="X17" s="139"/>
      <c r="Y17" s="139"/>
      <c r="Z17" s="139"/>
      <c r="AA17" s="123"/>
    </row>
    <row r="18" spans="1:63" x14ac:dyDescent="0.25">
      <c r="A18" s="91" t="s">
        <v>10</v>
      </c>
      <c r="B18" s="91" t="s">
        <v>0</v>
      </c>
      <c r="C18" s="93" t="s">
        <v>20</v>
      </c>
      <c r="D18" s="93" t="s">
        <v>25</v>
      </c>
      <c r="E18" s="93" t="s">
        <v>104</v>
      </c>
      <c r="F18" s="93" t="s">
        <v>105</v>
      </c>
      <c r="G18" s="93" t="s">
        <v>106</v>
      </c>
      <c r="H18" s="143" t="s">
        <v>8</v>
      </c>
      <c r="I18" s="93" t="s">
        <v>107</v>
      </c>
      <c r="J18" s="28" t="s">
        <v>3</v>
      </c>
      <c r="K18" s="28" t="s">
        <v>17</v>
      </c>
      <c r="L18" s="28" t="s">
        <v>25</v>
      </c>
      <c r="M18" s="35" t="s">
        <v>28</v>
      </c>
      <c r="N18" s="35" t="s">
        <v>29</v>
      </c>
      <c r="O18" s="35">
        <v>25</v>
      </c>
      <c r="P18" s="35">
        <v>12</v>
      </c>
      <c r="Q18" s="35">
        <v>6</v>
      </c>
      <c r="R18" s="35" t="s">
        <v>40</v>
      </c>
      <c r="S18" s="35" t="s">
        <v>33</v>
      </c>
      <c r="T18" s="35" t="s">
        <v>34</v>
      </c>
      <c r="U18" s="35" t="s">
        <v>35</v>
      </c>
      <c r="V18" s="36" t="s">
        <v>31</v>
      </c>
      <c r="W18" s="37" t="s">
        <v>136</v>
      </c>
      <c r="X18" s="37" t="s">
        <v>46</v>
      </c>
      <c r="Y18" s="37" t="s">
        <v>47</v>
      </c>
      <c r="Z18" s="37" t="s">
        <v>48</v>
      </c>
      <c r="AA18" s="124"/>
      <c r="AT18" s="80" t="s">
        <v>90</v>
      </c>
      <c r="AU18" s="81" t="s">
        <v>91</v>
      </c>
      <c r="AV18" s="1" t="s">
        <v>92</v>
      </c>
      <c r="AW18" s="80">
        <v>1270</v>
      </c>
      <c r="AX18" s="80">
        <v>650</v>
      </c>
      <c r="AY18" s="80">
        <v>400</v>
      </c>
      <c r="AZ18" s="80">
        <v>250</v>
      </c>
      <c r="BA18" s="1"/>
      <c r="BB18" s="1"/>
      <c r="BC18" s="1"/>
      <c r="BD18" s="1"/>
      <c r="BE18" s="1"/>
      <c r="BF18" s="1"/>
      <c r="BG18" s="1"/>
    </row>
    <row r="19" spans="1:63" ht="13.8" x14ac:dyDescent="0.25">
      <c r="A19">
        <v>1</v>
      </c>
      <c r="B19" s="6"/>
      <c r="C19" s="144">
        <v>30.6</v>
      </c>
      <c r="D19" s="144">
        <v>14.2</v>
      </c>
      <c r="E19" s="144">
        <v>6.2</v>
      </c>
      <c r="F19" s="144">
        <v>1.5</v>
      </c>
      <c r="G19" s="144">
        <v>1.7</v>
      </c>
      <c r="H19" s="141">
        <v>1</v>
      </c>
      <c r="I19" s="90">
        <v>38</v>
      </c>
      <c r="J19" s="101">
        <f>IF(H19=1,D19,"")</f>
        <v>14.2</v>
      </c>
      <c r="K19" s="9">
        <f>PI()/40000*C19^2</f>
        <v>7.354154242788348E-2</v>
      </c>
      <c r="L19" s="9">
        <f>IF(D19&lt;&gt;"",D19,$J$15*(1+($D$11+$E$11*$F$15/1000)*EXP($F$11*$J$15))*(1-EXP($G$11*C19/$J$15)))</f>
        <v>14.2</v>
      </c>
      <c r="M19" s="21">
        <f>$Q$8*(C19/100)^$R$8*L19^$S$8</f>
        <v>0.54545056460884966</v>
      </c>
      <c r="N19" s="21">
        <f>$Q$9*C19^$R$9*L19^$S$9</f>
        <v>0.39584600802179787</v>
      </c>
      <c r="O19" s="21">
        <f>$N19*EXP(-$Q$10*((O$18^$R$10)/($C19^$S$10)))</f>
        <v>0.2066322249633516</v>
      </c>
      <c r="P19" s="21">
        <f>$N19*EXP(-$Q$10*((P$18^$R$10)/($C19^$S$10)))</f>
        <v>0.38541106678736575</v>
      </c>
      <c r="Q19" s="21">
        <f>$N19*EXP(-$Q$10*((Q$18^$R$10)/($C19^$S$10)))</f>
        <v>0.39532735821093112</v>
      </c>
      <c r="R19" s="21">
        <f>C19*(-$W$8*(3.1/L19-1)+$X$8*(3.1^2/L19^2-1))^0.5</f>
        <v>28.831085651027806</v>
      </c>
      <c r="S19" s="21">
        <f>IF(R19&gt;=O$18,O19,0)</f>
        <v>0.2066322249633516</v>
      </c>
      <c r="T19" s="21">
        <f>IF(R19&gt;=P$18,P19-S19,0)</f>
        <v>0.17877884182401416</v>
      </c>
      <c r="U19" s="21">
        <f>IF(R19&gt;=Q$18,Q19-P19,0)</f>
        <v>9.916291423565371E-3</v>
      </c>
      <c r="V19" s="21">
        <f>N19-Q19</f>
        <v>5.1864981086674478E-4</v>
      </c>
      <c r="W19" s="21">
        <f>$W$2*C19^$X$2*L19^$Y$2</f>
        <v>214.76084724869642</v>
      </c>
      <c r="X19" s="21">
        <f>$W$3*C19^$X$3*L19^$Y$3</f>
        <v>40.80428352689681</v>
      </c>
      <c r="Y19" s="21">
        <f>$W$4*C19^$X$4*(L19/C19)^$Y$4</f>
        <v>52.107502908597326</v>
      </c>
      <c r="Z19" s="21">
        <f>$W$5*C19^$X$5*(L19/C19)^$Y$5</f>
        <v>20.322281210104087</v>
      </c>
      <c r="AA19" s="21"/>
      <c r="AT19" s="80">
        <v>1270</v>
      </c>
      <c r="AU19" s="81">
        <v>25</v>
      </c>
      <c r="AV19" s="1" t="s">
        <v>93</v>
      </c>
      <c r="AW19" s="1">
        <f>LN($AW$18)-AW20*LN($AU$19)</f>
        <v>13.442989859169582</v>
      </c>
      <c r="AX19" s="1">
        <f>LN($AX$18)-AX20*LN($AU$19)</f>
        <v>12.773190042606629</v>
      </c>
      <c r="AY19" s="1">
        <f>LN($AY$18)-AY20*LN($AU$19)</f>
        <v>12.287682226824927</v>
      </c>
      <c r="AZ19" s="1">
        <f>LN($AZ$18)-AZ20*LN($AU$19)</f>
        <v>11.817678597579192</v>
      </c>
      <c r="BA19" s="1"/>
      <c r="BB19" s="1"/>
      <c r="BC19" s="1"/>
      <c r="BD19" s="1"/>
      <c r="BE19" s="1"/>
      <c r="BF19" s="1"/>
      <c r="BG19" s="1"/>
    </row>
    <row r="20" spans="1:63" ht="13.8" x14ac:dyDescent="0.25">
      <c r="A20">
        <v>1</v>
      </c>
      <c r="B20" s="6"/>
      <c r="C20" s="140">
        <v>27.5</v>
      </c>
      <c r="D20" s="140">
        <v>19.2</v>
      </c>
      <c r="E20" s="142"/>
      <c r="F20" s="142"/>
      <c r="G20" s="142"/>
      <c r="H20" s="142">
        <v>1</v>
      </c>
      <c r="I20" s="90">
        <v>36</v>
      </c>
      <c r="J20" s="101">
        <f t="shared" ref="J20:J50" si="1">IF(H20=1,D20,"")</f>
        <v>19.2</v>
      </c>
      <c r="K20" s="9">
        <f t="shared" ref="K20:K50" si="2">PI()/40000*C20^2</f>
        <v>5.9395736106932023E-2</v>
      </c>
      <c r="L20" s="9">
        <f t="shared" ref="L20:L50" si="3">IF(D20&lt;&gt;"",D20,$J$15*(1+($D$11+$E$11*$F$15/1000)*EXP($F$11*$J$15))*(1-EXP($G$11*C20/$J$15)))</f>
        <v>19.2</v>
      </c>
      <c r="M20" s="21">
        <f t="shared" ref="M20:M50" si="4">$Q$8*(C20/100)^$R$8*L20^$S$8</f>
        <v>0.55708226566285635</v>
      </c>
      <c r="N20" s="21">
        <f t="shared" ref="N20:N50" si="5">$Q$9*C20^$R$9*L20^$S$9</f>
        <v>0.41772352796168155</v>
      </c>
      <c r="O20" s="21">
        <f t="shared" ref="O20:Q50" si="6">$N20*EXP(-$Q$10*((O$18^$R$10)/($C20^$S$10)))</f>
        <v>0.14896171052283172</v>
      </c>
      <c r="P20" s="21">
        <f t="shared" si="6"/>
        <v>0.40039284647582379</v>
      </c>
      <c r="Q20" s="21">
        <f t="shared" si="6"/>
        <v>0.41685573980004853</v>
      </c>
      <c r="R20" s="21">
        <f t="shared" ref="R20:R50" si="7">C20*(-$W$8*(3.1/L20-1)+$X$8*(3.1^2/L20^2-1))^0.5</f>
        <v>27.406963842363375</v>
      </c>
      <c r="S20" s="21">
        <f t="shared" ref="S20:S50" si="8">IF(R20&gt;=O$18,O20,0)</f>
        <v>0.14896171052283172</v>
      </c>
      <c r="T20" s="21">
        <f t="shared" ref="T20:T50" si="9">IF(R20&gt;=P$18,P20-S20,0)</f>
        <v>0.25143113595299205</v>
      </c>
      <c r="U20" s="21">
        <f t="shared" ref="U20:U50" si="10">IF(R20&gt;=Q$18,Q20-P20,0)</f>
        <v>1.6462893324224737E-2</v>
      </c>
      <c r="V20" s="21">
        <f t="shared" ref="V20:V50" si="11">N20-Q20</f>
        <v>8.6778816163302075E-4</v>
      </c>
      <c r="W20" s="21">
        <f t="shared" ref="W20:W50" si="12">$W$2*C20^$X$2*L20^$Y$2</f>
        <v>243.56681727913463</v>
      </c>
      <c r="X20" s="21">
        <f t="shared" ref="X20:X50" si="13">$W$3*C20^$X$3*L20^$Y$3</f>
        <v>40.881701496114459</v>
      </c>
      <c r="Y20" s="21">
        <f t="shared" ref="Y20:Y50" si="14">$W$4*C20^$X$4*(L20/C20)^$Y$4</f>
        <v>33.045756439761654</v>
      </c>
      <c r="Z20" s="21">
        <f t="shared" ref="Z20:Z50" si="15">$W$5*C20^$X$5*(L20/C20)^$Y$5</f>
        <v>13.053094045107478</v>
      </c>
      <c r="AA20" s="21"/>
      <c r="AC20" s="18" t="s">
        <v>70</v>
      </c>
      <c r="AD20" s="12"/>
      <c r="AE20" s="12"/>
      <c r="AF20" s="12"/>
      <c r="AT20" s="80" t="str">
        <f>CONCATENATE("máximo (",AW18,")")</f>
        <v>máximo (1270)</v>
      </c>
      <c r="AU20" s="81"/>
      <c r="AV20" s="1" t="s">
        <v>94</v>
      </c>
      <c r="AW20" s="1">
        <v>-1.9560299999999999</v>
      </c>
      <c r="AX20" s="1">
        <v>-1.9560299999999999</v>
      </c>
      <c r="AY20" s="1">
        <v>-1.9560299999999999</v>
      </c>
      <c r="AZ20" s="1">
        <v>-1.9560299999999999</v>
      </c>
      <c r="BA20" s="1"/>
      <c r="BB20" s="1"/>
      <c r="BC20" s="1"/>
      <c r="BD20" s="1"/>
      <c r="BE20" s="1"/>
      <c r="BF20" s="1"/>
      <c r="BG20" s="1"/>
    </row>
    <row r="21" spans="1:63" ht="13.8" x14ac:dyDescent="0.25">
      <c r="A21">
        <v>1</v>
      </c>
      <c r="B21" s="6"/>
      <c r="C21" s="144">
        <v>26.4</v>
      </c>
      <c r="D21" s="144">
        <v>14.9</v>
      </c>
      <c r="E21" s="144">
        <v>6.3</v>
      </c>
      <c r="F21" s="144">
        <v>2</v>
      </c>
      <c r="G21" s="144">
        <v>1.5</v>
      </c>
      <c r="H21" s="141">
        <v>1</v>
      </c>
      <c r="I21" s="90"/>
      <c r="J21" s="101">
        <f t="shared" si="1"/>
        <v>14.9</v>
      </c>
      <c r="K21" s="9">
        <f t="shared" si="2"/>
        <v>5.4739110396148552E-2</v>
      </c>
      <c r="L21" s="9">
        <f t="shared" si="3"/>
        <v>14.9</v>
      </c>
      <c r="M21" s="21">
        <f t="shared" si="4"/>
        <v>0.41761570615494686</v>
      </c>
      <c r="N21" s="21">
        <f t="shared" si="5"/>
        <v>0.30301915974942822</v>
      </c>
      <c r="O21" s="21">
        <f t="shared" si="6"/>
        <v>8.8576391871079269E-2</v>
      </c>
      <c r="P21" s="21">
        <f t="shared" si="6"/>
        <v>0.28808421810487195</v>
      </c>
      <c r="Q21" s="21">
        <f t="shared" si="6"/>
        <v>0.30226844518371165</v>
      </c>
      <c r="R21" s="21">
        <f t="shared" si="7"/>
        <v>25.13346169530082</v>
      </c>
      <c r="S21" s="21">
        <f t="shared" si="8"/>
        <v>8.8576391871079269E-2</v>
      </c>
      <c r="T21" s="21">
        <f t="shared" si="9"/>
        <v>0.19950782623379268</v>
      </c>
      <c r="U21" s="21">
        <f t="shared" si="10"/>
        <v>1.4184227078839706E-2</v>
      </c>
      <c r="V21" s="21">
        <f t="shared" si="11"/>
        <v>7.5071456571657036E-4</v>
      </c>
      <c r="W21" s="21">
        <f t="shared" si="12"/>
        <v>169.92286981464605</v>
      </c>
      <c r="X21" s="21">
        <f t="shared" si="13"/>
        <v>31.960647825637064</v>
      </c>
      <c r="Y21" s="21">
        <f t="shared" si="14"/>
        <v>32.107706127599116</v>
      </c>
      <c r="Z21" s="21">
        <f t="shared" si="15"/>
        <v>14.371720315307764</v>
      </c>
      <c r="AA21" s="21"/>
      <c r="AC21" s="12"/>
      <c r="AD21" s="12"/>
      <c r="AE21" s="12"/>
      <c r="AF21" s="12"/>
      <c r="AT21" s="82"/>
      <c r="AU21" s="125" t="s">
        <v>98</v>
      </c>
      <c r="AV21" s="122">
        <v>2</v>
      </c>
      <c r="AW21">
        <f>AW$20*$AV21+AW$19</f>
        <v>9.5309298591695821</v>
      </c>
      <c r="AX21">
        <f>AX$20*$AV21+AX$19</f>
        <v>8.8611300426066286</v>
      </c>
      <c r="AY21">
        <f>AY$20*$AV21+AY$19</f>
        <v>8.3756222268249267</v>
      </c>
      <c r="AZ21">
        <f>AZ$20*$AV21+AZ$19</f>
        <v>7.9056185975791919</v>
      </c>
      <c r="BA21" s="56"/>
    </row>
    <row r="22" spans="1:63" ht="13.8" x14ac:dyDescent="0.25">
      <c r="A22">
        <v>1</v>
      </c>
      <c r="B22" s="6"/>
      <c r="C22" s="140">
        <v>26</v>
      </c>
      <c r="D22" s="140">
        <v>14.5</v>
      </c>
      <c r="E22" s="142"/>
      <c r="F22" s="142"/>
      <c r="G22" s="142"/>
      <c r="H22" s="142">
        <v>1</v>
      </c>
      <c r="I22" s="90"/>
      <c r="J22" s="101">
        <f t="shared" si="1"/>
        <v>14.5</v>
      </c>
      <c r="K22" s="9">
        <f t="shared" si="2"/>
        <v>5.3092915845667506E-2</v>
      </c>
      <c r="L22" s="9">
        <f t="shared" si="3"/>
        <v>14.5</v>
      </c>
      <c r="M22" s="21">
        <f t="shared" si="4"/>
        <v>0.39587337848578991</v>
      </c>
      <c r="N22" s="21">
        <f t="shared" si="5"/>
        <v>0.28610277732270906</v>
      </c>
      <c r="O22" s="21">
        <f t="shared" si="6"/>
        <v>7.6906382024300848E-2</v>
      </c>
      <c r="P22" s="21">
        <f t="shared" si="6"/>
        <v>0.27106616157562852</v>
      </c>
      <c r="Q22" s="21">
        <f t="shared" si="6"/>
        <v>0.28534572434343347</v>
      </c>
      <c r="R22" s="21">
        <f t="shared" si="7"/>
        <v>24.609609350231203</v>
      </c>
      <c r="S22" s="21">
        <f t="shared" si="8"/>
        <v>0</v>
      </c>
      <c r="T22" s="21">
        <f t="shared" si="9"/>
        <v>0.27106616157562852</v>
      </c>
      <c r="U22" s="21">
        <f t="shared" si="10"/>
        <v>1.4279562767804954E-2</v>
      </c>
      <c r="V22" s="21">
        <f t="shared" si="11"/>
        <v>7.5705297927558535E-4</v>
      </c>
      <c r="W22" s="21">
        <f t="shared" si="12"/>
        <v>160.05348597987927</v>
      </c>
      <c r="X22" s="21">
        <f t="shared" si="13"/>
        <v>30.499075715704972</v>
      </c>
      <c r="Y22" s="21">
        <f>$W$4*C22^$X$4*(L22/C22)^$Y$4</f>
        <v>30.929129132561741</v>
      </c>
      <c r="Z22" s="21">
        <f t="shared" si="15"/>
        <v>14.190859711295062</v>
      </c>
      <c r="AA22" s="21"/>
      <c r="AC22" s="12" t="s">
        <v>69</v>
      </c>
      <c r="AD22" s="12"/>
      <c r="AE22" s="12"/>
      <c r="AF22" s="12"/>
      <c r="AT22" s="82"/>
      <c r="AU22" s="125"/>
      <c r="AV22" s="122">
        <f>AV21+0.1</f>
        <v>2.1</v>
      </c>
      <c r="AW22">
        <f>AW$20*$AV22+AW$19</f>
        <v>9.3353268591695837</v>
      </c>
      <c r="AX22">
        <f t="shared" ref="AX22:AX39" si="16">AX$20*$AV22+AX$19</f>
        <v>8.6655270426066302</v>
      </c>
      <c r="AY22">
        <f t="shared" ref="AY22:AZ36" si="17">AY$20*$AV22+AY$19</f>
        <v>8.1800192268249283</v>
      </c>
      <c r="AZ22">
        <f t="shared" si="17"/>
        <v>7.7100155975791926</v>
      </c>
      <c r="BA22" s="56"/>
    </row>
    <row r="23" spans="1:63" ht="14.4" thickBot="1" x14ac:dyDescent="0.3">
      <c r="A23">
        <v>1</v>
      </c>
      <c r="B23" s="6"/>
      <c r="C23" s="144">
        <v>25.7</v>
      </c>
      <c r="D23" s="144">
        <v>15.2</v>
      </c>
      <c r="E23" s="144">
        <v>4.9000000000000004</v>
      </c>
      <c r="F23" s="144">
        <v>2.2000000000000002</v>
      </c>
      <c r="G23" s="144">
        <v>1.6</v>
      </c>
      <c r="H23" s="141">
        <v>1</v>
      </c>
      <c r="I23" s="90"/>
      <c r="J23" s="101">
        <f t="shared" si="1"/>
        <v>15.2</v>
      </c>
      <c r="K23" s="9">
        <f t="shared" si="2"/>
        <v>5.1874763294238062E-2</v>
      </c>
      <c r="L23" s="9">
        <f t="shared" si="3"/>
        <v>15.2</v>
      </c>
      <c r="M23" s="21">
        <f t="shared" si="4"/>
        <v>0.40138759950827901</v>
      </c>
      <c r="N23" s="21">
        <f t="shared" si="5"/>
        <v>0.29163528166565345</v>
      </c>
      <c r="O23" s="21">
        <f t="shared" si="6"/>
        <v>7.327468299716268E-2</v>
      </c>
      <c r="P23" s="21">
        <f t="shared" si="6"/>
        <v>0.27554221539835716</v>
      </c>
      <c r="Q23" s="21">
        <f t="shared" si="6"/>
        <v>0.29082397989237724</v>
      </c>
      <c r="R23" s="21">
        <f t="shared" si="7"/>
        <v>24.56817194935611</v>
      </c>
      <c r="S23" s="21">
        <f t="shared" si="8"/>
        <v>0</v>
      </c>
      <c r="T23" s="21">
        <f t="shared" si="9"/>
        <v>0.27554221539835716</v>
      </c>
      <c r="U23" s="21">
        <f t="shared" si="10"/>
        <v>1.5281764494020078E-2</v>
      </c>
      <c r="V23" s="21">
        <f t="shared" si="11"/>
        <v>8.1130177327620734E-4</v>
      </c>
      <c r="W23" s="21">
        <f t="shared" si="12"/>
        <v>164.85809899647668</v>
      </c>
      <c r="X23" s="21">
        <f t="shared" si="13"/>
        <v>30.800211765376048</v>
      </c>
      <c r="Y23" s="21">
        <f t="shared" si="14"/>
        <v>29.269839207284956</v>
      </c>
      <c r="Z23" s="21">
        <f t="shared" si="15"/>
        <v>13.385309132903235</v>
      </c>
      <c r="AA23" s="21"/>
      <c r="AC23" s="12"/>
      <c r="AD23" s="12"/>
      <c r="AE23" s="12"/>
      <c r="AF23" s="12"/>
      <c r="AT23" s="82"/>
      <c r="AU23" s="125"/>
      <c r="AV23" s="122">
        <f t="shared" ref="AV23:AV37" si="18">AV22+0.1</f>
        <v>2.2000000000000002</v>
      </c>
      <c r="AW23">
        <f t="shared" ref="AW23:AW39" si="19">AW$20*$AV23+AW$19</f>
        <v>9.1397238591695817</v>
      </c>
      <c r="AX23">
        <f t="shared" si="16"/>
        <v>8.4699240426066282</v>
      </c>
      <c r="AY23">
        <f t="shared" si="17"/>
        <v>7.9844162268249272</v>
      </c>
      <c r="AZ23">
        <f t="shared" si="17"/>
        <v>7.5144125975791924</v>
      </c>
      <c r="BA23" s="56"/>
    </row>
    <row r="24" spans="1:63" ht="13.5" customHeight="1" thickBot="1" x14ac:dyDescent="0.3">
      <c r="A24">
        <v>1</v>
      </c>
      <c r="B24" s="6"/>
      <c r="C24" s="89">
        <v>25.4</v>
      </c>
      <c r="D24" s="88"/>
      <c r="E24" s="88"/>
      <c r="F24" s="88"/>
      <c r="G24" s="88"/>
      <c r="H24" s="90">
        <v>0</v>
      </c>
      <c r="I24" s="88"/>
      <c r="J24" t="str">
        <f t="shared" si="1"/>
        <v/>
      </c>
      <c r="K24" s="9">
        <f t="shared" si="2"/>
        <v>5.0670747909749771E-2</v>
      </c>
      <c r="L24" s="9">
        <f t="shared" si="3"/>
        <v>15.095635647788397</v>
      </c>
      <c r="M24" s="21">
        <f t="shared" si="4"/>
        <v>0.38958488384046208</v>
      </c>
      <c r="N24" s="21">
        <f t="shared" si="5"/>
        <v>0.28268291794528616</v>
      </c>
      <c r="O24" s="21">
        <f t="shared" si="6"/>
        <v>6.6101050426820074E-2</v>
      </c>
      <c r="P24" s="21">
        <f t="shared" si="6"/>
        <v>0.26629640041773561</v>
      </c>
      <c r="Q24" s="21">
        <f t="shared" si="6"/>
        <v>0.28185567362682157</v>
      </c>
      <c r="R24" s="21">
        <f t="shared" si="7"/>
        <v>24.247067759644178</v>
      </c>
      <c r="S24" s="21">
        <f t="shared" si="8"/>
        <v>0</v>
      </c>
      <c r="T24" s="21">
        <f>IF(R24&gt;=P$18,P24-S24,0)</f>
        <v>0.26629640041773561</v>
      </c>
      <c r="U24" s="21">
        <f t="shared" si="10"/>
        <v>1.5559273209085955E-2</v>
      </c>
      <c r="V24" s="21">
        <f t="shared" si="11"/>
        <v>8.2724431846459279E-4</v>
      </c>
      <c r="W24" s="21">
        <f t="shared" si="12"/>
        <v>159.90841731535153</v>
      </c>
      <c r="X24" s="21">
        <f t="shared" si="13"/>
        <v>29.991664301385356</v>
      </c>
      <c r="Y24" s="21">
        <f t="shared" si="14"/>
        <v>28.283185108334749</v>
      </c>
      <c r="Z24" s="21">
        <f t="shared" si="15"/>
        <v>13.122330732145571</v>
      </c>
      <c r="AA24" s="21"/>
      <c r="AC24" s="96" t="s">
        <v>13</v>
      </c>
      <c r="AD24" s="97" t="s">
        <v>21</v>
      </c>
      <c r="AE24" s="97" t="s">
        <v>39</v>
      </c>
      <c r="AF24" s="97" t="s">
        <v>110</v>
      </c>
      <c r="AG24" s="97" t="s">
        <v>111</v>
      </c>
      <c r="AT24" s="82"/>
      <c r="AU24" s="125"/>
      <c r="AV24" s="122">
        <f t="shared" si="18"/>
        <v>2.3000000000000003</v>
      </c>
      <c r="AW24">
        <f t="shared" si="19"/>
        <v>8.9441208591695833</v>
      </c>
      <c r="AX24">
        <f t="shared" si="16"/>
        <v>8.2743210426066298</v>
      </c>
      <c r="AY24">
        <f t="shared" si="17"/>
        <v>7.788813226824927</v>
      </c>
      <c r="AZ24">
        <f t="shared" si="17"/>
        <v>7.3188095975791922</v>
      </c>
      <c r="BA24" s="56"/>
    </row>
    <row r="25" spans="1:63" ht="14.4" thickBot="1" x14ac:dyDescent="0.3">
      <c r="A25">
        <v>1</v>
      </c>
      <c r="B25" s="6"/>
      <c r="C25" s="89">
        <v>25.4</v>
      </c>
      <c r="D25" s="88"/>
      <c r="E25" s="88"/>
      <c r="F25" s="88"/>
      <c r="G25" s="88"/>
      <c r="H25" s="90">
        <v>0</v>
      </c>
      <c r="I25" s="88"/>
      <c r="J25" t="str">
        <f t="shared" si="1"/>
        <v/>
      </c>
      <c r="K25" s="9">
        <f t="shared" si="2"/>
        <v>5.0670747909749771E-2</v>
      </c>
      <c r="L25" s="9">
        <f t="shared" si="3"/>
        <v>15.095635647788397</v>
      </c>
      <c r="M25" s="21">
        <f t="shared" si="4"/>
        <v>0.38958488384046208</v>
      </c>
      <c r="N25" s="21">
        <f t="shared" si="5"/>
        <v>0.28268291794528616</v>
      </c>
      <c r="O25" s="21">
        <f t="shared" si="6"/>
        <v>6.6101050426820074E-2</v>
      </c>
      <c r="P25" s="21">
        <f t="shared" si="6"/>
        <v>0.26629640041773561</v>
      </c>
      <c r="Q25" s="21">
        <f t="shared" si="6"/>
        <v>0.28185567362682157</v>
      </c>
      <c r="R25" s="21">
        <f>C25*(-$W$8*(3.1/L25-1)+$X$8*(3.1^2/L25^2-1))^0.5</f>
        <v>24.247067759644178</v>
      </c>
      <c r="S25" s="21">
        <f t="shared" si="8"/>
        <v>0</v>
      </c>
      <c r="T25" s="21">
        <f t="shared" si="9"/>
        <v>0.26629640041773561</v>
      </c>
      <c r="U25" s="21">
        <f t="shared" si="10"/>
        <v>1.5559273209085955E-2</v>
      </c>
      <c r="V25" s="21">
        <f t="shared" si="11"/>
        <v>8.2724431846459279E-4</v>
      </c>
      <c r="W25" s="21">
        <f t="shared" si="12"/>
        <v>159.90841731535153</v>
      </c>
      <c r="X25" s="21">
        <f t="shared" si="13"/>
        <v>29.991664301385356</v>
      </c>
      <c r="Y25" s="21">
        <f t="shared" si="14"/>
        <v>28.283185108334749</v>
      </c>
      <c r="Z25" s="21">
        <f t="shared" si="15"/>
        <v>13.122330732145571</v>
      </c>
      <c r="AA25" s="21"/>
      <c r="AC25" s="98" t="s">
        <v>113</v>
      </c>
      <c r="AD25" s="99">
        <v>1</v>
      </c>
      <c r="AE25" s="99">
        <v>69</v>
      </c>
      <c r="AF25" s="99">
        <v>0.45820300000000003</v>
      </c>
      <c r="AG25" s="99">
        <v>40</v>
      </c>
      <c r="AT25" s="82"/>
      <c r="AU25" s="125"/>
      <c r="AV25" s="122">
        <f t="shared" si="18"/>
        <v>2.4000000000000004</v>
      </c>
      <c r="AW25">
        <f t="shared" si="19"/>
        <v>8.7485178591695814</v>
      </c>
      <c r="AX25">
        <f t="shared" si="16"/>
        <v>8.0787180426066278</v>
      </c>
      <c r="AY25">
        <f t="shared" si="17"/>
        <v>7.5932102268249269</v>
      </c>
      <c r="AZ25">
        <f t="shared" si="17"/>
        <v>7.1232065975791921</v>
      </c>
      <c r="BA25" s="56"/>
    </row>
    <row r="26" spans="1:63" ht="13.8" x14ac:dyDescent="0.25">
      <c r="A26">
        <v>1</v>
      </c>
      <c r="B26" s="6"/>
      <c r="C26" s="89">
        <v>25.2</v>
      </c>
      <c r="D26" s="88"/>
      <c r="E26" s="88"/>
      <c r="F26" s="88"/>
      <c r="G26" s="88"/>
      <c r="H26" s="90">
        <v>0</v>
      </c>
      <c r="I26" s="88"/>
      <c r="J26" t="str">
        <f t="shared" si="1"/>
        <v/>
      </c>
      <c r="K26" s="9">
        <f t="shared" si="2"/>
        <v>4.987592496839155E-2</v>
      </c>
      <c r="L26" s="9">
        <f t="shared" si="3"/>
        <v>15.055570142143662</v>
      </c>
      <c r="M26" s="21">
        <f t="shared" si="4"/>
        <v>0.38244274517915244</v>
      </c>
      <c r="N26" s="21">
        <f t="shared" si="5"/>
        <v>0.27731932746658228</v>
      </c>
      <c r="O26" s="21">
        <f t="shared" si="6"/>
        <v>6.1655368404561123E-2</v>
      </c>
      <c r="P26" s="21">
        <f t="shared" si="6"/>
        <v>0.26070247952797709</v>
      </c>
      <c r="Q26" s="21">
        <f t="shared" si="6"/>
        <v>0.27647963651274576</v>
      </c>
      <c r="R26" s="21">
        <f t="shared" si="7"/>
        <v>24.042949485151517</v>
      </c>
      <c r="S26" s="21">
        <f t="shared" si="8"/>
        <v>0</v>
      </c>
      <c r="T26" s="21">
        <f t="shared" si="9"/>
        <v>0.26070247952797709</v>
      </c>
      <c r="U26" s="21">
        <f t="shared" si="10"/>
        <v>1.577715698476867E-2</v>
      </c>
      <c r="V26" s="21">
        <f t="shared" si="11"/>
        <v>8.3969095383651382E-4</v>
      </c>
      <c r="W26" s="21">
        <f t="shared" si="12"/>
        <v>157.00380161460302</v>
      </c>
      <c r="X26" s="21">
        <f t="shared" si="13"/>
        <v>29.498388710178375</v>
      </c>
      <c r="Y26" s="21">
        <f t="shared" si="14"/>
        <v>27.616171548025171</v>
      </c>
      <c r="Z26" s="21">
        <f t="shared" si="15"/>
        <v>12.929752618664551</v>
      </c>
      <c r="AA26" s="21"/>
      <c r="AC26" s="100"/>
      <c r="AD26" s="100"/>
      <c r="AE26" s="100"/>
      <c r="AF26" s="100"/>
      <c r="AG26" s="100">
        <v>50</v>
      </c>
      <c r="AH26" s="101" t="s">
        <v>112</v>
      </c>
      <c r="AT26" s="82"/>
      <c r="AU26" s="125"/>
      <c r="AV26" s="122">
        <f t="shared" si="18"/>
        <v>2.5000000000000004</v>
      </c>
      <c r="AW26">
        <f t="shared" si="19"/>
        <v>8.5529148591695829</v>
      </c>
      <c r="AX26">
        <f t="shared" si="16"/>
        <v>7.8831150426066285</v>
      </c>
      <c r="AY26">
        <f t="shared" si="17"/>
        <v>7.3976072268249267</v>
      </c>
      <c r="AZ26">
        <f t="shared" si="17"/>
        <v>6.9276035975791919</v>
      </c>
      <c r="BA26" s="56"/>
    </row>
    <row r="27" spans="1:63" ht="13.8" x14ac:dyDescent="0.25">
      <c r="A27">
        <v>1</v>
      </c>
      <c r="B27" s="6"/>
      <c r="C27" s="89">
        <v>24.2</v>
      </c>
      <c r="D27" s="88"/>
      <c r="E27" s="88"/>
      <c r="F27" s="88"/>
      <c r="G27" s="88"/>
      <c r="H27" s="90">
        <v>0</v>
      </c>
      <c r="I27" s="88"/>
      <c r="J27" t="str">
        <f t="shared" si="1"/>
        <v/>
      </c>
      <c r="K27" s="9">
        <f t="shared" si="2"/>
        <v>4.5996058041208161E-2</v>
      </c>
      <c r="L27" s="9">
        <f t="shared" si="3"/>
        <v>14.846009008023563</v>
      </c>
      <c r="M27" s="21">
        <f t="shared" si="4"/>
        <v>0.34774885067683059</v>
      </c>
      <c r="N27" s="21">
        <f t="shared" si="5"/>
        <v>0.25130688447325311</v>
      </c>
      <c r="O27" s="21">
        <f t="shared" si="6"/>
        <v>4.1918673930913634E-2</v>
      </c>
      <c r="P27" s="21">
        <f t="shared" si="6"/>
        <v>0.23347551738565214</v>
      </c>
      <c r="Q27" s="21">
        <f t="shared" si="6"/>
        <v>0.25040080809338527</v>
      </c>
      <c r="R27" s="21">
        <f t="shared" si="7"/>
        <v>23.021457437803111</v>
      </c>
      <c r="S27" s="21">
        <f t="shared" si="8"/>
        <v>0</v>
      </c>
      <c r="T27" s="21">
        <f t="shared" si="9"/>
        <v>0.23347551738565214</v>
      </c>
      <c r="U27" s="21">
        <f t="shared" si="10"/>
        <v>1.6925290707733132E-2</v>
      </c>
      <c r="V27" s="21">
        <f t="shared" si="11"/>
        <v>9.0607637986783729E-4</v>
      </c>
      <c r="W27" s="21">
        <f t="shared" si="12"/>
        <v>142.86894777621276</v>
      </c>
      <c r="X27" s="21">
        <f t="shared" si="13"/>
        <v>27.088803017435737</v>
      </c>
      <c r="Y27" s="21">
        <f t="shared" si="14"/>
        <v>24.442324942961623</v>
      </c>
      <c r="Z27" s="21">
        <f t="shared" si="15"/>
        <v>11.990258379871939</v>
      </c>
      <c r="AA27" s="21"/>
      <c r="AT27" s="82"/>
      <c r="AU27" s="125"/>
      <c r="AV27" s="122">
        <f t="shared" si="18"/>
        <v>2.6000000000000005</v>
      </c>
      <c r="AW27">
        <f t="shared" si="19"/>
        <v>8.357311859169581</v>
      </c>
      <c r="AX27">
        <f t="shared" si="16"/>
        <v>7.6875120426066283</v>
      </c>
      <c r="AY27">
        <f t="shared" si="17"/>
        <v>7.2020042268249265</v>
      </c>
      <c r="AZ27">
        <f t="shared" si="17"/>
        <v>6.7320005975791917</v>
      </c>
      <c r="BA27" s="56"/>
      <c r="BE27" s="7"/>
      <c r="BF27" s="7"/>
      <c r="BG27" s="7"/>
    </row>
    <row r="28" spans="1:63" ht="13.8" x14ac:dyDescent="0.25">
      <c r="A28">
        <v>1</v>
      </c>
      <c r="B28" s="6"/>
      <c r="C28" s="89">
        <v>24.1</v>
      </c>
      <c r="D28" s="88"/>
      <c r="E28" s="88"/>
      <c r="F28" s="88"/>
      <c r="G28" s="88"/>
      <c r="H28" s="90">
        <v>0</v>
      </c>
      <c r="I28" s="88"/>
      <c r="J28" t="str">
        <f t="shared" si="1"/>
        <v/>
      </c>
      <c r="K28" s="9">
        <f t="shared" si="2"/>
        <v>4.5616710728287199E-2</v>
      </c>
      <c r="L28" s="9">
        <f t="shared" si="3"/>
        <v>14.824178641092882</v>
      </c>
      <c r="M28" s="21">
        <f t="shared" si="4"/>
        <v>0.34437280641099716</v>
      </c>
      <c r="N28" s="21">
        <f t="shared" si="5"/>
        <v>0.24877953690708765</v>
      </c>
      <c r="O28" s="21">
        <f t="shared" si="6"/>
        <v>4.0177521870249172E-2</v>
      </c>
      <c r="P28" s="21">
        <f>$N28*EXP(-$Q$10*((P$18^$R$10)/($C28^$S$10)))</f>
        <v>0.23082076207710217</v>
      </c>
      <c r="Q28" s="21">
        <f t="shared" si="6"/>
        <v>0.24786641758404768</v>
      </c>
      <c r="R28" s="21">
        <f t="shared" si="7"/>
        <v>22.919224684843122</v>
      </c>
      <c r="S28" s="21">
        <f t="shared" si="8"/>
        <v>0</v>
      </c>
      <c r="T28" s="21">
        <f t="shared" si="9"/>
        <v>0.23082076207710217</v>
      </c>
      <c r="U28" s="21">
        <f t="shared" si="10"/>
        <v>1.7045655506945506E-2</v>
      </c>
      <c r="V28" s="21">
        <f t="shared" si="11"/>
        <v>9.1311932303997367E-4</v>
      </c>
      <c r="W28" s="21">
        <f t="shared" si="12"/>
        <v>141.49124018065231</v>
      </c>
      <c r="X28" s="21">
        <f t="shared" si="13"/>
        <v>26.853080575961648</v>
      </c>
      <c r="Y28" s="21">
        <f t="shared" si="14"/>
        <v>24.139424783906655</v>
      </c>
      <c r="Z28" s="21">
        <f t="shared" si="15"/>
        <v>11.898442761230566</v>
      </c>
      <c r="AA28" s="21"/>
      <c r="AC28" s="18" t="s">
        <v>99</v>
      </c>
      <c r="AD28" s="15"/>
      <c r="AE28" s="15"/>
      <c r="AF28" s="12"/>
      <c r="AG28" s="12"/>
      <c r="AH28" s="12"/>
      <c r="AI28" s="12"/>
      <c r="AT28" s="82"/>
      <c r="AU28" s="125"/>
      <c r="AV28" s="122">
        <f t="shared" si="18"/>
        <v>2.7000000000000006</v>
      </c>
      <c r="AW28">
        <f t="shared" si="19"/>
        <v>8.1617088591695826</v>
      </c>
      <c r="AX28">
        <f t="shared" si="16"/>
        <v>7.4919090426066282</v>
      </c>
      <c r="AY28">
        <f t="shared" si="17"/>
        <v>7.0064012268249263</v>
      </c>
      <c r="AZ28">
        <f t="shared" si="17"/>
        <v>6.5363975975791915</v>
      </c>
      <c r="BA28" s="56"/>
      <c r="BE28" s="7"/>
      <c r="BF28" s="7"/>
      <c r="BG28" s="7"/>
      <c r="BK28" s="10"/>
    </row>
    <row r="29" spans="1:63" ht="13.8" x14ac:dyDescent="0.25">
      <c r="A29">
        <v>1</v>
      </c>
      <c r="B29" s="6"/>
      <c r="C29" s="89">
        <v>24.1</v>
      </c>
      <c r="D29" s="88"/>
      <c r="E29" s="88"/>
      <c r="F29" s="88"/>
      <c r="G29" s="88"/>
      <c r="H29" s="90">
        <v>0</v>
      </c>
      <c r="I29" s="88"/>
      <c r="J29" t="str">
        <f t="shared" si="1"/>
        <v/>
      </c>
      <c r="K29" s="9">
        <f t="shared" si="2"/>
        <v>4.5616710728287199E-2</v>
      </c>
      <c r="L29" s="9">
        <f t="shared" si="3"/>
        <v>14.824178641092882</v>
      </c>
      <c r="M29" s="21">
        <f t="shared" si="4"/>
        <v>0.34437280641099716</v>
      </c>
      <c r="N29" s="21">
        <f t="shared" si="5"/>
        <v>0.24877953690708765</v>
      </c>
      <c r="O29" s="21">
        <f t="shared" si="6"/>
        <v>4.0177521870249172E-2</v>
      </c>
      <c r="P29" s="21">
        <f t="shared" si="6"/>
        <v>0.23082076207710217</v>
      </c>
      <c r="Q29" s="21">
        <f t="shared" si="6"/>
        <v>0.24786641758404768</v>
      </c>
      <c r="R29" s="21">
        <f t="shared" si="7"/>
        <v>22.919224684843122</v>
      </c>
      <c r="S29" s="21">
        <f t="shared" si="8"/>
        <v>0</v>
      </c>
      <c r="T29" s="21">
        <f t="shared" si="9"/>
        <v>0.23082076207710217</v>
      </c>
      <c r="U29" s="21">
        <f t="shared" si="10"/>
        <v>1.7045655506945506E-2</v>
      </c>
      <c r="V29" s="21">
        <f t="shared" si="11"/>
        <v>9.1311932303997367E-4</v>
      </c>
      <c r="W29" s="21">
        <f t="shared" si="12"/>
        <v>141.49124018065231</v>
      </c>
      <c r="X29" s="21">
        <f t="shared" si="13"/>
        <v>26.853080575961648</v>
      </c>
      <c r="Y29" s="21">
        <f t="shared" si="14"/>
        <v>24.139424783906655</v>
      </c>
      <c r="Z29" s="21">
        <f t="shared" si="15"/>
        <v>11.898442761230566</v>
      </c>
      <c r="AA29" s="21"/>
      <c r="AC29" s="15"/>
      <c r="AD29" s="15"/>
      <c r="AE29" s="15"/>
      <c r="AF29" s="12"/>
      <c r="AG29" s="12"/>
      <c r="AH29" s="12"/>
      <c r="AI29" s="12"/>
      <c r="AT29" s="82"/>
      <c r="AU29" s="125"/>
      <c r="AV29" s="122">
        <f t="shared" si="18"/>
        <v>2.8000000000000007</v>
      </c>
      <c r="AW29">
        <f t="shared" si="19"/>
        <v>7.9661058591695815</v>
      </c>
      <c r="AX29">
        <f t="shared" si="16"/>
        <v>7.296306042606628</v>
      </c>
      <c r="AY29">
        <f t="shared" si="17"/>
        <v>6.8107982268249261</v>
      </c>
      <c r="AZ29">
        <f t="shared" si="17"/>
        <v>6.3407945975791913</v>
      </c>
      <c r="BA29" s="56"/>
      <c r="BE29" s="83"/>
      <c r="BF29" s="83"/>
      <c r="BG29" s="7"/>
      <c r="BK29" s="10"/>
    </row>
    <row r="30" spans="1:63" ht="13.8" x14ac:dyDescent="0.25">
      <c r="A30">
        <v>1</v>
      </c>
      <c r="B30" s="6"/>
      <c r="C30" s="89">
        <v>23.8</v>
      </c>
      <c r="D30" s="88"/>
      <c r="E30" s="88"/>
      <c r="F30" s="88"/>
      <c r="G30" s="88"/>
      <c r="H30" s="90">
        <v>0</v>
      </c>
      <c r="I30" s="88"/>
      <c r="J30" t="str">
        <f t="shared" si="1"/>
        <v/>
      </c>
      <c r="K30" s="9">
        <f t="shared" si="2"/>
        <v>4.4488093567485065E-2</v>
      </c>
      <c r="L30" s="9">
        <f t="shared" si="3"/>
        <v>14.757700111183514</v>
      </c>
      <c r="M30" s="21">
        <f t="shared" si="4"/>
        <v>0.33434666105080302</v>
      </c>
      <c r="N30" s="21">
        <f t="shared" si="5"/>
        <v>0.24127816942934016</v>
      </c>
      <c r="O30" s="21">
        <f t="shared" si="6"/>
        <v>3.5210306986415182E-2</v>
      </c>
      <c r="P30" s="21">
        <f t="shared" si="6"/>
        <v>0.22293045766320133</v>
      </c>
      <c r="Q30" s="21">
        <f t="shared" si="6"/>
        <v>0.24034345017195421</v>
      </c>
      <c r="R30" s="21">
        <f t="shared" si="7"/>
        <v>22.612434122351182</v>
      </c>
      <c r="S30" s="21">
        <f t="shared" si="8"/>
        <v>0</v>
      </c>
      <c r="T30" s="21">
        <f t="shared" si="9"/>
        <v>0.22293045766320133</v>
      </c>
      <c r="U30" s="21">
        <f t="shared" si="10"/>
        <v>1.7412992508752889E-2</v>
      </c>
      <c r="V30" s="21">
        <f t="shared" si="11"/>
        <v>9.3471925738594641E-4</v>
      </c>
      <c r="W30" s="21">
        <f t="shared" si="12"/>
        <v>137.39737039936284</v>
      </c>
      <c r="X30" s="21">
        <f t="shared" si="13"/>
        <v>26.15166121506844</v>
      </c>
      <c r="Y30" s="21">
        <f t="shared" si="14"/>
        <v>23.246181470926732</v>
      </c>
      <c r="Z30" s="21">
        <f t="shared" si="15"/>
        <v>11.625310793474563</v>
      </c>
      <c r="AA30" s="21"/>
      <c r="AC30" s="15"/>
      <c r="AD30" s="15"/>
      <c r="AE30" s="15"/>
      <c r="AF30" s="12"/>
      <c r="AG30" s="12"/>
      <c r="AH30" s="12"/>
      <c r="AI30" s="12"/>
      <c r="AT30" s="82"/>
      <c r="AU30" s="125"/>
      <c r="AV30" s="122">
        <f t="shared" si="18"/>
        <v>2.9000000000000008</v>
      </c>
      <c r="AW30">
        <f t="shared" si="19"/>
        <v>7.7705028591695813</v>
      </c>
      <c r="AX30">
        <f t="shared" si="16"/>
        <v>7.1007030426066278</v>
      </c>
      <c r="AY30">
        <f t="shared" si="17"/>
        <v>6.6151952268249259</v>
      </c>
      <c r="AZ30">
        <f t="shared" si="17"/>
        <v>6.1451915975791911</v>
      </c>
      <c r="BA30" s="56"/>
      <c r="BE30" s="84"/>
      <c r="BF30" s="84"/>
      <c r="BG30" s="7"/>
    </row>
    <row r="31" spans="1:63" ht="13.8" x14ac:dyDescent="0.25">
      <c r="A31">
        <v>1</v>
      </c>
      <c r="B31" s="6"/>
      <c r="C31" s="89">
        <v>23.5</v>
      </c>
      <c r="D31" s="88"/>
      <c r="E31" s="88"/>
      <c r="F31" s="88"/>
      <c r="G31" s="88"/>
      <c r="H31" s="90">
        <v>0</v>
      </c>
      <c r="I31" s="88"/>
      <c r="J31" t="str">
        <f t="shared" si="1"/>
        <v/>
      </c>
      <c r="K31" s="9">
        <f t="shared" si="2"/>
        <v>4.3373613573624084E-2</v>
      </c>
      <c r="L31" s="9">
        <f t="shared" si="3"/>
        <v>14.689714351434141</v>
      </c>
      <c r="M31" s="21">
        <f>$Q$8*(C31/100)^$R$8*L31^$S$8</f>
        <v>0.32447360820202897</v>
      </c>
      <c r="N31" s="21">
        <f t="shared" si="5"/>
        <v>0.23389785323226112</v>
      </c>
      <c r="O31" s="21">
        <f t="shared" si="6"/>
        <v>3.0627305311140648E-2</v>
      </c>
      <c r="P31" s="21">
        <f t="shared" si="6"/>
        <v>0.21515098352674059</v>
      </c>
      <c r="Q31" s="21">
        <f t="shared" si="6"/>
        <v>0.23294080319976251</v>
      </c>
      <c r="R31" s="21">
        <f t="shared" si="7"/>
        <v>22.305504233280555</v>
      </c>
      <c r="S31" s="21">
        <f t="shared" si="8"/>
        <v>0</v>
      </c>
      <c r="T31" s="21">
        <f t="shared" si="9"/>
        <v>0.21515098352674059</v>
      </c>
      <c r="U31" s="21">
        <f t="shared" si="10"/>
        <v>1.7789819673021928E-2</v>
      </c>
      <c r="V31" s="21">
        <f t="shared" si="11"/>
        <v>9.5705003249860199E-4</v>
      </c>
      <c r="W31" s="21">
        <f t="shared" si="12"/>
        <v>133.36254586667266</v>
      </c>
      <c r="X31" s="21">
        <f t="shared" si="13"/>
        <v>25.45889095016657</v>
      </c>
      <c r="Y31" s="21">
        <f t="shared" si="14"/>
        <v>22.375866967692581</v>
      </c>
      <c r="Z31" s="21">
        <f t="shared" si="15"/>
        <v>11.355641371784586</v>
      </c>
      <c r="AA31" s="21"/>
      <c r="AC31" s="15"/>
      <c r="AD31" s="15"/>
      <c r="AE31" s="15"/>
      <c r="AF31" s="12"/>
      <c r="AG31" s="12"/>
      <c r="AH31" s="12"/>
      <c r="AI31" s="12"/>
      <c r="AT31" s="82"/>
      <c r="AU31" s="125"/>
      <c r="AV31" s="122">
        <f t="shared" si="18"/>
        <v>3.0000000000000009</v>
      </c>
      <c r="AW31">
        <f t="shared" si="19"/>
        <v>7.5748998591695811</v>
      </c>
      <c r="AX31">
        <f t="shared" si="16"/>
        <v>6.9051000426066276</v>
      </c>
      <c r="AY31">
        <f t="shared" si="17"/>
        <v>6.4195922268249257</v>
      </c>
      <c r="AZ31">
        <f t="shared" si="17"/>
        <v>5.9495885975791909</v>
      </c>
      <c r="BA31" s="56"/>
      <c r="BE31" s="84"/>
      <c r="BF31" s="84"/>
      <c r="BG31" s="7"/>
      <c r="BJ31" s="1" t="s">
        <v>98</v>
      </c>
      <c r="BK31" s="1" t="s">
        <v>97</v>
      </c>
    </row>
    <row r="32" spans="1:63" ht="14.4" thickBot="1" x14ac:dyDescent="0.3">
      <c r="A32">
        <v>1</v>
      </c>
      <c r="B32" s="6"/>
      <c r="C32" s="89">
        <v>23.2</v>
      </c>
      <c r="D32" s="88"/>
      <c r="E32" s="88"/>
      <c r="F32" s="88"/>
      <c r="G32" s="88"/>
      <c r="H32" s="90">
        <v>0</v>
      </c>
      <c r="I32" s="88"/>
      <c r="J32" t="str">
        <f t="shared" si="1"/>
        <v/>
      </c>
      <c r="K32" s="9">
        <f t="shared" si="2"/>
        <v>4.2273270746704256E-2</v>
      </c>
      <c r="L32" s="9">
        <f t="shared" si="3"/>
        <v>14.620187189281172</v>
      </c>
      <c r="M32" s="21">
        <f t="shared" si="4"/>
        <v>0.31475378600697129</v>
      </c>
      <c r="N32" s="21">
        <f t="shared" si="5"/>
        <v>0.22663863191078998</v>
      </c>
      <c r="O32" s="21">
        <f t="shared" si="6"/>
        <v>2.6426517793060284E-2</v>
      </c>
      <c r="P32" s="21">
        <f t="shared" si="6"/>
        <v>0.2074822023799868</v>
      </c>
      <c r="Q32" s="21">
        <f t="shared" si="6"/>
        <v>0.22565848775001218</v>
      </c>
      <c r="R32" s="21">
        <f t="shared" si="7"/>
        <v>21.998433896662842</v>
      </c>
      <c r="S32" s="21">
        <f t="shared" si="8"/>
        <v>0</v>
      </c>
      <c r="T32" s="21">
        <f t="shared" si="9"/>
        <v>0.2074822023799868</v>
      </c>
      <c r="U32" s="21">
        <f t="shared" si="10"/>
        <v>1.8176285370025386E-2</v>
      </c>
      <c r="V32" s="21">
        <f t="shared" si="11"/>
        <v>9.8014416077779609E-4</v>
      </c>
      <c r="W32" s="21">
        <f t="shared" si="12"/>
        <v>129.386978401292</v>
      </c>
      <c r="X32" s="21">
        <f t="shared" si="13"/>
        <v>24.774804885931527</v>
      </c>
      <c r="Y32" s="21">
        <f t="shared" si="14"/>
        <v>21.528151808343736</v>
      </c>
      <c r="Z32" s="21">
        <f t="shared" si="15"/>
        <v>11.089421831370935</v>
      </c>
      <c r="AA32" s="21"/>
      <c r="AC32" s="15"/>
      <c r="AD32" s="15"/>
      <c r="AE32" s="15"/>
      <c r="AF32" s="12"/>
      <c r="AH32" s="12"/>
      <c r="AI32" s="12"/>
      <c r="AT32" s="82"/>
      <c r="AU32" s="125"/>
      <c r="AV32" s="122">
        <f t="shared" si="18"/>
        <v>3.100000000000001</v>
      </c>
      <c r="AW32">
        <f t="shared" si="19"/>
        <v>7.3792968591695809</v>
      </c>
      <c r="AX32">
        <f t="shared" si="16"/>
        <v>6.7094970426066274</v>
      </c>
      <c r="AY32">
        <f t="shared" si="17"/>
        <v>6.2239892268249255</v>
      </c>
      <c r="AZ32">
        <f t="shared" si="17"/>
        <v>5.7539855975791907</v>
      </c>
      <c r="BA32" s="56"/>
      <c r="BE32" s="84"/>
      <c r="BF32" s="84"/>
      <c r="BG32" s="7"/>
      <c r="BJ32" s="81">
        <f>LN(J4)</f>
        <v>3.0994771700770287</v>
      </c>
      <c r="BK32">
        <f>LN(F15)</f>
        <v>6.4614681763537174</v>
      </c>
    </row>
    <row r="33" spans="1:62" ht="14.4" thickBot="1" x14ac:dyDescent="0.3">
      <c r="A33">
        <v>1</v>
      </c>
      <c r="B33" s="6"/>
      <c r="C33" s="145">
        <v>23.2</v>
      </c>
      <c r="D33" s="145">
        <v>14.5</v>
      </c>
      <c r="E33" s="145">
        <v>7.6</v>
      </c>
      <c r="F33" s="145">
        <v>2.8</v>
      </c>
      <c r="G33" s="145">
        <v>1</v>
      </c>
      <c r="H33" s="90">
        <v>0</v>
      </c>
      <c r="I33" s="88"/>
      <c r="J33" t="str">
        <f t="shared" si="1"/>
        <v/>
      </c>
      <c r="K33" s="9">
        <f t="shared" si="2"/>
        <v>4.2273270746704256E-2</v>
      </c>
      <c r="L33" s="9">
        <f t="shared" si="3"/>
        <v>14.5</v>
      </c>
      <c r="M33" s="21">
        <f t="shared" si="4"/>
        <v>0.31267409730268819</v>
      </c>
      <c r="N33" s="21">
        <f t="shared" si="5"/>
        <v>0.22491267735145268</v>
      </c>
      <c r="O33" s="21">
        <f t="shared" si="6"/>
        <v>2.6225268039265909E-2</v>
      </c>
      <c r="P33" s="21">
        <f t="shared" si="6"/>
        <v>0.20590213260035609</v>
      </c>
      <c r="Q33" s="21">
        <f t="shared" si="6"/>
        <v>0.22393999742688581</v>
      </c>
      <c r="R33" s="21">
        <f t="shared" si="7"/>
        <v>21.959343727898609</v>
      </c>
      <c r="S33" s="21">
        <f t="shared" si="8"/>
        <v>0</v>
      </c>
      <c r="T33" s="21">
        <f t="shared" si="9"/>
        <v>0.20590213260035609</v>
      </c>
      <c r="U33" s="21">
        <f t="shared" si="10"/>
        <v>1.803786482652972E-2</v>
      </c>
      <c r="V33" s="21">
        <f t="shared" si="11"/>
        <v>9.7267992456687158E-4</v>
      </c>
      <c r="W33" s="21">
        <f t="shared" si="12"/>
        <v>128.21049258154511</v>
      </c>
      <c r="X33" s="21">
        <f t="shared" si="13"/>
        <v>24.638285883814895</v>
      </c>
      <c r="Y33" s="21">
        <f t="shared" si="14"/>
        <v>21.598248262131651</v>
      </c>
      <c r="Z33" s="21">
        <f t="shared" si="15"/>
        <v>11.155491045265892</v>
      </c>
      <c r="AA33" s="21"/>
      <c r="AC33" s="96" t="s">
        <v>13</v>
      </c>
      <c r="AD33" s="97" t="s">
        <v>21</v>
      </c>
      <c r="AE33" s="97" t="s">
        <v>114</v>
      </c>
      <c r="AF33" s="97" t="s">
        <v>115</v>
      </c>
      <c r="AG33" s="97" t="s">
        <v>116</v>
      </c>
      <c r="AH33" s="97" t="s">
        <v>117</v>
      </c>
      <c r="AI33" s="26"/>
      <c r="AT33" s="82"/>
      <c r="AU33" s="125"/>
      <c r="AV33" s="122">
        <f t="shared" si="18"/>
        <v>3.2000000000000011</v>
      </c>
      <c r="AW33">
        <f t="shared" si="19"/>
        <v>7.1836938591695807</v>
      </c>
      <c r="AX33">
        <f t="shared" si="16"/>
        <v>6.5138940426066272</v>
      </c>
      <c r="AY33">
        <f t="shared" si="17"/>
        <v>6.0283862268249253</v>
      </c>
      <c r="AZ33">
        <f t="shared" si="17"/>
        <v>5.5583825975791905</v>
      </c>
      <c r="BA33" s="56"/>
      <c r="BE33" s="84"/>
      <c r="BF33" s="84"/>
      <c r="BG33" s="7"/>
      <c r="BJ33">
        <f>LN(25)</f>
        <v>3.2188758248682006</v>
      </c>
    </row>
    <row r="34" spans="1:62" ht="14.4" thickBot="1" x14ac:dyDescent="0.3">
      <c r="A34">
        <v>1</v>
      </c>
      <c r="B34" s="8"/>
      <c r="C34" s="89">
        <v>22.7</v>
      </c>
      <c r="D34" s="90"/>
      <c r="E34" s="90"/>
      <c r="F34" s="90"/>
      <c r="G34" s="90"/>
      <c r="H34" s="90">
        <v>0</v>
      </c>
      <c r="I34" s="88"/>
      <c r="J34" t="str">
        <f t="shared" si="1"/>
        <v/>
      </c>
      <c r="K34" s="9">
        <f t="shared" si="2"/>
        <v>4.0470781961707107E-2</v>
      </c>
      <c r="L34" s="9">
        <f t="shared" si="3"/>
        <v>14.500787970187138</v>
      </c>
      <c r="M34" s="21">
        <f t="shared" si="4"/>
        <v>0.29889494924392307</v>
      </c>
      <c r="N34" s="21">
        <f t="shared" si="5"/>
        <v>0.21480912398469065</v>
      </c>
      <c r="O34" s="21">
        <f t="shared" si="6"/>
        <v>2.0261699386761711E-2</v>
      </c>
      <c r="P34" s="21">
        <f t="shared" si="6"/>
        <v>0.19494654836480738</v>
      </c>
      <c r="Q34" s="21">
        <f t="shared" si="6"/>
        <v>0.21378869921474572</v>
      </c>
      <c r="R34" s="21">
        <f t="shared" si="7"/>
        <v>21.486334848250692</v>
      </c>
      <c r="S34" s="21">
        <f t="shared" si="8"/>
        <v>0</v>
      </c>
      <c r="T34" s="21">
        <f t="shared" si="9"/>
        <v>0.19494654836480738</v>
      </c>
      <c r="U34" s="21">
        <f t="shared" si="10"/>
        <v>1.8842150849938344E-2</v>
      </c>
      <c r="V34" s="21">
        <f t="shared" si="11"/>
        <v>1.0204247699449331E-3</v>
      </c>
      <c r="W34" s="21">
        <f t="shared" si="12"/>
        <v>122.89328450477041</v>
      </c>
      <c r="X34" s="21">
        <f t="shared" si="13"/>
        <v>23.654055708980241</v>
      </c>
      <c r="Y34" s="21">
        <f t="shared" si="14"/>
        <v>20.164622519369338</v>
      </c>
      <c r="Z34" s="21">
        <f t="shared" si="15"/>
        <v>10.653354294096317</v>
      </c>
      <c r="AA34" s="21"/>
      <c r="AC34" s="98" t="s">
        <v>113</v>
      </c>
      <c r="AD34" s="99">
        <v>1</v>
      </c>
      <c r="AE34" s="99">
        <v>7.9500000000000001E-2</v>
      </c>
      <c r="AF34" s="99">
        <v>2.1100000000000001E-2</v>
      </c>
      <c r="AG34" s="99">
        <v>2.5399999999999999E-2</v>
      </c>
      <c r="AH34" s="99">
        <v>-1.1657999999999999</v>
      </c>
      <c r="AI34" s="27"/>
      <c r="AT34" s="82"/>
      <c r="AU34" s="125"/>
      <c r="AV34" s="122">
        <f t="shared" si="18"/>
        <v>3.3000000000000012</v>
      </c>
      <c r="AW34">
        <f t="shared" si="19"/>
        <v>6.9880908591695805</v>
      </c>
      <c r="AX34">
        <f t="shared" si="16"/>
        <v>6.318291042606627</v>
      </c>
      <c r="AY34">
        <f t="shared" si="17"/>
        <v>5.8327832268249251</v>
      </c>
      <c r="AZ34">
        <f t="shared" si="17"/>
        <v>5.3627795975791903</v>
      </c>
      <c r="BA34" s="56"/>
      <c r="BE34" s="84"/>
      <c r="BF34" s="84"/>
      <c r="BG34" s="7"/>
      <c r="BJ34" s="81"/>
    </row>
    <row r="35" spans="1:62" ht="13.8" x14ac:dyDescent="0.25">
      <c r="A35">
        <v>1</v>
      </c>
      <c r="C35" s="89">
        <v>22.7</v>
      </c>
      <c r="D35" s="90"/>
      <c r="E35" s="90"/>
      <c r="F35" s="90"/>
      <c r="G35" s="90"/>
      <c r="H35" s="90">
        <v>0</v>
      </c>
      <c r="I35" s="88"/>
      <c r="J35" t="str">
        <f t="shared" si="1"/>
        <v/>
      </c>
      <c r="K35" s="9">
        <f t="shared" si="2"/>
        <v>4.0470781961707107E-2</v>
      </c>
      <c r="L35" s="9">
        <f t="shared" si="3"/>
        <v>14.500787970187138</v>
      </c>
      <c r="M35" s="21">
        <f t="shared" si="4"/>
        <v>0.29889494924392307</v>
      </c>
      <c r="N35" s="21">
        <f t="shared" si="5"/>
        <v>0.21480912398469065</v>
      </c>
      <c r="O35" s="21">
        <f t="shared" si="6"/>
        <v>2.0261699386761711E-2</v>
      </c>
      <c r="P35" s="21">
        <f t="shared" si="6"/>
        <v>0.19494654836480738</v>
      </c>
      <c r="Q35" s="21">
        <f t="shared" si="6"/>
        <v>0.21378869921474572</v>
      </c>
      <c r="R35" s="21">
        <f t="shared" si="7"/>
        <v>21.486334848250692</v>
      </c>
      <c r="S35" s="21">
        <f t="shared" si="8"/>
        <v>0</v>
      </c>
      <c r="T35" s="21">
        <f t="shared" si="9"/>
        <v>0.19494654836480738</v>
      </c>
      <c r="U35" s="21">
        <f t="shared" si="10"/>
        <v>1.8842150849938344E-2</v>
      </c>
      <c r="V35" s="21">
        <f t="shared" si="11"/>
        <v>1.0204247699449331E-3</v>
      </c>
      <c r="W35" s="21">
        <f t="shared" si="12"/>
        <v>122.89328450477041</v>
      </c>
      <c r="X35" s="21">
        <f t="shared" si="13"/>
        <v>23.654055708980241</v>
      </c>
      <c r="Y35" s="21">
        <f t="shared" si="14"/>
        <v>20.164622519369338</v>
      </c>
      <c r="Z35" s="21">
        <f t="shared" si="15"/>
        <v>10.653354294096317</v>
      </c>
      <c r="AA35" s="21"/>
      <c r="AT35" s="82"/>
      <c r="AU35" s="125"/>
      <c r="AV35" s="122">
        <f t="shared" si="18"/>
        <v>3.4000000000000012</v>
      </c>
      <c r="AW35">
        <f t="shared" si="19"/>
        <v>6.7924878591695803</v>
      </c>
      <c r="AX35">
        <f t="shared" si="16"/>
        <v>6.1226880426066268</v>
      </c>
      <c r="AY35">
        <f t="shared" si="17"/>
        <v>5.6371802268249249</v>
      </c>
      <c r="AZ35">
        <f t="shared" si="17"/>
        <v>5.1671765975791901</v>
      </c>
      <c r="BA35" s="56"/>
      <c r="BE35" s="7"/>
      <c r="BF35" s="7"/>
      <c r="BG35" s="7"/>
      <c r="BJ35" s="81"/>
    </row>
    <row r="36" spans="1:62" ht="13.8" x14ac:dyDescent="0.25">
      <c r="A36">
        <v>1</v>
      </c>
      <c r="C36" s="89">
        <v>22.4</v>
      </c>
      <c r="D36" s="90"/>
      <c r="E36" s="90"/>
      <c r="F36" s="90"/>
      <c r="G36" s="90"/>
      <c r="H36" s="90">
        <v>0</v>
      </c>
      <c r="I36" s="88"/>
      <c r="J36" t="str">
        <f t="shared" si="1"/>
        <v/>
      </c>
      <c r="K36" s="9">
        <f t="shared" si="2"/>
        <v>3.9408138246630357E-2</v>
      </c>
      <c r="L36" s="9">
        <f t="shared" si="3"/>
        <v>14.426977387811602</v>
      </c>
      <c r="M36" s="21">
        <f t="shared" si="4"/>
        <v>0.28958436615644201</v>
      </c>
      <c r="N36" s="21">
        <f t="shared" si="5"/>
        <v>0.20787297704700003</v>
      </c>
      <c r="O36" s="21">
        <f t="shared" si="6"/>
        <v>1.7052202891814517E-2</v>
      </c>
      <c r="P36" s="21">
        <f t="shared" si="6"/>
        <v>0.1875723733676343</v>
      </c>
      <c r="Q36" s="21">
        <f t="shared" si="6"/>
        <v>0.20682724953403867</v>
      </c>
      <c r="R36" s="21">
        <f t="shared" si="7"/>
        <v>21.178884495170372</v>
      </c>
      <c r="S36" s="21">
        <f t="shared" si="8"/>
        <v>0</v>
      </c>
      <c r="T36" s="21">
        <f t="shared" si="9"/>
        <v>0.1875723733676343</v>
      </c>
      <c r="U36" s="21">
        <f t="shared" si="10"/>
        <v>1.9254876166404367E-2</v>
      </c>
      <c r="V36" s="21">
        <f t="shared" si="11"/>
        <v>1.0457275129613641E-3</v>
      </c>
      <c r="W36" s="21">
        <f t="shared" si="12"/>
        <v>119.07675683703222</v>
      </c>
      <c r="X36" s="21">
        <f t="shared" si="13"/>
        <v>22.993300761491383</v>
      </c>
      <c r="Y36" s="21">
        <f t="shared" si="14"/>
        <v>19.375569721979303</v>
      </c>
      <c r="Z36" s="21">
        <f t="shared" si="15"/>
        <v>10.396271785775502</v>
      </c>
      <c r="AA36" s="21"/>
      <c r="AT36" s="82"/>
      <c r="AU36" s="125"/>
      <c r="AV36" s="122">
        <f t="shared" si="18"/>
        <v>3.5000000000000013</v>
      </c>
      <c r="AW36">
        <f t="shared" si="19"/>
        <v>6.5968848591695801</v>
      </c>
      <c r="AX36">
        <f t="shared" si="16"/>
        <v>5.9270850426066266</v>
      </c>
      <c r="AY36">
        <f t="shared" si="17"/>
        <v>5.4415772268249247</v>
      </c>
      <c r="AZ36">
        <f t="shared" si="17"/>
        <v>4.9715735975791899</v>
      </c>
      <c r="BA36" s="56"/>
      <c r="BE36" s="7"/>
      <c r="BF36" s="7"/>
      <c r="BG36" s="7"/>
    </row>
    <row r="37" spans="1:62" ht="13.8" x14ac:dyDescent="0.25">
      <c r="A37">
        <v>1</v>
      </c>
      <c r="C37" s="89">
        <v>22.1</v>
      </c>
      <c r="D37" s="90"/>
      <c r="E37" s="90"/>
      <c r="F37" s="90"/>
      <c r="G37" s="90"/>
      <c r="H37" s="90">
        <v>0</v>
      </c>
      <c r="I37" s="88"/>
      <c r="J37" t="str">
        <f t="shared" si="1"/>
        <v/>
      </c>
      <c r="K37" s="9">
        <f t="shared" si="2"/>
        <v>3.8359631698494774E-2</v>
      </c>
      <c r="L37" s="9">
        <f t="shared" si="3"/>
        <v>14.351493340147107</v>
      </c>
      <c r="M37" s="21">
        <f t="shared" si="4"/>
        <v>0.28042746011573905</v>
      </c>
      <c r="N37" s="21">
        <f t="shared" si="5"/>
        <v>0.20105801688501954</v>
      </c>
      <c r="O37" s="21">
        <f t="shared" si="6"/>
        <v>1.4196634692043348E-2</v>
      </c>
      <c r="P37" s="21">
        <f t="shared" si="6"/>
        <v>0.18030851378963308</v>
      </c>
      <c r="Q37" s="21">
        <f t="shared" si="6"/>
        <v>0.19998608775143104</v>
      </c>
      <c r="R37" s="21">
        <f t="shared" si="7"/>
        <v>20.871289573149365</v>
      </c>
      <c r="S37" s="21">
        <f t="shared" si="8"/>
        <v>0</v>
      </c>
      <c r="T37" s="21">
        <f t="shared" si="9"/>
        <v>0.18030851378963308</v>
      </c>
      <c r="U37" s="21">
        <f t="shared" si="10"/>
        <v>1.9677573961797951E-2</v>
      </c>
      <c r="V37" s="21">
        <f t="shared" si="11"/>
        <v>1.0719291335885006E-3</v>
      </c>
      <c r="W37" s="21">
        <f t="shared" si="12"/>
        <v>115.32024516815979</v>
      </c>
      <c r="X37" s="21">
        <f t="shared" si="13"/>
        <v>22.341360484080226</v>
      </c>
      <c r="Y37" s="21">
        <f t="shared" si="14"/>
        <v>18.607917466863295</v>
      </c>
      <c r="Z37" s="21">
        <f t="shared" si="15"/>
        <v>10.142591903273807</v>
      </c>
      <c r="AA37" s="21"/>
      <c r="AC37" s="18" t="s">
        <v>87</v>
      </c>
      <c r="AD37" s="15"/>
      <c r="AE37" s="15"/>
      <c r="AF37" s="12"/>
      <c r="AG37" s="12"/>
      <c r="AH37" s="12"/>
      <c r="AI37" s="12"/>
      <c r="AT37" s="82"/>
      <c r="AU37" s="125"/>
      <c r="AV37" s="122">
        <f t="shared" si="18"/>
        <v>3.6000000000000014</v>
      </c>
      <c r="AW37">
        <f t="shared" si="19"/>
        <v>6.4012818591695799</v>
      </c>
      <c r="AX37">
        <f t="shared" si="16"/>
        <v>5.7314820426066264</v>
      </c>
      <c r="AY37">
        <f t="shared" ref="AY37:AZ39" si="20">AY$20*$AV37+AY$19</f>
        <v>5.2459742268249245</v>
      </c>
      <c r="AZ37">
        <f t="shared" si="20"/>
        <v>4.7759705975791897</v>
      </c>
      <c r="BA37" s="56"/>
      <c r="BE37" s="85"/>
      <c r="BF37" s="85"/>
      <c r="BG37" s="85"/>
    </row>
    <row r="38" spans="1:62" ht="13.8" x14ac:dyDescent="0.25">
      <c r="A38">
        <v>1</v>
      </c>
      <c r="C38" s="89">
        <v>21.7</v>
      </c>
      <c r="D38" s="90"/>
      <c r="E38" s="90"/>
      <c r="F38" s="90"/>
      <c r="G38" s="90"/>
      <c r="H38" s="90">
        <v>0</v>
      </c>
      <c r="I38" s="88"/>
      <c r="J38" t="str">
        <f t="shared" si="1"/>
        <v/>
      </c>
      <c r="K38" s="9">
        <f t="shared" si="2"/>
        <v>3.6983614116222439E-2</v>
      </c>
      <c r="L38" s="9">
        <f t="shared" si="3"/>
        <v>14.248179073560253</v>
      </c>
      <c r="M38" s="21">
        <f t="shared" si="4"/>
        <v>0.26845748135105896</v>
      </c>
      <c r="N38" s="21">
        <f t="shared" si="5"/>
        <v>0.19215992161101358</v>
      </c>
      <c r="O38" s="21">
        <f t="shared" si="6"/>
        <v>1.0915471321293923E-2</v>
      </c>
      <c r="P38" s="21">
        <f t="shared" si="6"/>
        <v>0.17079489345640045</v>
      </c>
      <c r="Q38" s="21">
        <f t="shared" si="6"/>
        <v>0.19105158582407214</v>
      </c>
      <c r="R38" s="21">
        <f t="shared" si="7"/>
        <v>20.460936175767586</v>
      </c>
      <c r="S38" s="21">
        <f t="shared" si="8"/>
        <v>0</v>
      </c>
      <c r="T38" s="21">
        <f t="shared" si="9"/>
        <v>0.17079489345640045</v>
      </c>
      <c r="U38" s="21">
        <f t="shared" si="10"/>
        <v>2.0256692367671691E-2</v>
      </c>
      <c r="V38" s="21">
        <f t="shared" si="11"/>
        <v>1.1083357869414445E-3</v>
      </c>
      <c r="W38" s="21">
        <f t="shared" si="12"/>
        <v>110.40526752221226</v>
      </c>
      <c r="X38" s="21">
        <f t="shared" si="13"/>
        <v>21.485880684194331</v>
      </c>
      <c r="Y38" s="21">
        <f t="shared" si="14"/>
        <v>17.617110383384613</v>
      </c>
      <c r="Z38" s="21">
        <f t="shared" si="15"/>
        <v>9.8096223768174511</v>
      </c>
      <c r="AA38" s="21"/>
      <c r="AC38" s="12"/>
      <c r="AD38" s="12"/>
      <c r="AE38" s="12"/>
      <c r="AF38" s="12"/>
      <c r="AG38" s="12"/>
      <c r="AH38" s="12"/>
      <c r="AI38" s="12"/>
      <c r="AT38" s="82"/>
      <c r="AU38" s="125"/>
      <c r="AV38" s="122">
        <f>AV37+0.1</f>
        <v>3.7000000000000015</v>
      </c>
      <c r="AW38">
        <f t="shared" si="19"/>
        <v>6.2056788591695797</v>
      </c>
      <c r="AX38">
        <f t="shared" si="16"/>
        <v>5.5358790426066262</v>
      </c>
      <c r="AY38">
        <f t="shared" si="20"/>
        <v>5.0503712268249243</v>
      </c>
      <c r="AZ38">
        <f t="shared" si="20"/>
        <v>4.5803675975791895</v>
      </c>
      <c r="BA38" s="56"/>
      <c r="BE38" s="84"/>
      <c r="BF38" s="84"/>
      <c r="BG38" s="84"/>
    </row>
    <row r="39" spans="1:62" ht="13.8" x14ac:dyDescent="0.25">
      <c r="A39">
        <v>1</v>
      </c>
      <c r="C39" s="145">
        <v>21.6</v>
      </c>
      <c r="D39" s="145">
        <v>17.7</v>
      </c>
      <c r="E39" s="145">
        <v>5.8</v>
      </c>
      <c r="F39" s="145">
        <v>0.6</v>
      </c>
      <c r="G39" s="145">
        <v>1.9</v>
      </c>
      <c r="H39" s="90">
        <v>0</v>
      </c>
      <c r="I39" s="88"/>
      <c r="J39" t="str">
        <f t="shared" si="1"/>
        <v/>
      </c>
      <c r="K39" s="9">
        <f t="shared" si="2"/>
        <v>3.6643536711471351E-2</v>
      </c>
      <c r="L39" s="9">
        <f t="shared" si="3"/>
        <v>17.7</v>
      </c>
      <c r="M39" s="21">
        <f t="shared" si="4"/>
        <v>0.3165083033922757</v>
      </c>
      <c r="N39" s="21">
        <f t="shared" si="5"/>
        <v>0.23263650910375913</v>
      </c>
      <c r="O39" s="21">
        <f t="shared" si="6"/>
        <v>1.2472687640732172E-2</v>
      </c>
      <c r="P39" s="21">
        <f t="shared" si="6"/>
        <v>0.20628069023973697</v>
      </c>
      <c r="Q39" s="21">
        <f t="shared" si="6"/>
        <v>0.23126775772342134</v>
      </c>
      <c r="R39" s="21">
        <f t="shared" si="7"/>
        <v>21.244362518016338</v>
      </c>
      <c r="S39" s="21">
        <f t="shared" si="8"/>
        <v>0</v>
      </c>
      <c r="T39" s="21">
        <f t="shared" si="9"/>
        <v>0.20628069023973697</v>
      </c>
      <c r="U39" s="21">
        <f t="shared" si="10"/>
        <v>2.4987067483684372E-2</v>
      </c>
      <c r="V39" s="21">
        <f t="shared" si="11"/>
        <v>1.3687513803377904E-3</v>
      </c>
      <c r="W39" s="21">
        <f t="shared" si="12"/>
        <v>139.10391190112503</v>
      </c>
      <c r="X39" s="21">
        <f t="shared" si="13"/>
        <v>24.629927927115453</v>
      </c>
      <c r="Y39" s="21">
        <f t="shared" si="14"/>
        <v>15.940818057154091</v>
      </c>
      <c r="Z39" s="21">
        <f t="shared" si="15"/>
        <v>8.3103088653638366</v>
      </c>
      <c r="AA39" s="21"/>
      <c r="AC39" s="12"/>
      <c r="AD39" s="12"/>
      <c r="AE39" s="12"/>
      <c r="AF39" s="12"/>
      <c r="AG39" s="12"/>
      <c r="AH39" s="12"/>
      <c r="AI39" s="12"/>
      <c r="AT39" s="82"/>
      <c r="AU39" s="125"/>
      <c r="AV39" s="122">
        <f>AV38+0.1</f>
        <v>3.8000000000000016</v>
      </c>
      <c r="AW39">
        <f t="shared" si="19"/>
        <v>6.0100758591695795</v>
      </c>
      <c r="AX39">
        <f t="shared" si="16"/>
        <v>5.340276042606626</v>
      </c>
      <c r="AY39">
        <f t="shared" si="20"/>
        <v>4.8547682268249241</v>
      </c>
      <c r="AZ39">
        <f t="shared" si="20"/>
        <v>4.3847645975791893</v>
      </c>
      <c r="BA39" s="56"/>
      <c r="BE39" s="84"/>
      <c r="BF39" s="84"/>
      <c r="BG39" s="84"/>
    </row>
    <row r="40" spans="1:62" ht="14.4" thickBot="1" x14ac:dyDescent="0.3">
      <c r="A40">
        <v>1</v>
      </c>
      <c r="C40" s="89">
        <v>21.5</v>
      </c>
      <c r="D40" s="90"/>
      <c r="E40" s="90"/>
      <c r="F40" s="90"/>
      <c r="G40" s="90"/>
      <c r="H40" s="90">
        <v>0</v>
      </c>
      <c r="I40" s="88"/>
      <c r="J40" t="str">
        <f t="shared" si="1"/>
        <v/>
      </c>
      <c r="K40" s="9">
        <f t="shared" si="2"/>
        <v>3.6305030103047045E-2</v>
      </c>
      <c r="L40" s="9">
        <f t="shared" si="3"/>
        <v>14.195352222623709</v>
      </c>
      <c r="M40" s="21">
        <f t="shared" si="4"/>
        <v>0.26257508042717725</v>
      </c>
      <c r="N40" s="21">
        <f t="shared" si="5"/>
        <v>0.18779166284280355</v>
      </c>
      <c r="O40" s="21">
        <f t="shared" si="6"/>
        <v>9.4893243769027663E-3</v>
      </c>
      <c r="P40" s="21">
        <f t="shared" si="6"/>
        <v>0.16611158950571603</v>
      </c>
      <c r="Q40" s="21">
        <f t="shared" si="6"/>
        <v>0.18666446348756832</v>
      </c>
      <c r="R40" s="21">
        <f t="shared" si="7"/>
        <v>20.25566150877976</v>
      </c>
      <c r="S40" s="21">
        <f t="shared" si="8"/>
        <v>0</v>
      </c>
      <c r="T40" s="21">
        <f t="shared" si="9"/>
        <v>0.16611158950571603</v>
      </c>
      <c r="U40" s="21">
        <f t="shared" si="10"/>
        <v>2.0552873981852293E-2</v>
      </c>
      <c r="V40" s="21">
        <f t="shared" si="11"/>
        <v>1.1271993552352255E-3</v>
      </c>
      <c r="W40" s="21">
        <f t="shared" si="12"/>
        <v>107.98806912302956</v>
      </c>
      <c r="X40" s="21">
        <f t="shared" si="13"/>
        <v>21.06406795747991</v>
      </c>
      <c r="Y40" s="21">
        <f t="shared" si="14"/>
        <v>17.135518235366352</v>
      </c>
      <c r="Z40" s="21">
        <f t="shared" si="15"/>
        <v>9.6453875241078961</v>
      </c>
      <c r="AA40" s="21"/>
      <c r="AC40" s="12"/>
      <c r="AD40" s="12"/>
      <c r="AE40" s="12"/>
      <c r="AF40" s="12"/>
      <c r="AG40" s="12"/>
      <c r="AH40" s="12"/>
      <c r="AI40" s="12"/>
      <c r="AT40" s="82"/>
      <c r="AU40" s="56"/>
      <c r="AV40" s="1"/>
      <c r="AW40" s="1"/>
      <c r="AX40" s="1"/>
      <c r="AY40" s="1"/>
      <c r="AZ40" s="1"/>
      <c r="BA40" s="56"/>
      <c r="BE40" s="84"/>
      <c r="BF40" s="84"/>
      <c r="BG40" s="84"/>
    </row>
    <row r="41" spans="1:62" ht="14.4" thickBot="1" x14ac:dyDescent="0.3">
      <c r="A41">
        <v>1</v>
      </c>
      <c r="C41" s="89">
        <v>21.1</v>
      </c>
      <c r="D41" s="90"/>
      <c r="E41" s="90"/>
      <c r="F41" s="90"/>
      <c r="G41" s="90"/>
      <c r="H41" s="90">
        <v>0</v>
      </c>
      <c r="I41" s="88"/>
      <c r="J41" t="str">
        <f t="shared" si="1"/>
        <v/>
      </c>
      <c r="K41" s="9">
        <f t="shared" si="2"/>
        <v>3.4966711632617796E-2</v>
      </c>
      <c r="L41" s="9">
        <f t="shared" si="3"/>
        <v>14.087300077434996</v>
      </c>
      <c r="M41" s="21">
        <f t="shared" si="4"/>
        <v>0.25101557603433999</v>
      </c>
      <c r="N41" s="21">
        <f t="shared" si="5"/>
        <v>0.17921669514944241</v>
      </c>
      <c r="O41" s="21">
        <f t="shared" si="6"/>
        <v>7.0372937111089487E-3</v>
      </c>
      <c r="P41" s="21">
        <f t="shared" si="6"/>
        <v>0.15689205670264347</v>
      </c>
      <c r="Q41" s="21">
        <f t="shared" si="6"/>
        <v>0.17805037788300934</v>
      </c>
      <c r="R41" s="21">
        <f t="shared" si="7"/>
        <v>19.844914559949736</v>
      </c>
      <c r="S41" s="21">
        <f t="shared" si="8"/>
        <v>0</v>
      </c>
      <c r="T41" s="21">
        <f t="shared" si="9"/>
        <v>0.15689205670264347</v>
      </c>
      <c r="U41" s="21">
        <f t="shared" si="10"/>
        <v>2.1158321180365869E-2</v>
      </c>
      <c r="V41" s="21">
        <f t="shared" si="11"/>
        <v>1.1663172664330701E-3</v>
      </c>
      <c r="W41" s="21">
        <f t="shared" si="12"/>
        <v>103.23453883167294</v>
      </c>
      <c r="X41" s="21">
        <f t="shared" si="13"/>
        <v>20.232350499462278</v>
      </c>
      <c r="Y41" s="21">
        <f t="shared" si="14"/>
        <v>16.199479826621982</v>
      </c>
      <c r="Z41" s="21">
        <f t="shared" si="15"/>
        <v>9.3213979572240433</v>
      </c>
      <c r="AA41" s="21"/>
      <c r="AC41" s="16" t="s">
        <v>13</v>
      </c>
      <c r="AD41" s="25" t="s">
        <v>21</v>
      </c>
      <c r="AE41" s="25" t="s">
        <v>22</v>
      </c>
      <c r="AF41" s="25" t="s">
        <v>23</v>
      </c>
      <c r="AG41" s="25" t="s">
        <v>24</v>
      </c>
      <c r="AH41" s="12"/>
      <c r="AI41" s="12"/>
      <c r="AT41" s="82"/>
      <c r="AU41" s="56"/>
      <c r="AV41" s="1">
        <f>EXP(AV21)</f>
        <v>7.3890560989306504</v>
      </c>
      <c r="AW41" s="1">
        <f>EXP(AW21)</f>
        <v>13779.398028363412</v>
      </c>
      <c r="AX41" s="1">
        <f>EXP(AX21)</f>
        <v>7052.447809792302</v>
      </c>
      <c r="AY41" s="1">
        <f>EXP(AY21)</f>
        <v>4339.967882949104</v>
      </c>
      <c r="AZ41" s="1">
        <f>EXP(AZ21)</f>
        <v>2712.4799268431921</v>
      </c>
      <c r="BA41" s="56"/>
      <c r="BE41" s="7"/>
      <c r="BF41" s="7"/>
      <c r="BG41" s="7"/>
    </row>
    <row r="42" spans="1:62" ht="13.5" customHeight="1" thickBot="1" x14ac:dyDescent="0.3">
      <c r="A42">
        <v>1</v>
      </c>
      <c r="C42" s="89">
        <v>20.3</v>
      </c>
      <c r="D42" s="90"/>
      <c r="E42" s="90"/>
      <c r="F42" s="90"/>
      <c r="G42" s="90"/>
      <c r="H42" s="90">
        <v>0</v>
      </c>
      <c r="I42" s="88"/>
      <c r="J42" t="str">
        <f t="shared" si="1"/>
        <v/>
      </c>
      <c r="K42" s="9">
        <f t="shared" si="2"/>
        <v>3.2365472915445448E-2</v>
      </c>
      <c r="L42" s="9">
        <f t="shared" si="3"/>
        <v>13.861260237164142</v>
      </c>
      <c r="M42" s="21">
        <f t="shared" si="4"/>
        <v>0.22871829185286888</v>
      </c>
      <c r="N42" s="21">
        <f t="shared" si="5"/>
        <v>0.16271265522033115</v>
      </c>
      <c r="O42" s="21">
        <f t="shared" si="6"/>
        <v>3.5483116723392331E-3</v>
      </c>
      <c r="P42" s="21">
        <f t="shared" si="6"/>
        <v>0.13904239235133811</v>
      </c>
      <c r="Q42" s="21">
        <f t="shared" si="6"/>
        <v>0.16146210975519723</v>
      </c>
      <c r="R42" s="21">
        <f t="shared" si="7"/>
        <v>19.022620766807158</v>
      </c>
      <c r="S42" s="21">
        <f t="shared" si="8"/>
        <v>0</v>
      </c>
      <c r="T42" s="21">
        <f t="shared" si="9"/>
        <v>0.13904239235133811</v>
      </c>
      <c r="U42" s="21">
        <f t="shared" si="10"/>
        <v>2.2419717403859118E-2</v>
      </c>
      <c r="V42" s="21">
        <f t="shared" si="11"/>
        <v>1.2505454651339232E-3</v>
      </c>
      <c r="W42" s="21">
        <f t="shared" si="12"/>
        <v>94.052488860295455</v>
      </c>
      <c r="X42" s="21">
        <f t="shared" si="13"/>
        <v>18.616848735175935</v>
      </c>
      <c r="Y42" s="21">
        <f t="shared" si="14"/>
        <v>14.433330362063987</v>
      </c>
      <c r="Z42" s="21">
        <f t="shared" si="15"/>
        <v>8.6912281673561989</v>
      </c>
      <c r="AA42" s="21"/>
      <c r="AC42" s="17" t="s">
        <v>113</v>
      </c>
      <c r="AD42" s="23" t="s">
        <v>118</v>
      </c>
      <c r="AE42" s="23">
        <v>0.752</v>
      </c>
      <c r="AF42" s="102">
        <v>2.0706000000000002</v>
      </c>
      <c r="AG42" s="23">
        <v>0.80310000000000004</v>
      </c>
      <c r="AT42" s="82"/>
      <c r="AU42" s="56"/>
      <c r="AV42" s="1">
        <f t="shared" ref="AV42:AZ57" si="21">EXP(AV22)</f>
        <v>8.1661699125676517</v>
      </c>
      <c r="AW42" s="1">
        <f t="shared" si="21"/>
        <v>11331.331411543857</v>
      </c>
      <c r="AX42" s="1">
        <f t="shared" si="21"/>
        <v>5799.5003287429226</v>
      </c>
      <c r="AY42" s="1">
        <f t="shared" si="21"/>
        <v>3568.9232792264102</v>
      </c>
      <c r="AZ42" s="1">
        <f t="shared" si="21"/>
        <v>2230.5770495165061</v>
      </c>
      <c r="BA42" s="56"/>
      <c r="BE42" s="85"/>
      <c r="BF42" s="85"/>
      <c r="BG42" s="85"/>
    </row>
    <row r="43" spans="1:62" ht="13.5" customHeight="1" x14ac:dyDescent="0.25">
      <c r="A43">
        <v>1</v>
      </c>
      <c r="C43" s="145">
        <v>19.600000000000001</v>
      </c>
      <c r="D43" s="145">
        <v>16.100000000000001</v>
      </c>
      <c r="E43" s="145">
        <v>10</v>
      </c>
      <c r="F43" s="145">
        <v>0.8</v>
      </c>
      <c r="G43" s="145">
        <v>1.2</v>
      </c>
      <c r="H43" s="90">
        <v>0</v>
      </c>
      <c r="I43" s="88"/>
      <c r="J43" t="str">
        <f t="shared" si="1"/>
        <v/>
      </c>
      <c r="K43" s="9">
        <f t="shared" si="2"/>
        <v>3.0171855845076378E-2</v>
      </c>
      <c r="L43" s="9">
        <f t="shared" si="3"/>
        <v>16.100000000000001</v>
      </c>
      <c r="M43" s="21">
        <f t="shared" si="4"/>
        <v>0.2398640282964101</v>
      </c>
      <c r="N43" s="21">
        <f t="shared" si="5"/>
        <v>0.17356173950457918</v>
      </c>
      <c r="O43" s="21">
        <f t="shared" si="6"/>
        <v>2.0238774707916985E-3</v>
      </c>
      <c r="P43" s="21">
        <f t="shared" si="6"/>
        <v>0.14454649655526458</v>
      </c>
      <c r="Q43" s="21">
        <f t="shared" si="6"/>
        <v>0.172010507548574</v>
      </c>
      <c r="R43" s="21">
        <f t="shared" si="7"/>
        <v>18.950838773203145</v>
      </c>
      <c r="S43" s="21">
        <f t="shared" si="8"/>
        <v>0</v>
      </c>
      <c r="T43" s="21">
        <f t="shared" si="9"/>
        <v>0.14454649655526458</v>
      </c>
      <c r="U43" s="21">
        <f t="shared" si="10"/>
        <v>2.7464010993309418E-2</v>
      </c>
      <c r="V43" s="21">
        <f t="shared" si="11"/>
        <v>1.5512319560051779E-3</v>
      </c>
      <c r="W43" s="21">
        <f t="shared" si="12"/>
        <v>103.67002203581485</v>
      </c>
      <c r="X43" s="21">
        <f t="shared" si="13"/>
        <v>19.270423680852964</v>
      </c>
      <c r="Y43" s="21">
        <f t="shared" si="14"/>
        <v>12.182382931540047</v>
      </c>
      <c r="Z43" s="21">
        <f t="shared" si="15"/>
        <v>7.2460319214780897</v>
      </c>
      <c r="AA43" s="21"/>
      <c r="AU43" s="56"/>
      <c r="AV43" s="1">
        <f t="shared" si="21"/>
        <v>9.025013499434122</v>
      </c>
      <c r="AW43" s="1">
        <f t="shared" si="21"/>
        <v>9318.1916433464175</v>
      </c>
      <c r="AX43" s="1">
        <f t="shared" si="21"/>
        <v>4769.1532032875402</v>
      </c>
      <c r="AY43" s="1">
        <f t="shared" si="21"/>
        <v>2934.8635097154088</v>
      </c>
      <c r="AZ43" s="1">
        <f t="shared" si="21"/>
        <v>1834.2896935721317</v>
      </c>
      <c r="BA43" s="56"/>
      <c r="BE43" s="84"/>
      <c r="BF43" s="84"/>
      <c r="BG43" s="84"/>
    </row>
    <row r="44" spans="1:62" ht="12.75" customHeight="1" x14ac:dyDescent="0.25">
      <c r="A44">
        <v>1</v>
      </c>
      <c r="C44" s="89">
        <v>18.2</v>
      </c>
      <c r="D44" s="90"/>
      <c r="E44" s="90"/>
      <c r="F44" s="90"/>
      <c r="G44" s="90"/>
      <c r="H44" s="90">
        <v>0</v>
      </c>
      <c r="I44" s="88"/>
      <c r="J44" t="str">
        <f t="shared" si="1"/>
        <v/>
      </c>
      <c r="K44" s="9">
        <f t="shared" si="2"/>
        <v>2.6015528764377072E-2</v>
      </c>
      <c r="L44" s="9">
        <f t="shared" si="3"/>
        <v>13.199416927983073</v>
      </c>
      <c r="M44" s="21">
        <f t="shared" si="4"/>
        <v>0.17540387112827047</v>
      </c>
      <c r="N44" s="21">
        <f t="shared" si="5"/>
        <v>0.12347739790133271</v>
      </c>
      <c r="O44" s="21">
        <f t="shared" si="6"/>
        <v>2.6858073889818036E-4</v>
      </c>
      <c r="P44" s="21">
        <f t="shared" si="6"/>
        <v>9.597835451891959E-2</v>
      </c>
      <c r="Q44" s="21">
        <f t="shared" si="6"/>
        <v>0.12196008424123984</v>
      </c>
      <c r="R44" s="21">
        <f t="shared" si="7"/>
        <v>16.8588824835313</v>
      </c>
      <c r="S44" s="21">
        <f t="shared" si="8"/>
        <v>0</v>
      </c>
      <c r="T44" s="21">
        <f t="shared" si="9"/>
        <v>9.597835451891959E-2</v>
      </c>
      <c r="U44" s="21">
        <f t="shared" si="10"/>
        <v>2.5981729722320254E-2</v>
      </c>
      <c r="V44" s="21">
        <f t="shared" si="11"/>
        <v>1.5173136600928616E-3</v>
      </c>
      <c r="W44" s="21">
        <f t="shared" si="12"/>
        <v>72.032443832666189</v>
      </c>
      <c r="X44" s="21">
        <f t="shared" si="13"/>
        <v>14.684727587305373</v>
      </c>
      <c r="Y44" s="21">
        <f t="shared" si="14"/>
        <v>10.429877919243058</v>
      </c>
      <c r="Z44" s="21">
        <f t="shared" si="15"/>
        <v>7.1483221368655663</v>
      </c>
      <c r="AA44" s="21"/>
      <c r="AK44" s="87"/>
      <c r="AT44" s="82"/>
      <c r="AU44" s="56"/>
      <c r="AV44" s="1">
        <f t="shared" si="21"/>
        <v>9.9741824548147235</v>
      </c>
      <c r="AW44" s="1">
        <f t="shared" si="21"/>
        <v>7662.7090276147164</v>
      </c>
      <c r="AX44" s="1">
        <f t="shared" si="21"/>
        <v>3921.8589511413929</v>
      </c>
      <c r="AY44" s="1">
        <f t="shared" si="21"/>
        <v>2413.4516622408523</v>
      </c>
      <c r="AZ44" s="1">
        <f t="shared" si="21"/>
        <v>1508.407288900534</v>
      </c>
      <c r="BA44" s="56"/>
      <c r="BE44" s="84"/>
      <c r="BF44" s="84"/>
      <c r="BG44" s="84"/>
    </row>
    <row r="45" spans="1:62" ht="13.8" x14ac:dyDescent="0.25">
      <c r="A45">
        <v>1</v>
      </c>
      <c r="C45" s="89">
        <v>17.100000000000001</v>
      </c>
      <c r="D45" s="90"/>
      <c r="E45" s="90"/>
      <c r="F45" s="90"/>
      <c r="G45" s="90"/>
      <c r="H45" s="90">
        <v>0</v>
      </c>
      <c r="I45" s="88"/>
      <c r="J45" t="str">
        <f t="shared" si="1"/>
        <v/>
      </c>
      <c r="K45" s="9">
        <f t="shared" si="2"/>
        <v>2.2965827695904786E-2</v>
      </c>
      <c r="L45" s="9">
        <f t="shared" si="3"/>
        <v>12.808995605403219</v>
      </c>
      <c r="M45" s="21">
        <f t="shared" si="4"/>
        <v>0.15048906532198961</v>
      </c>
      <c r="N45" s="21">
        <f t="shared" si="5"/>
        <v>0.1052764304857987</v>
      </c>
      <c r="O45" s="21">
        <f t="shared" si="6"/>
        <v>3.4447509348836428E-5</v>
      </c>
      <c r="P45" s="21">
        <f t="shared" si="6"/>
        <v>7.5702512259149909E-2</v>
      </c>
      <c r="Q45" s="21">
        <f t="shared" si="6"/>
        <v>0.10358628471922532</v>
      </c>
      <c r="R45" s="21">
        <f t="shared" si="7"/>
        <v>15.722378027335985</v>
      </c>
      <c r="S45" s="21">
        <f t="shared" si="8"/>
        <v>0</v>
      </c>
      <c r="T45" s="21">
        <f t="shared" si="9"/>
        <v>7.5702512259149909E-2</v>
      </c>
      <c r="U45" s="21">
        <f t="shared" si="10"/>
        <v>2.7883772460075409E-2</v>
      </c>
      <c r="V45" s="21">
        <f t="shared" si="11"/>
        <v>1.6901457665733782E-3</v>
      </c>
      <c r="W45" s="21">
        <f t="shared" si="12"/>
        <v>61.714427447088255</v>
      </c>
      <c r="X45" s="21">
        <f t="shared" si="13"/>
        <v>12.806503106627931</v>
      </c>
      <c r="Y45" s="21">
        <f t="shared" si="14"/>
        <v>8.6713917392434396</v>
      </c>
      <c r="Z45" s="21">
        <f t="shared" si="15"/>
        <v>6.4032571989040115</v>
      </c>
      <c r="AA45" s="21"/>
      <c r="AC45" s="18" t="s">
        <v>86</v>
      </c>
      <c r="AD45" s="12"/>
      <c r="AK45" s="87"/>
      <c r="AT45" s="82"/>
      <c r="AU45" s="56"/>
      <c r="AV45" s="1">
        <f t="shared" si="21"/>
        <v>11.023176380641605</v>
      </c>
      <c r="AW45" s="1">
        <f t="shared" si="21"/>
        <v>6301.3417076278274</v>
      </c>
      <c r="AX45" s="1">
        <f t="shared" si="21"/>
        <v>3225.0961495732995</v>
      </c>
      <c r="AY45" s="1">
        <f t="shared" si="21"/>
        <v>1984.6745535835685</v>
      </c>
      <c r="AZ45" s="1">
        <f t="shared" si="21"/>
        <v>1240.4215959897313</v>
      </c>
      <c r="BA45" s="56"/>
      <c r="BE45" s="7"/>
      <c r="BF45" s="7"/>
      <c r="BG45" s="7"/>
    </row>
    <row r="46" spans="1:62" ht="13.8" x14ac:dyDescent="0.25">
      <c r="A46">
        <v>1</v>
      </c>
      <c r="C46" s="145">
        <v>14.6</v>
      </c>
      <c r="D46" s="145">
        <v>9.4</v>
      </c>
      <c r="E46" s="145">
        <v>3.9</v>
      </c>
      <c r="F46" s="145">
        <v>1.1000000000000001</v>
      </c>
      <c r="G46" s="145">
        <v>1</v>
      </c>
      <c r="H46" s="90">
        <v>0</v>
      </c>
      <c r="I46" s="88"/>
      <c r="J46" t="str">
        <f t="shared" si="1"/>
        <v/>
      </c>
      <c r="K46" s="9">
        <f t="shared" si="2"/>
        <v>1.6741547250980007E-2</v>
      </c>
      <c r="L46" s="9">
        <f t="shared" si="3"/>
        <v>9.4</v>
      </c>
      <c r="M46" s="21">
        <f t="shared" si="4"/>
        <v>8.46147046769192E-2</v>
      </c>
      <c r="N46" s="21">
        <f t="shared" si="5"/>
        <v>5.6611863990420883E-2</v>
      </c>
      <c r="O46" s="21">
        <f t="shared" si="6"/>
        <v>7.1709981729221173E-9</v>
      </c>
      <c r="P46" s="21">
        <f t="shared" si="6"/>
        <v>2.9475853905734511E-2</v>
      </c>
      <c r="Q46" s="21">
        <f t="shared" si="6"/>
        <v>5.4827308886208063E-2</v>
      </c>
      <c r="R46" s="21">
        <f t="shared" si="7"/>
        <v>12.188514323594902</v>
      </c>
      <c r="S46" s="21">
        <f t="shared" si="8"/>
        <v>0</v>
      </c>
      <c r="T46" s="21">
        <f t="shared" si="9"/>
        <v>2.9475853905734511E-2</v>
      </c>
      <c r="U46" s="21">
        <f t="shared" si="10"/>
        <v>2.5351454980473552E-2</v>
      </c>
      <c r="V46" s="21">
        <f t="shared" si="11"/>
        <v>1.7845551042128191E-3</v>
      </c>
      <c r="W46" s="21">
        <f t="shared" si="12"/>
        <v>32.213461982422743</v>
      </c>
      <c r="X46" s="21">
        <f t="shared" si="13"/>
        <v>7.7431320346934038</v>
      </c>
      <c r="Y46" s="21">
        <f t="shared" si="14"/>
        <v>5.9523452483897836</v>
      </c>
      <c r="Z46" s="21">
        <f t="shared" si="15"/>
        <v>5.7296028025490813</v>
      </c>
      <c r="AC46" s="12"/>
      <c r="AD46" s="12"/>
      <c r="AE46" s="12"/>
      <c r="AF46" s="12"/>
      <c r="AG46" s="12"/>
      <c r="AH46" s="12"/>
      <c r="AK46" s="87"/>
      <c r="AT46" s="82"/>
      <c r="AU46" s="56"/>
      <c r="AV46" s="1">
        <f t="shared" si="21"/>
        <v>12.182493960703479</v>
      </c>
      <c r="AW46" s="1">
        <f t="shared" si="21"/>
        <v>5181.8367594535002</v>
      </c>
      <c r="AX46" s="1">
        <f t="shared" si="21"/>
        <v>2652.1211760982474</v>
      </c>
      <c r="AY46" s="1">
        <f t="shared" si="21"/>
        <v>1632.0745699066119</v>
      </c>
      <c r="AZ46" s="1">
        <f t="shared" si="21"/>
        <v>1020.0466061916333</v>
      </c>
      <c r="BA46" s="56"/>
      <c r="BB46" s="7"/>
      <c r="BC46" s="7"/>
      <c r="BD46" s="7"/>
      <c r="BE46" s="7"/>
      <c r="BF46" s="7"/>
      <c r="BG46" s="7"/>
    </row>
    <row r="47" spans="1:62" ht="13.8" x14ac:dyDescent="0.25">
      <c r="A47">
        <v>1</v>
      </c>
      <c r="C47" s="89">
        <v>14.5</v>
      </c>
      <c r="D47" s="90"/>
      <c r="E47" s="90"/>
      <c r="F47" s="90"/>
      <c r="G47" s="90"/>
      <c r="H47" s="90">
        <v>0</v>
      </c>
      <c r="I47" s="88"/>
      <c r="J47" t="str">
        <f t="shared" si="1"/>
        <v/>
      </c>
      <c r="K47" s="9">
        <f t="shared" si="2"/>
        <v>1.6512996385431349E-2</v>
      </c>
      <c r="L47" s="9">
        <f t="shared" si="3"/>
        <v>11.747991891537312</v>
      </c>
      <c r="M47" s="21">
        <f t="shared" si="4"/>
        <v>9.9777868883969417E-2</v>
      </c>
      <c r="N47" s="21">
        <f t="shared" si="5"/>
        <v>6.8593563022133139E-2</v>
      </c>
      <c r="O47" s="21">
        <f t="shared" si="6"/>
        <v>5.384634177822396E-9</v>
      </c>
      <c r="P47" s="21">
        <f t="shared" si="6"/>
        <v>3.5018934640559087E-2</v>
      </c>
      <c r="Q47" s="21">
        <f t="shared" si="6"/>
        <v>6.6367238618251972E-2</v>
      </c>
      <c r="R47" s="21">
        <f t="shared" si="7"/>
        <v>13.027141950555098</v>
      </c>
      <c r="S47" s="21">
        <f t="shared" si="8"/>
        <v>0</v>
      </c>
      <c r="T47" s="21">
        <f t="shared" si="9"/>
        <v>3.5018934640559087E-2</v>
      </c>
      <c r="U47" s="21">
        <f t="shared" si="10"/>
        <v>3.1348303977692886E-2</v>
      </c>
      <c r="V47" s="21">
        <f t="shared" si="11"/>
        <v>2.2263244038811664E-3</v>
      </c>
      <c r="W47" s="21">
        <f t="shared" si="12"/>
        <v>40.680148634841359</v>
      </c>
      <c r="X47" s="21">
        <f t="shared" si="13"/>
        <v>8.8745942337198418</v>
      </c>
      <c r="Y47" s="21">
        <f t="shared" si="14"/>
        <v>5.3351506323885838</v>
      </c>
      <c r="Z47" s="21">
        <f t="shared" si="15"/>
        <v>4.8098897331765524</v>
      </c>
      <c r="AA47" s="21"/>
      <c r="AC47" s="12"/>
      <c r="AD47" s="12"/>
      <c r="AE47" s="12"/>
      <c r="AF47" s="12"/>
      <c r="AG47" s="12"/>
      <c r="AH47" s="12"/>
      <c r="AL47" s="126" t="s">
        <v>89</v>
      </c>
      <c r="AM47" s="126"/>
      <c r="AN47" s="126"/>
      <c r="AO47" s="126"/>
      <c r="AP47" s="126"/>
      <c r="AQ47" s="126"/>
      <c r="AR47" s="126"/>
      <c r="AT47" s="82"/>
      <c r="AU47" s="56"/>
      <c r="AV47" s="1">
        <f t="shared" si="21"/>
        <v>13.463738035001697</v>
      </c>
      <c r="AW47" s="1">
        <f t="shared" si="21"/>
        <v>4261.2245847768527</v>
      </c>
      <c r="AX47" s="1">
        <f t="shared" si="21"/>
        <v>2180.9417166180779</v>
      </c>
      <c r="AY47" s="1">
        <f t="shared" si="21"/>
        <v>1342.1179794572772</v>
      </c>
      <c r="AZ47" s="1">
        <f t="shared" si="21"/>
        <v>838.82373716079883</v>
      </c>
      <c r="BA47" s="56"/>
      <c r="BB47" s="7"/>
      <c r="BC47" s="7"/>
      <c r="BD47" s="7"/>
      <c r="BE47" s="7"/>
      <c r="BF47" s="7"/>
      <c r="BG47" s="7"/>
    </row>
    <row r="48" spans="1:62" ht="13.8" x14ac:dyDescent="0.25">
      <c r="A48">
        <v>1</v>
      </c>
      <c r="C48" s="89">
        <v>13.9</v>
      </c>
      <c r="D48" s="90"/>
      <c r="E48" s="90"/>
      <c r="F48" s="90"/>
      <c r="G48" s="90"/>
      <c r="H48" s="90">
        <v>0</v>
      </c>
      <c r="I48" s="88"/>
      <c r="J48" t="str">
        <f t="shared" si="1"/>
        <v/>
      </c>
      <c r="K48" s="9">
        <f t="shared" si="2"/>
        <v>1.5174677915002099E-2</v>
      </c>
      <c r="L48" s="9">
        <f t="shared" si="3"/>
        <v>11.472457061888804</v>
      </c>
      <c r="M48" s="21">
        <f t="shared" si="4"/>
        <v>8.9692137432434496E-2</v>
      </c>
      <c r="N48" s="21">
        <f t="shared" si="5"/>
        <v>6.1373054707012098E-2</v>
      </c>
      <c r="O48" s="21">
        <f t="shared" si="6"/>
        <v>1.8205562791895395E-10</v>
      </c>
      <c r="P48" s="21">
        <f t="shared" si="6"/>
        <v>2.7386378428727067E-2</v>
      </c>
      <c r="Q48" s="21">
        <f t="shared" si="6"/>
        <v>5.8990072960678493E-2</v>
      </c>
      <c r="R48" s="21">
        <f t="shared" si="7"/>
        <v>12.403306295219107</v>
      </c>
      <c r="S48" s="21">
        <f t="shared" si="8"/>
        <v>0</v>
      </c>
      <c r="T48" s="21">
        <f t="shared" si="9"/>
        <v>2.7386378428727067E-2</v>
      </c>
      <c r="U48" s="21">
        <f t="shared" si="10"/>
        <v>3.1603694531951429E-2</v>
      </c>
      <c r="V48" s="21">
        <f t="shared" si="11"/>
        <v>2.3829817463336053E-3</v>
      </c>
      <c r="W48" s="21">
        <f t="shared" si="12"/>
        <v>36.496021635512264</v>
      </c>
      <c r="X48" s="21">
        <f t="shared" si="13"/>
        <v>8.0700642208229798</v>
      </c>
      <c r="Y48" s="21">
        <f t="shared" si="14"/>
        <v>4.7137561855991903</v>
      </c>
      <c r="Z48" s="21">
        <f t="shared" si="15"/>
        <v>4.4749465615857495</v>
      </c>
      <c r="AA48" s="21"/>
      <c r="AC48" s="12" t="s">
        <v>119</v>
      </c>
      <c r="AD48" s="12"/>
      <c r="AE48" s="22"/>
      <c r="AF48" s="12" t="s">
        <v>26</v>
      </c>
      <c r="AG48" s="12"/>
      <c r="AH48" s="12"/>
      <c r="AL48" s="126"/>
      <c r="AM48" s="126"/>
      <c r="AN48" s="126"/>
      <c r="AO48" s="126"/>
      <c r="AP48" s="126"/>
      <c r="AQ48" s="126"/>
      <c r="AR48" s="126"/>
      <c r="AT48" s="82"/>
      <c r="AU48" s="56"/>
      <c r="AV48" s="1">
        <f t="shared" si="21"/>
        <v>14.879731724872844</v>
      </c>
      <c r="AW48" s="1">
        <f t="shared" si="21"/>
        <v>3504.169622630443</v>
      </c>
      <c r="AX48" s="1">
        <f t="shared" si="21"/>
        <v>1793.4726415037694</v>
      </c>
      <c r="AY48" s="1">
        <f t="shared" si="21"/>
        <v>1103.6754716946261</v>
      </c>
      <c r="AZ48" s="1">
        <f t="shared" si="21"/>
        <v>689.79716980914191</v>
      </c>
      <c r="BA48" s="56"/>
      <c r="BB48" s="83"/>
      <c r="BC48" s="83"/>
      <c r="BD48" s="7"/>
      <c r="BE48" s="7"/>
      <c r="BF48" s="7"/>
      <c r="BG48" s="7"/>
    </row>
    <row r="49" spans="1:59" ht="13.8" x14ac:dyDescent="0.25">
      <c r="A49">
        <v>1</v>
      </c>
      <c r="C49" s="145">
        <v>11.5</v>
      </c>
      <c r="D49" s="145">
        <v>10.5</v>
      </c>
      <c r="E49" s="145">
        <v>5.0999999999999996</v>
      </c>
      <c r="F49" s="145">
        <v>0.9</v>
      </c>
      <c r="G49" s="145">
        <v>0.9</v>
      </c>
      <c r="H49" s="90">
        <v>0</v>
      </c>
      <c r="I49" s="88"/>
      <c r="J49" t="str">
        <f t="shared" si="1"/>
        <v/>
      </c>
      <c r="K49" s="9">
        <f t="shared" si="2"/>
        <v>1.0386890710931254E-2</v>
      </c>
      <c r="L49" s="9">
        <f t="shared" si="3"/>
        <v>10.5</v>
      </c>
      <c r="M49" s="21">
        <f t="shared" si="4"/>
        <v>5.641776985922535E-2</v>
      </c>
      <c r="N49" s="21">
        <f t="shared" si="5"/>
        <v>3.7888562832147116E-2</v>
      </c>
      <c r="O49" s="21">
        <f t="shared" si="6"/>
        <v>1.7515408450262532E-21</v>
      </c>
      <c r="P49" s="21">
        <f t="shared" si="6"/>
        <v>6.0805893026219977E-3</v>
      </c>
      <c r="Q49" s="21">
        <f t="shared" si="6"/>
        <v>3.4634836638952157E-2</v>
      </c>
      <c r="R49" s="21">
        <f t="shared" si="7"/>
        <v>9.9843965220386277</v>
      </c>
      <c r="S49" s="21">
        <f t="shared" si="8"/>
        <v>0</v>
      </c>
      <c r="T49" s="21">
        <f t="shared" si="9"/>
        <v>0</v>
      </c>
      <c r="U49" s="21">
        <f t="shared" si="10"/>
        <v>2.855424733633016E-2</v>
      </c>
      <c r="V49" s="21">
        <f t="shared" si="11"/>
        <v>3.2537261931949585E-3</v>
      </c>
      <c r="W49" s="21">
        <f t="shared" si="12"/>
        <v>22.878010302517172</v>
      </c>
      <c r="X49" s="21">
        <f t="shared" si="13"/>
        <v>5.3329054455991107</v>
      </c>
      <c r="Y49" s="21">
        <f t="shared" si="14"/>
        <v>2.6859662212965674</v>
      </c>
      <c r="Z49" s="21">
        <f t="shared" si="15"/>
        <v>3.195984279413183</v>
      </c>
      <c r="AA49" s="21"/>
      <c r="AC49" s="12"/>
      <c r="AD49" s="12"/>
      <c r="AE49" s="12"/>
      <c r="AF49" s="12"/>
      <c r="AG49" s="12"/>
      <c r="AH49" s="12"/>
      <c r="AL49" s="126"/>
      <c r="AM49" s="126"/>
      <c r="AN49" s="126"/>
      <c r="AO49" s="126"/>
      <c r="AP49" s="126"/>
      <c r="AQ49" s="126"/>
      <c r="AR49" s="126"/>
      <c r="AT49" s="82"/>
      <c r="AU49" s="56"/>
      <c r="AV49" s="1">
        <f t="shared" si="21"/>
        <v>16.444646771097062</v>
      </c>
      <c r="AW49" s="1">
        <f t="shared" si="21"/>
        <v>2881.6140759238979</v>
      </c>
      <c r="AX49" s="1">
        <f t="shared" si="21"/>
        <v>1474.841849882311</v>
      </c>
      <c r="AY49" s="1">
        <f t="shared" si="21"/>
        <v>907.59498454295965</v>
      </c>
      <c r="AZ49" s="1">
        <f t="shared" si="21"/>
        <v>567.24686533935017</v>
      </c>
      <c r="BA49" s="56"/>
      <c r="BB49" s="84"/>
      <c r="BC49" s="84"/>
      <c r="BD49" s="7"/>
      <c r="BE49" s="7"/>
      <c r="BF49" s="7"/>
      <c r="BG49" s="7"/>
    </row>
    <row r="50" spans="1:59" ht="13.8" x14ac:dyDescent="0.25">
      <c r="A50">
        <v>1</v>
      </c>
      <c r="C50" s="89">
        <v>11.1</v>
      </c>
      <c r="D50" s="90"/>
      <c r="E50" s="90"/>
      <c r="F50" s="90"/>
      <c r="G50" s="90"/>
      <c r="H50" s="90">
        <v>0</v>
      </c>
      <c r="I50" s="88"/>
      <c r="J50" t="str">
        <f t="shared" si="1"/>
        <v/>
      </c>
      <c r="K50" s="9">
        <f t="shared" si="2"/>
        <v>9.6768907712199599E-3</v>
      </c>
      <c r="L50" s="9">
        <f t="shared" si="3"/>
        <v>10.009900446213393</v>
      </c>
      <c r="M50" s="21">
        <f t="shared" si="4"/>
        <v>5.0455526142141466E-2</v>
      </c>
      <c r="N50" s="21">
        <f t="shared" si="5"/>
        <v>3.3636635669470082E-2</v>
      </c>
      <c r="O50" s="21">
        <f t="shared" si="6"/>
        <v>9.9435960084309437E-25</v>
      </c>
      <c r="P50" s="21">
        <f t="shared" si="6"/>
        <v>3.9901328583870337E-3</v>
      </c>
      <c r="Q50" s="21">
        <f t="shared" si="6"/>
        <v>3.0295319756517176E-2</v>
      </c>
      <c r="R50" s="21">
        <f t="shared" si="7"/>
        <v>9.4822356184525987</v>
      </c>
      <c r="S50" s="21">
        <f t="shared" si="8"/>
        <v>0</v>
      </c>
      <c r="T50" s="21">
        <f t="shared" si="9"/>
        <v>0</v>
      </c>
      <c r="U50" s="21">
        <f t="shared" si="10"/>
        <v>2.6305186898130141E-2</v>
      </c>
      <c r="V50" s="21">
        <f t="shared" si="11"/>
        <v>3.3413159129529052E-3</v>
      </c>
      <c r="W50" s="21">
        <f t="shared" si="12"/>
        <v>20.254119315479564</v>
      </c>
      <c r="X50" s="21">
        <f t="shared" si="13"/>
        <v>4.8336300307358151</v>
      </c>
      <c r="Y50" s="21">
        <f t="shared" si="14"/>
        <v>2.4480665241828556</v>
      </c>
      <c r="Z50" s="21">
        <f t="shared" si="15"/>
        <v>3.0695149652346667</v>
      </c>
      <c r="AA50" s="21"/>
      <c r="AC50" s="12"/>
      <c r="AD50" s="12"/>
      <c r="AE50" s="12"/>
      <c r="AF50" s="12"/>
      <c r="AG50" s="12"/>
      <c r="AH50" s="12"/>
      <c r="AT50" s="82"/>
      <c r="AU50" s="56"/>
      <c r="AV50" s="1">
        <f t="shared" si="21"/>
        <v>18.174145369443075</v>
      </c>
      <c r="AW50" s="1">
        <f t="shared" si="21"/>
        <v>2369.6625953653138</v>
      </c>
      <c r="AX50" s="1">
        <f t="shared" si="21"/>
        <v>1212.8194385727993</v>
      </c>
      <c r="AY50" s="1">
        <f t="shared" si="21"/>
        <v>746.35042373710644</v>
      </c>
      <c r="AZ50" s="1">
        <f t="shared" si="21"/>
        <v>466.46901483569189</v>
      </c>
      <c r="BA50" s="56"/>
      <c r="BB50" s="84"/>
      <c r="BC50" s="84"/>
      <c r="BD50" s="7"/>
      <c r="BE50" s="7"/>
      <c r="BF50" s="7"/>
      <c r="BG50" s="7"/>
    </row>
    <row r="51" spans="1:59" x14ac:dyDescent="0.25">
      <c r="K51" s="9"/>
      <c r="L51" s="9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C51" s="12" t="s">
        <v>129</v>
      </c>
      <c r="AD51" s="12"/>
      <c r="AE51" s="12"/>
      <c r="AF51" s="12"/>
      <c r="AG51" s="12"/>
      <c r="AH51" s="12"/>
      <c r="AT51" s="82"/>
      <c r="AU51" s="56"/>
      <c r="AV51" s="1">
        <f t="shared" si="21"/>
        <v>20.085536923187686</v>
      </c>
      <c r="AW51" s="1">
        <f t="shared" si="21"/>
        <v>1948.6651119557389</v>
      </c>
      <c r="AX51" s="1">
        <f t="shared" si="21"/>
        <v>997.34828564663871</v>
      </c>
      <c r="AY51" s="1">
        <f t="shared" si="21"/>
        <v>613.7527911671616</v>
      </c>
      <c r="AZ51" s="1">
        <f t="shared" si="21"/>
        <v>383.59549447947632</v>
      </c>
      <c r="BA51" s="56"/>
      <c r="BB51" s="84"/>
      <c r="BC51" s="84"/>
      <c r="BD51" s="7"/>
      <c r="BE51" s="7"/>
      <c r="BF51" s="7"/>
      <c r="BG51" s="7"/>
    </row>
    <row r="52" spans="1:59" x14ac:dyDescent="0.25">
      <c r="K52" s="9"/>
      <c r="L52" s="9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C52" s="12"/>
      <c r="AD52" s="12"/>
      <c r="AE52" s="12"/>
      <c r="AF52" s="12"/>
      <c r="AG52" s="12"/>
      <c r="AH52" s="12"/>
      <c r="AT52" s="82"/>
      <c r="AU52" s="56"/>
      <c r="AV52" s="1">
        <f t="shared" si="21"/>
        <v>22.197951281441654</v>
      </c>
      <c r="AW52" s="1">
        <f t="shared" si="21"/>
        <v>1602.4626147116403</v>
      </c>
      <c r="AX52" s="1">
        <f t="shared" si="21"/>
        <v>820.15803115162737</v>
      </c>
      <c r="AY52" s="1">
        <f t="shared" si="21"/>
        <v>504.71263455484711</v>
      </c>
      <c r="AZ52" s="1">
        <f t="shared" si="21"/>
        <v>315.44539659677969</v>
      </c>
      <c r="BA52" s="56"/>
      <c r="BB52" s="84"/>
      <c r="BC52" s="84"/>
      <c r="BD52" s="7"/>
      <c r="BE52" s="7"/>
      <c r="BF52" s="7"/>
      <c r="BG52" s="7"/>
    </row>
    <row r="53" spans="1:59" ht="13.8" thickBot="1" x14ac:dyDescent="0.3">
      <c r="K53" s="9"/>
      <c r="L53" s="9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T53" s="82"/>
      <c r="AU53" s="56"/>
      <c r="AV53" s="1">
        <f t="shared" si="21"/>
        <v>24.532530197109374</v>
      </c>
      <c r="AW53" s="1">
        <f t="shared" si="21"/>
        <v>1317.7669245441864</v>
      </c>
      <c r="AX53" s="1">
        <f t="shared" si="21"/>
        <v>674.4476385462375</v>
      </c>
      <c r="AY53" s="1">
        <f t="shared" si="21"/>
        <v>415.04470064383804</v>
      </c>
      <c r="AZ53" s="1">
        <f t="shared" si="21"/>
        <v>259.402937902399</v>
      </c>
      <c r="BA53" s="56"/>
      <c r="BB53" s="84"/>
      <c r="BC53" s="84"/>
      <c r="BD53" s="7"/>
      <c r="BE53" s="7"/>
      <c r="BF53" s="7"/>
      <c r="BG53" s="7"/>
    </row>
    <row r="54" spans="1:59" ht="13.8" thickBot="1" x14ac:dyDescent="0.3">
      <c r="K54" s="9"/>
      <c r="L54" s="9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C54" s="42" t="s">
        <v>13</v>
      </c>
      <c r="AD54" s="25" t="s">
        <v>21</v>
      </c>
      <c r="AE54" s="25" t="s">
        <v>22</v>
      </c>
      <c r="AF54" s="25" t="s">
        <v>23</v>
      </c>
      <c r="AG54" s="25" t="s">
        <v>24</v>
      </c>
      <c r="AT54" s="82"/>
      <c r="AU54" s="56"/>
      <c r="AV54" s="1">
        <f t="shared" si="21"/>
        <v>27.112638920657918</v>
      </c>
      <c r="AW54" s="1">
        <f t="shared" si="21"/>
        <v>1083.6506583556863</v>
      </c>
      <c r="AX54" s="1">
        <f t="shared" si="21"/>
        <v>554.62435270172955</v>
      </c>
      <c r="AY54" s="1">
        <f t="shared" si="21"/>
        <v>341.30729397029472</v>
      </c>
      <c r="AZ54" s="1">
        <f t="shared" si="21"/>
        <v>213.31705873143437</v>
      </c>
    </row>
    <row r="55" spans="1:59" ht="13.8" thickBot="1" x14ac:dyDescent="0.3">
      <c r="K55" s="9"/>
      <c r="L55" s="9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C55" s="43" t="s">
        <v>120</v>
      </c>
      <c r="AD55" s="24">
        <v>1</v>
      </c>
      <c r="AE55" s="19">
        <v>2.4700000000000001E-5</v>
      </c>
      <c r="AF55" s="103">
        <v>2.1118999999999999</v>
      </c>
      <c r="AG55" s="24">
        <v>0.92610000000000003</v>
      </c>
      <c r="AH55" s="12"/>
      <c r="AT55" s="82"/>
      <c r="AU55" s="56"/>
      <c r="AV55" s="1">
        <f t="shared" si="21"/>
        <v>29.96410004739705</v>
      </c>
      <c r="AW55" s="1">
        <f t="shared" si="21"/>
        <v>891.12780680915978</v>
      </c>
      <c r="AX55" s="1">
        <f t="shared" si="21"/>
        <v>456.08903498106628</v>
      </c>
      <c r="AY55" s="1">
        <f t="shared" si="21"/>
        <v>280.67017537296357</v>
      </c>
      <c r="AZ55" s="1">
        <f t="shared" si="21"/>
        <v>175.41885960810237</v>
      </c>
    </row>
    <row r="56" spans="1:59" ht="13.8" thickBot="1" x14ac:dyDescent="0.3">
      <c r="K56" s="9"/>
      <c r="L56" s="9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C56" s="43" t="s">
        <v>121</v>
      </c>
      <c r="AD56" s="23">
        <v>3</v>
      </c>
      <c r="AE56" s="104">
        <v>1.413</v>
      </c>
      <c r="AF56" s="20">
        <v>4.3487999999999998</v>
      </c>
      <c r="AG56" s="20">
        <v>4.3188000000000004</v>
      </c>
      <c r="AH56" s="12"/>
      <c r="AT56" s="82"/>
      <c r="AU56" s="56"/>
      <c r="AV56" s="1">
        <f t="shared" si="21"/>
        <v>33.115451958692361</v>
      </c>
      <c r="AW56" s="1">
        <f t="shared" si="21"/>
        <v>732.80882722248396</v>
      </c>
      <c r="AX56" s="1">
        <f t="shared" si="21"/>
        <v>375.05963598001171</v>
      </c>
      <c r="AY56" s="1">
        <f t="shared" si="21"/>
        <v>230.80592983385313</v>
      </c>
      <c r="AZ56" s="1">
        <f t="shared" si="21"/>
        <v>144.25370614615832</v>
      </c>
    </row>
    <row r="57" spans="1:59" ht="13.8" thickBot="1" x14ac:dyDescent="0.3">
      <c r="K57" s="9"/>
      <c r="L57" s="9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C57" s="106" t="s">
        <v>128</v>
      </c>
      <c r="AD57" s="115">
        <v>4</v>
      </c>
      <c r="AE57" s="104">
        <v>2.1823000000000001</v>
      </c>
      <c r="AF57" s="24">
        <v>0.85909999999999997</v>
      </c>
      <c r="AG57" s="107"/>
      <c r="AH57" s="12"/>
      <c r="AT57" s="82"/>
      <c r="AU57" s="56"/>
      <c r="AV57" s="1">
        <f t="shared" si="21"/>
        <v>36.598234443678038</v>
      </c>
      <c r="AW57" s="1">
        <f t="shared" si="21"/>
        <v>602.6170131286184</v>
      </c>
      <c r="AX57" s="1">
        <f t="shared" si="21"/>
        <v>308.42603034141911</v>
      </c>
      <c r="AY57" s="1">
        <f t="shared" si="21"/>
        <v>189.80063405625771</v>
      </c>
      <c r="AZ57" s="1">
        <f t="shared" si="21"/>
        <v>118.62539628516114</v>
      </c>
    </row>
    <row r="58" spans="1:59" x14ac:dyDescent="0.25">
      <c r="K58" s="9"/>
      <c r="L58" s="9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H58" s="12"/>
      <c r="AT58" s="82"/>
      <c r="AU58" s="56"/>
      <c r="AV58" s="1">
        <f t="shared" ref="AV58:AZ59" si="22">EXP(AV38)</f>
        <v>40.447304360067449</v>
      </c>
      <c r="AW58" s="1">
        <f t="shared" si="22"/>
        <v>495.55525400597338</v>
      </c>
      <c r="AX58" s="1">
        <f t="shared" si="22"/>
        <v>253.63064181408103</v>
      </c>
      <c r="AY58" s="1">
        <f t="shared" si="22"/>
        <v>156.08039496251124</v>
      </c>
      <c r="AZ58" s="1">
        <f t="shared" si="22"/>
        <v>97.550246851569597</v>
      </c>
    </row>
    <row r="59" spans="1:59" x14ac:dyDescent="0.25">
      <c r="K59" s="9"/>
      <c r="L59" s="9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H59" s="12"/>
      <c r="AT59" s="82"/>
      <c r="AU59" s="56"/>
      <c r="AV59" s="1">
        <f t="shared" si="22"/>
        <v>44.701184493300893</v>
      </c>
      <c r="AW59" s="1">
        <f t="shared" si="22"/>
        <v>407.51423279267914</v>
      </c>
      <c r="AX59" s="1">
        <f t="shared" si="22"/>
        <v>208.57027662617449</v>
      </c>
      <c r="AY59" s="1">
        <f t="shared" si="22"/>
        <v>128.3509394622611</v>
      </c>
      <c r="AZ59" s="1">
        <f t="shared" si="22"/>
        <v>80.219337163913238</v>
      </c>
    </row>
    <row r="60" spans="1:59" x14ac:dyDescent="0.25">
      <c r="K60" s="9"/>
      <c r="L60" s="9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H60" s="12"/>
      <c r="AT60" s="82"/>
      <c r="AU60" s="56"/>
      <c r="AV60" s="1"/>
    </row>
    <row r="61" spans="1:59" x14ac:dyDescent="0.25">
      <c r="K61" s="9"/>
      <c r="L61" s="9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H61" s="12"/>
      <c r="AT61" s="82"/>
      <c r="AU61" s="56"/>
      <c r="AV61" s="1"/>
    </row>
    <row r="62" spans="1:59" x14ac:dyDescent="0.25">
      <c r="K62" s="9"/>
      <c r="L62" s="9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T62" s="82"/>
      <c r="AU62" s="56"/>
      <c r="AV62" s="1"/>
    </row>
    <row r="63" spans="1:59" x14ac:dyDescent="0.25">
      <c r="K63" s="9"/>
      <c r="L63" s="9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T63" s="82"/>
      <c r="AU63" s="56"/>
      <c r="AV63" s="1"/>
    </row>
    <row r="64" spans="1:59" x14ac:dyDescent="0.25">
      <c r="K64" s="9"/>
      <c r="L64" s="9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T64" s="82"/>
      <c r="AU64" s="56"/>
      <c r="AV64" s="1"/>
    </row>
    <row r="65" spans="11:48" x14ac:dyDescent="0.25">
      <c r="K65" s="9"/>
      <c r="L65" s="9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T65" s="82"/>
      <c r="AU65" s="56"/>
      <c r="AV65" s="1"/>
    </row>
    <row r="66" spans="11:48" x14ac:dyDescent="0.25">
      <c r="K66" s="9"/>
      <c r="L66" s="9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T66" s="82"/>
      <c r="AU66" s="56"/>
      <c r="AV66" s="1"/>
    </row>
    <row r="67" spans="11:48" x14ac:dyDescent="0.25">
      <c r="K67" s="9"/>
      <c r="L67" s="9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T67" s="82"/>
      <c r="AU67" s="56"/>
      <c r="AV67" s="1"/>
    </row>
    <row r="68" spans="11:48" x14ac:dyDescent="0.25">
      <c r="K68" s="9"/>
      <c r="L68" s="9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T68" s="82"/>
      <c r="AU68" s="56"/>
      <c r="AV68" s="1"/>
    </row>
    <row r="69" spans="11:48" ht="12.75" customHeight="1" x14ac:dyDescent="0.25">
      <c r="K69" s="9"/>
      <c r="L69" s="9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K69" s="87"/>
      <c r="AL69" s="87"/>
      <c r="AM69" s="87"/>
      <c r="AN69" s="87"/>
      <c r="AO69" s="87"/>
      <c r="AP69" s="87"/>
      <c r="AQ69" s="87"/>
      <c r="AR69" s="87"/>
    </row>
    <row r="70" spans="11:48" x14ac:dyDescent="0.25">
      <c r="K70" s="9"/>
      <c r="L70" s="9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K70" s="87"/>
      <c r="AL70" s="87"/>
      <c r="AM70" s="87"/>
      <c r="AN70" s="87"/>
      <c r="AO70" s="87"/>
      <c r="AP70" s="87"/>
      <c r="AQ70" s="87"/>
      <c r="AR70" s="87"/>
    </row>
    <row r="71" spans="11:48" x14ac:dyDescent="0.25">
      <c r="K71" s="9"/>
      <c r="L71" s="9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K71" s="87"/>
      <c r="AL71" s="87"/>
      <c r="AM71" s="87"/>
      <c r="AN71" s="87"/>
      <c r="AO71" s="87"/>
      <c r="AP71" s="87"/>
      <c r="AQ71" s="87"/>
      <c r="AR71" s="87"/>
    </row>
    <row r="72" spans="11:48" x14ac:dyDescent="0.25">
      <c r="K72" s="9"/>
      <c r="L72" s="9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L72" s="126" t="s">
        <v>100</v>
      </c>
      <c r="AM72" s="126"/>
      <c r="AN72" s="126"/>
      <c r="AO72" s="126"/>
      <c r="AP72" s="126"/>
      <c r="AQ72" s="126"/>
      <c r="AR72" s="126"/>
    </row>
    <row r="73" spans="11:48" x14ac:dyDescent="0.25">
      <c r="K73" s="9"/>
      <c r="L73" s="9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L73" s="126"/>
      <c r="AM73" s="126"/>
      <c r="AN73" s="126"/>
      <c r="AO73" s="126"/>
      <c r="AP73" s="126"/>
      <c r="AQ73" s="126"/>
      <c r="AR73" s="126"/>
    </row>
    <row r="74" spans="11:48" x14ac:dyDescent="0.25">
      <c r="K74" s="9"/>
      <c r="L74" s="9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L74" s="126"/>
      <c r="AM74" s="126"/>
      <c r="AN74" s="126"/>
      <c r="AO74" s="126"/>
      <c r="AP74" s="126"/>
      <c r="AQ74" s="126"/>
      <c r="AR74" s="126"/>
    </row>
    <row r="75" spans="11:48" x14ac:dyDescent="0.25">
      <c r="K75" s="9"/>
      <c r="L75" s="9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L75" s="126"/>
      <c r="AM75" s="126"/>
      <c r="AN75" s="126"/>
      <c r="AO75" s="126"/>
      <c r="AP75" s="126"/>
      <c r="AQ75" s="126"/>
      <c r="AR75" s="126"/>
    </row>
    <row r="76" spans="11:48" x14ac:dyDescent="0.25">
      <c r="K76" s="9"/>
      <c r="L76" s="9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L76" s="126"/>
      <c r="AM76" s="126"/>
      <c r="AN76" s="126"/>
      <c r="AO76" s="126"/>
      <c r="AP76" s="126"/>
      <c r="AQ76" s="126"/>
      <c r="AR76" s="126"/>
    </row>
    <row r="77" spans="11:48" x14ac:dyDescent="0.25">
      <c r="K77" s="9"/>
      <c r="L77" s="9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1:48" x14ac:dyDescent="0.25">
      <c r="K78" s="9"/>
      <c r="L78" s="9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1:48" x14ac:dyDescent="0.25">
      <c r="K79" s="9"/>
      <c r="L79" s="9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1:48" x14ac:dyDescent="0.25">
      <c r="K80" s="9"/>
      <c r="L80" s="9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1:36" x14ac:dyDescent="0.25">
      <c r="K81" s="9"/>
      <c r="L81" s="9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1:36" x14ac:dyDescent="0.25">
      <c r="K82" s="9"/>
      <c r="L82" s="9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7"/>
      <c r="AC82" s="7"/>
      <c r="AD82" s="7"/>
      <c r="AE82" s="7"/>
      <c r="AF82" s="7"/>
      <c r="AG82" s="7"/>
      <c r="AH82" s="7"/>
      <c r="AI82" s="7"/>
      <c r="AJ82" s="7"/>
    </row>
    <row r="83" spans="11:36" x14ac:dyDescent="0.25">
      <c r="K83" s="9"/>
      <c r="L83" s="9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7"/>
      <c r="AC83" s="7"/>
      <c r="AD83" s="7"/>
      <c r="AE83" s="7"/>
      <c r="AF83" s="7"/>
      <c r="AG83" s="7"/>
      <c r="AH83" s="7"/>
      <c r="AI83" s="7"/>
      <c r="AJ83" s="7"/>
    </row>
    <row r="84" spans="11:36" x14ac:dyDescent="0.25">
      <c r="K84" s="9"/>
      <c r="L84" s="9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7"/>
      <c r="AC84" s="7"/>
      <c r="AD84" s="7"/>
      <c r="AE84" s="7"/>
      <c r="AF84" s="7"/>
      <c r="AG84" s="7"/>
      <c r="AH84" s="7"/>
      <c r="AI84" s="7"/>
      <c r="AJ84" s="7"/>
    </row>
    <row r="85" spans="11:36" x14ac:dyDescent="0.25">
      <c r="K85" s="9"/>
      <c r="L85" s="9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7"/>
      <c r="AC85" s="113"/>
      <c r="AD85" s="7"/>
      <c r="AE85" s="7"/>
      <c r="AF85" s="114"/>
      <c r="AG85" s="7"/>
      <c r="AH85" s="7"/>
      <c r="AI85" s="7"/>
      <c r="AJ85" s="7"/>
    </row>
    <row r="86" spans="11:36" x14ac:dyDescent="0.25">
      <c r="K86" s="9"/>
      <c r="L86" s="9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7"/>
      <c r="AC86" s="7"/>
      <c r="AD86" s="7"/>
      <c r="AE86" s="7"/>
      <c r="AF86" s="7"/>
      <c r="AG86" s="7"/>
      <c r="AH86" s="7"/>
      <c r="AI86" s="7"/>
      <c r="AJ86" s="7"/>
    </row>
    <row r="87" spans="11:36" x14ac:dyDescent="0.25">
      <c r="K87" s="9"/>
      <c r="L87" s="9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7"/>
      <c r="AC87" s="26"/>
      <c r="AD87" s="26"/>
      <c r="AE87" s="26"/>
      <c r="AF87" s="26"/>
      <c r="AG87" s="26"/>
      <c r="AH87" s="26"/>
      <c r="AI87" s="26"/>
      <c r="AJ87" s="7"/>
    </row>
    <row r="88" spans="11:36" x14ac:dyDescent="0.25">
      <c r="K88" s="9"/>
      <c r="L88" s="9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7"/>
      <c r="AC88" s="94"/>
      <c r="AD88" s="94"/>
      <c r="AE88" s="75"/>
      <c r="AF88" s="76"/>
      <c r="AG88" s="77"/>
      <c r="AH88" s="78"/>
      <c r="AI88" s="79"/>
      <c r="AJ88" s="7"/>
    </row>
    <row r="89" spans="11:36" x14ac:dyDescent="0.25">
      <c r="K89" s="9"/>
      <c r="L89" s="9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7"/>
      <c r="AC89" s="94"/>
      <c r="AD89" s="94"/>
      <c r="AE89" s="94"/>
      <c r="AF89" s="94"/>
      <c r="AG89" s="94"/>
      <c r="AH89" s="94"/>
      <c r="AI89" s="94"/>
      <c r="AJ89" s="7"/>
    </row>
    <row r="90" spans="11:36" x14ac:dyDescent="0.25">
      <c r="K90" s="9"/>
      <c r="L90" s="9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7"/>
      <c r="AC90" s="7"/>
      <c r="AD90" s="7"/>
      <c r="AE90" s="75"/>
      <c r="AF90" s="76"/>
      <c r="AG90" s="77"/>
      <c r="AH90" s="78"/>
      <c r="AI90" s="79"/>
      <c r="AJ90" s="7"/>
    </row>
    <row r="91" spans="11:36" x14ac:dyDescent="0.25">
      <c r="K91" s="9"/>
      <c r="L91" s="9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7"/>
      <c r="AC91" s="7"/>
      <c r="AD91" s="7"/>
      <c r="AE91" s="7"/>
      <c r="AF91" s="7"/>
      <c r="AG91" s="7"/>
      <c r="AH91" s="7"/>
      <c r="AI91" s="7"/>
      <c r="AJ91" s="7"/>
    </row>
    <row r="92" spans="11:36" x14ac:dyDescent="0.25">
      <c r="K92" s="9"/>
      <c r="L92" s="9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1:36" x14ac:dyDescent="0.25">
      <c r="K93" s="9"/>
      <c r="L93" s="9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1:36" x14ac:dyDescent="0.25">
      <c r="K94" s="9"/>
      <c r="L94" s="9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1:36" x14ac:dyDescent="0.25">
      <c r="K95" s="9"/>
      <c r="L95" s="9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1:36" x14ac:dyDescent="0.25">
      <c r="K96" s="9"/>
      <c r="L96" s="9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1:27" x14ac:dyDescent="0.25">
      <c r="K97" s="9"/>
      <c r="L97" s="9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1:27" x14ac:dyDescent="0.25">
      <c r="K98" s="9"/>
      <c r="L98" s="9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1:27" x14ac:dyDescent="0.25">
      <c r="L99" s="9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</sheetData>
  <mergeCells count="11">
    <mergeCell ref="AL72:AR76"/>
    <mergeCell ref="AL47:AR49"/>
    <mergeCell ref="AH2:AI6"/>
    <mergeCell ref="O12:V12"/>
    <mergeCell ref="AT16:BG16"/>
    <mergeCell ref="S17:V17"/>
    <mergeCell ref="W17:Z17"/>
    <mergeCell ref="W12:AC12"/>
    <mergeCell ref="O17:Q17"/>
    <mergeCell ref="AM16:AR16"/>
    <mergeCell ref="AU21:AU3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16</xdr:col>
                <xdr:colOff>144780</xdr:colOff>
                <xdr:row>0</xdr:row>
                <xdr:rowOff>68580</xdr:rowOff>
              </from>
              <to>
                <xdr:col>18</xdr:col>
                <xdr:colOff>556260</xdr:colOff>
                <xdr:row>3</xdr:row>
                <xdr:rowOff>7620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16</xdr:col>
                <xdr:colOff>251460</xdr:colOff>
                <xdr:row>3</xdr:row>
                <xdr:rowOff>7620</xdr:rowOff>
              </from>
              <to>
                <xdr:col>18</xdr:col>
                <xdr:colOff>45720</xdr:colOff>
                <xdr:row>5</xdr:row>
                <xdr:rowOff>22860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28</xdr:col>
                <xdr:colOff>76200</xdr:colOff>
                <xdr:row>37</xdr:row>
                <xdr:rowOff>30480</xdr:rowOff>
              </from>
              <to>
                <xdr:col>29</xdr:col>
                <xdr:colOff>556260</xdr:colOff>
                <xdr:row>39</xdr:row>
                <xdr:rowOff>160020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5" r:id="rId10">
          <objectPr defaultSize="0" autoPict="0" r:id="rId11">
            <anchor moveWithCells="1" sizeWithCells="1">
              <from>
                <xdr:col>31</xdr:col>
                <xdr:colOff>198120</xdr:colOff>
                <xdr:row>45</xdr:row>
                <xdr:rowOff>30480</xdr:rowOff>
              </from>
              <to>
                <xdr:col>33</xdr:col>
                <xdr:colOff>571500</xdr:colOff>
                <xdr:row>48</xdr:row>
                <xdr:rowOff>152400</xdr:rowOff>
              </to>
            </anchor>
          </objectPr>
        </oleObject>
      </mc:Choice>
      <mc:Fallback>
        <oleObject progId="Equation.3" shapeId="2055" r:id="rId10"/>
      </mc:Fallback>
    </mc:AlternateContent>
    <mc:AlternateContent xmlns:mc="http://schemas.openxmlformats.org/markup-compatibility/2006">
      <mc:Choice Requires="x14">
        <oleObject progId="Equation.3" shapeId="2058" r:id="rId12">
          <objectPr defaultSize="0" autoPict="0" r:id="rId13">
            <anchor moveWithCells="1" sizeWithCells="1">
              <from>
                <xdr:col>28</xdr:col>
                <xdr:colOff>350520</xdr:colOff>
                <xdr:row>19</xdr:row>
                <xdr:rowOff>99060</xdr:rowOff>
              </from>
              <to>
                <xdr:col>30</xdr:col>
                <xdr:colOff>350520</xdr:colOff>
                <xdr:row>22</xdr:row>
                <xdr:rowOff>114300</xdr:rowOff>
              </to>
            </anchor>
          </objectPr>
        </oleObject>
      </mc:Choice>
      <mc:Fallback>
        <oleObject progId="Equation.3" shapeId="2058" r:id="rId12"/>
      </mc:Fallback>
    </mc:AlternateContent>
    <mc:AlternateContent xmlns:mc="http://schemas.openxmlformats.org/markup-compatibility/2006">
      <mc:Choice Requires="x14">
        <oleObject progId="Equation.3" shapeId="2059" r:id="rId14">
          <objectPr defaultSize="0" autoPict="0" r:id="rId15">
            <anchor moveWithCells="1" sizeWithCells="1">
              <from>
                <xdr:col>28</xdr:col>
                <xdr:colOff>99060</xdr:colOff>
                <xdr:row>28</xdr:row>
                <xdr:rowOff>76200</xdr:rowOff>
              </from>
              <to>
                <xdr:col>33</xdr:col>
                <xdr:colOff>556260</xdr:colOff>
                <xdr:row>31</xdr:row>
                <xdr:rowOff>144780</xdr:rowOff>
              </to>
            </anchor>
          </objectPr>
        </oleObject>
      </mc:Choice>
      <mc:Fallback>
        <oleObject progId="Equation.3" shapeId="2059" r:id="rId14"/>
      </mc:Fallback>
    </mc:AlternateContent>
    <mc:AlternateContent xmlns:mc="http://schemas.openxmlformats.org/markup-compatibility/2006">
      <mc:Choice Requires="x14">
        <oleObject progId="Equation.3" shapeId="2060" r:id="rId16">
          <objectPr defaultSize="0" autoPict="0" r:id="rId17">
            <anchor moveWithCells="1" sizeWithCells="1">
              <from>
                <xdr:col>28</xdr:col>
                <xdr:colOff>289560</xdr:colOff>
                <xdr:row>46</xdr:row>
                <xdr:rowOff>121920</xdr:rowOff>
              </from>
              <to>
                <xdr:col>30</xdr:col>
                <xdr:colOff>274320</xdr:colOff>
                <xdr:row>48</xdr:row>
                <xdr:rowOff>68580</xdr:rowOff>
              </to>
            </anchor>
          </objectPr>
        </oleObject>
      </mc:Choice>
      <mc:Fallback>
        <oleObject progId="Equation.3" shapeId="2060" r:id="rId16"/>
      </mc:Fallback>
    </mc:AlternateContent>
    <mc:AlternateContent xmlns:mc="http://schemas.openxmlformats.org/markup-compatibility/2006">
      <mc:Choice Requires="x14">
        <oleObject progId="Equation.3" shapeId="2061" r:id="rId18">
          <objectPr defaultSize="0" autoPict="0" r:id="rId19">
            <anchor moveWithCells="1" sizeWithCells="1">
              <from>
                <xdr:col>24</xdr:col>
                <xdr:colOff>236220</xdr:colOff>
                <xdr:row>7</xdr:row>
                <xdr:rowOff>7620</xdr:rowOff>
              </from>
              <to>
                <xdr:col>26</xdr:col>
                <xdr:colOff>60960</xdr:colOff>
                <xdr:row>8</xdr:row>
                <xdr:rowOff>38100</xdr:rowOff>
              </to>
            </anchor>
          </objectPr>
        </oleObject>
      </mc:Choice>
      <mc:Fallback>
        <oleObject progId="Equation.3" shapeId="2061" r:id="rId18"/>
      </mc:Fallback>
    </mc:AlternateContent>
    <mc:AlternateContent xmlns:mc="http://schemas.openxmlformats.org/markup-compatibility/2006">
      <mc:Choice Requires="x14">
        <oleObject progId="Equation.3" shapeId="2062" r:id="rId20">
          <objectPr defaultSize="0" autoPict="0" r:id="rId21">
            <anchor moveWithCells="1" sizeWithCells="1">
              <from>
                <xdr:col>24</xdr:col>
                <xdr:colOff>228600</xdr:colOff>
                <xdr:row>8</xdr:row>
                <xdr:rowOff>45720</xdr:rowOff>
              </from>
              <to>
                <xdr:col>26</xdr:col>
                <xdr:colOff>198120</xdr:colOff>
                <xdr:row>10</xdr:row>
                <xdr:rowOff>45720</xdr:rowOff>
              </to>
            </anchor>
          </objectPr>
        </oleObject>
      </mc:Choice>
      <mc:Fallback>
        <oleObject progId="Equation.3" shapeId="2062" r:id="rId20"/>
      </mc:Fallback>
    </mc:AlternateContent>
    <mc:AlternateContent xmlns:mc="http://schemas.openxmlformats.org/markup-compatibility/2006">
      <mc:Choice Requires="x14">
        <oleObject progId="Equation.3" shapeId="2064" r:id="rId22">
          <objectPr defaultSize="0" autoPict="0" r:id="rId23">
            <anchor moveWithCells="1" sizeWithCells="1">
              <from>
                <xdr:col>28</xdr:col>
                <xdr:colOff>266700</xdr:colOff>
                <xdr:row>48</xdr:row>
                <xdr:rowOff>121920</xdr:rowOff>
              </from>
              <to>
                <xdr:col>32</xdr:col>
                <xdr:colOff>22860</xdr:colOff>
                <xdr:row>52</xdr:row>
                <xdr:rowOff>38100</xdr:rowOff>
              </to>
            </anchor>
          </objectPr>
        </oleObject>
      </mc:Choice>
      <mc:Fallback>
        <oleObject progId="Equation.3" shapeId="2064" r:id="rId22"/>
      </mc:Fallback>
    </mc:AlternateContent>
    <mc:AlternateContent xmlns:mc="http://schemas.openxmlformats.org/markup-compatibility/2006">
      <mc:Choice Requires="x14">
        <oleObject progId="Equation.3" shapeId="2065" r:id="rId24">
          <objectPr defaultSize="0" autoPict="0" r:id="rId15">
            <anchor moveWithCells="1" sizeWithCells="1">
              <from>
                <xdr:col>1</xdr:col>
                <xdr:colOff>99060</xdr:colOff>
                <xdr:row>5</xdr:row>
                <xdr:rowOff>15240</xdr:rowOff>
              </from>
              <to>
                <xdr:col>8</xdr:col>
                <xdr:colOff>15240</xdr:colOff>
                <xdr:row>8</xdr:row>
                <xdr:rowOff>83820</xdr:rowOff>
              </to>
            </anchor>
          </objectPr>
        </oleObject>
      </mc:Choice>
      <mc:Fallback>
        <oleObject progId="Equation.3" shapeId="2065" r:id="rId24"/>
      </mc:Fallback>
    </mc:AlternateContent>
    <mc:AlternateContent xmlns:mc="http://schemas.openxmlformats.org/markup-compatibility/2006">
      <mc:Choice Requires="x14">
        <oleObject progId="Equation.3" shapeId="2066" r:id="rId25">
          <objectPr defaultSize="0" autoPict="0" r:id="rId13">
            <anchor moveWithCells="1" sizeWithCells="1">
              <from>
                <xdr:col>8</xdr:col>
                <xdr:colOff>426720</xdr:colOff>
                <xdr:row>4</xdr:row>
                <xdr:rowOff>99060</xdr:rowOff>
              </from>
              <to>
                <xdr:col>10</xdr:col>
                <xdr:colOff>441960</xdr:colOff>
                <xdr:row>8</xdr:row>
                <xdr:rowOff>15240</xdr:rowOff>
              </to>
            </anchor>
          </objectPr>
        </oleObject>
      </mc:Choice>
      <mc:Fallback>
        <oleObject progId="Equation.3" shapeId="2066" r:id="rId25"/>
      </mc:Fallback>
    </mc:AlternateContent>
    <mc:AlternateContent xmlns:mc="http://schemas.openxmlformats.org/markup-compatibility/2006">
      <mc:Choice Requires="x14">
        <oleObject progId="Equation.3" shapeId="2067" r:id="rId26">
          <objectPr defaultSize="0" autoPict="0" r:id="rId9">
            <anchor moveWithCells="1" sizeWithCells="1">
              <from>
                <xdr:col>11</xdr:col>
                <xdr:colOff>137160</xdr:colOff>
                <xdr:row>3</xdr:row>
                <xdr:rowOff>167640</xdr:rowOff>
              </from>
              <to>
                <xdr:col>12</xdr:col>
                <xdr:colOff>670560</xdr:colOff>
                <xdr:row>6</xdr:row>
                <xdr:rowOff>68580</xdr:rowOff>
              </to>
            </anchor>
          </objectPr>
        </oleObject>
      </mc:Choice>
      <mc:Fallback>
        <oleObject progId="Equation.3" shapeId="2067" r:id="rId26"/>
      </mc:Fallback>
    </mc:AlternateContent>
    <mc:AlternateContent xmlns:mc="http://schemas.openxmlformats.org/markup-compatibility/2006">
      <mc:Choice Requires="x14">
        <oleObject progId="Equation.3" shapeId="2068" r:id="rId27">
          <objectPr defaultSize="0" autoPict="0" r:id="rId17">
            <anchor moveWithCells="1" sizeWithCells="1">
              <from>
                <xdr:col>11</xdr:col>
                <xdr:colOff>144780</xdr:colOff>
                <xdr:row>7</xdr:row>
                <xdr:rowOff>15240</xdr:rowOff>
              </from>
              <to>
                <xdr:col>13</xdr:col>
                <xdr:colOff>304800</xdr:colOff>
                <xdr:row>8</xdr:row>
                <xdr:rowOff>160020</xdr:rowOff>
              </to>
            </anchor>
          </objectPr>
        </oleObject>
      </mc:Choice>
      <mc:Fallback>
        <oleObject progId="Equation.3" shapeId="2068" r:id="rId27"/>
      </mc:Fallback>
    </mc:AlternateContent>
    <mc:AlternateContent xmlns:mc="http://schemas.openxmlformats.org/markup-compatibility/2006">
      <mc:Choice Requires="x14">
        <oleObject progId="Equation.3" shapeId="2069" r:id="rId28">
          <objectPr defaultSize="0" autoPict="0" r:id="rId11">
            <anchor moveWithCells="1" sizeWithCells="1">
              <from>
                <xdr:col>14</xdr:col>
                <xdr:colOff>60960</xdr:colOff>
                <xdr:row>10</xdr:row>
                <xdr:rowOff>38100</xdr:rowOff>
              </from>
              <to>
                <xdr:col>17</xdr:col>
                <xdr:colOff>640080</xdr:colOff>
                <xdr:row>12</xdr:row>
                <xdr:rowOff>7620</xdr:rowOff>
              </to>
            </anchor>
          </objectPr>
        </oleObject>
      </mc:Choice>
      <mc:Fallback>
        <oleObject progId="Equation.3" shapeId="2069" r:id="rId28"/>
      </mc:Fallback>
    </mc:AlternateContent>
    <mc:AlternateContent xmlns:mc="http://schemas.openxmlformats.org/markup-compatibility/2006">
      <mc:Choice Requires="x14">
        <oleObject progId="Equation.3" shapeId="2070" r:id="rId29">
          <objectPr defaultSize="0" autoPict="0" r:id="rId23">
            <anchor moveWithCells="1" sizeWithCells="1">
              <from>
                <xdr:col>18</xdr:col>
                <xdr:colOff>777240</xdr:colOff>
                <xdr:row>9</xdr:row>
                <xdr:rowOff>274320</xdr:rowOff>
              </from>
              <to>
                <xdr:col>22</xdr:col>
                <xdr:colOff>198120</xdr:colOff>
                <xdr:row>11</xdr:row>
                <xdr:rowOff>160020</xdr:rowOff>
              </to>
            </anchor>
          </objectPr>
        </oleObject>
      </mc:Choice>
      <mc:Fallback>
        <oleObject progId="Equation.3" shapeId="2070" r:id="rId2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3.2.2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magatome</dc:creator>
  <cp:lastModifiedBy>smb</cp:lastModifiedBy>
  <dcterms:created xsi:type="dcterms:W3CDTF">2020-03-17T22:05:14Z</dcterms:created>
  <dcterms:modified xsi:type="dcterms:W3CDTF">2023-04-24T15:40:01Z</dcterms:modified>
</cp:coreProperties>
</file>