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"/>
    </mc:Choice>
  </mc:AlternateContent>
  <bookViews>
    <workbookView xWindow="0" yWindow="0" windowWidth="23040" windowHeight="9192"/>
  </bookViews>
  <sheets>
    <sheet name="123" sheetId="2" r:id="rId1"/>
    <sheet name="123_m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2" l="1"/>
  <c r="AI23" i="2"/>
  <c r="AI25" i="2"/>
  <c r="AI26" i="2"/>
  <c r="AI27" i="2"/>
  <c r="AI28" i="2"/>
  <c r="AI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22" i="2"/>
  <c r="G12" i="2"/>
  <c r="W96" i="2" l="1"/>
  <c r="W97" i="2"/>
  <c r="W98" i="2"/>
  <c r="W101" i="2"/>
  <c r="V96" i="2"/>
  <c r="V97" i="2"/>
  <c r="V98" i="2"/>
  <c r="V99" i="2"/>
  <c r="W99" i="2" s="1"/>
  <c r="V100" i="2"/>
  <c r="W100" i="2" s="1"/>
  <c r="V101" i="2"/>
  <c r="AM6" i="4" l="1"/>
  <c r="AJ7" i="4"/>
  <c r="AJ6" i="4"/>
  <c r="AL16" i="4" l="1"/>
  <c r="AK16" i="4"/>
  <c r="AW52" i="4"/>
  <c r="AX52" i="4" s="1"/>
  <c r="AW51" i="4"/>
  <c r="AX51" i="4" s="1"/>
  <c r="AW50" i="4"/>
  <c r="AX50" i="4" s="1"/>
  <c r="AX49" i="4"/>
  <c r="AW49" i="4"/>
  <c r="AW48" i="4"/>
  <c r="AX48" i="4" s="1"/>
  <c r="AW47" i="4"/>
  <c r="AX47" i="4" s="1"/>
  <c r="AW46" i="4"/>
  <c r="AX46" i="4" s="1"/>
  <c r="AX45" i="4"/>
  <c r="AW45" i="4"/>
  <c r="AW44" i="4"/>
  <c r="AX44" i="4" s="1"/>
  <c r="AW43" i="4"/>
  <c r="AX43" i="4" s="1"/>
  <c r="AW42" i="4"/>
  <c r="AX42" i="4" s="1"/>
  <c r="AX41" i="4"/>
  <c r="AW41" i="4"/>
  <c r="AW40" i="4"/>
  <c r="AX40" i="4" s="1"/>
  <c r="AW39" i="4"/>
  <c r="AX39" i="4" s="1"/>
  <c r="AW38" i="4"/>
  <c r="AX38" i="4" s="1"/>
  <c r="AX37" i="4"/>
  <c r="AW37" i="4"/>
  <c r="AW36" i="4"/>
  <c r="AX36" i="4" s="1"/>
  <c r="AE36" i="4"/>
  <c r="AF36" i="4" s="1"/>
  <c r="M36" i="4"/>
  <c r="N36" i="4" s="1"/>
  <c r="AX35" i="4"/>
  <c r="AW35" i="4"/>
  <c r="AE35" i="4"/>
  <c r="AF35" i="4" s="1"/>
  <c r="M35" i="4"/>
  <c r="N35" i="4" s="1"/>
  <c r="AW34" i="4"/>
  <c r="AX34" i="4" s="1"/>
  <c r="AF34" i="4"/>
  <c r="AE34" i="4"/>
  <c r="M34" i="4"/>
  <c r="N34" i="4" s="1"/>
  <c r="AW33" i="4"/>
  <c r="AX33" i="4" s="1"/>
  <c r="AE33" i="4"/>
  <c r="AF33" i="4" s="1"/>
  <c r="N33" i="4"/>
  <c r="M33" i="4"/>
  <c r="AW32" i="4"/>
  <c r="AX32" i="4" s="1"/>
  <c r="AE32" i="4"/>
  <c r="AF32" i="4" s="1"/>
  <c r="M32" i="4"/>
  <c r="N32" i="4" s="1"/>
  <c r="AX31" i="4"/>
  <c r="AW31" i="4"/>
  <c r="AE31" i="4"/>
  <c r="AF31" i="4" s="1"/>
  <c r="M31" i="4"/>
  <c r="N31" i="4" s="1"/>
  <c r="AW30" i="4"/>
  <c r="AX30" i="4" s="1"/>
  <c r="AF30" i="4"/>
  <c r="AE30" i="4"/>
  <c r="M30" i="4"/>
  <c r="N30" i="4" s="1"/>
  <c r="AW29" i="4"/>
  <c r="AX29" i="4" s="1"/>
  <c r="AE29" i="4"/>
  <c r="AF29" i="4" s="1"/>
  <c r="N29" i="4"/>
  <c r="M29" i="4"/>
  <c r="AW28" i="4"/>
  <c r="AX28" i="4" s="1"/>
  <c r="AE28" i="4"/>
  <c r="AF28" i="4" s="1"/>
  <c r="M28" i="4"/>
  <c r="N28" i="4" s="1"/>
  <c r="AX27" i="4"/>
  <c r="AW27" i="4"/>
  <c r="AE27" i="4"/>
  <c r="AF27" i="4" s="1"/>
  <c r="M27" i="4"/>
  <c r="N27" i="4" s="1"/>
  <c r="AW26" i="4"/>
  <c r="AX26" i="4" s="1"/>
  <c r="AF26" i="4"/>
  <c r="AE26" i="4"/>
  <c r="M26" i="4"/>
  <c r="N26" i="4" s="1"/>
  <c r="AW25" i="4"/>
  <c r="AX25" i="4" s="1"/>
  <c r="AE25" i="4"/>
  <c r="AF25" i="4" s="1"/>
  <c r="N25" i="4"/>
  <c r="M25" i="4"/>
  <c r="AW24" i="4"/>
  <c r="AX24" i="4" s="1"/>
  <c r="AE24" i="4"/>
  <c r="AF24" i="4" s="1"/>
  <c r="M24" i="4"/>
  <c r="N24" i="4" s="1"/>
  <c r="AX23" i="4"/>
  <c r="AW23" i="4"/>
  <c r="AE23" i="4"/>
  <c r="AF23" i="4" s="1"/>
  <c r="M23" i="4"/>
  <c r="N23" i="4" s="1"/>
  <c r="AW22" i="4"/>
  <c r="AX22" i="4" s="1"/>
  <c r="AF22" i="4"/>
  <c r="AE22" i="4"/>
  <c r="M22" i="4"/>
  <c r="N22" i="4" s="1"/>
  <c r="AW21" i="4"/>
  <c r="AX21" i="4" s="1"/>
  <c r="AE21" i="4"/>
  <c r="AF21" i="4" s="1"/>
  <c r="N21" i="4"/>
  <c r="M21" i="4"/>
  <c r="AW20" i="4"/>
  <c r="AX20" i="4" s="1"/>
  <c r="AE20" i="4"/>
  <c r="AF20" i="4" s="1"/>
  <c r="M20" i="4"/>
  <c r="N20" i="4" s="1"/>
  <c r="AX19" i="4"/>
  <c r="AW19" i="4"/>
  <c r="AE19" i="4"/>
  <c r="AF19" i="4" s="1"/>
  <c r="M19" i="4"/>
  <c r="N19" i="4" s="1"/>
  <c r="AW18" i="4"/>
  <c r="AX18" i="4" s="1"/>
  <c r="AE18" i="4"/>
  <c r="AF18" i="4" s="1"/>
  <c r="M18" i="4"/>
  <c r="N18" i="4" s="1"/>
  <c r="AW17" i="4"/>
  <c r="AX17" i="4" s="1"/>
  <c r="AL17" i="4"/>
  <c r="AK17" i="4"/>
  <c r="AK18" i="4" s="1"/>
  <c r="AE17" i="4"/>
  <c r="AF17" i="4" s="1"/>
  <c r="M17" i="4"/>
  <c r="N17" i="4" s="1"/>
  <c r="AW16" i="4"/>
  <c r="AX16" i="4" s="1"/>
  <c r="AE16" i="4"/>
  <c r="AF16" i="4" s="1"/>
  <c r="M16" i="4"/>
  <c r="N16" i="4" s="1"/>
  <c r="AW15" i="4"/>
  <c r="AX15" i="4" s="1"/>
  <c r="AE15" i="4"/>
  <c r="AF15" i="4" s="1"/>
  <c r="M15" i="4"/>
  <c r="N15" i="4" s="1"/>
  <c r="AW14" i="4"/>
  <c r="AX14" i="4" s="1"/>
  <c r="AF14" i="4"/>
  <c r="AE14" i="4"/>
  <c r="M14" i="4"/>
  <c r="N14" i="4" s="1"/>
  <c r="AW13" i="4"/>
  <c r="AX13" i="4" s="1"/>
  <c r="AE13" i="4"/>
  <c r="AF13" i="4" s="1"/>
  <c r="N13" i="4"/>
  <c r="M13" i="4"/>
  <c r="AW12" i="4"/>
  <c r="AX12" i="4" s="1"/>
  <c r="AF12" i="4"/>
  <c r="AE12" i="4"/>
  <c r="M12" i="4"/>
  <c r="N12" i="4" s="1"/>
  <c r="AX11" i="4"/>
  <c r="AW11" i="4"/>
  <c r="AK11" i="4"/>
  <c r="AK12" i="4" s="1"/>
  <c r="AE11" i="4"/>
  <c r="AF11" i="4" s="1"/>
  <c r="M11" i="4"/>
  <c r="N11" i="4" s="1"/>
  <c r="AX10" i="4"/>
  <c r="AW10" i="4"/>
  <c r="AE10" i="4"/>
  <c r="AF10" i="4" s="1"/>
  <c r="N10" i="4"/>
  <c r="M10" i="4"/>
  <c r="AW9" i="4"/>
  <c r="AX9" i="4" s="1"/>
  <c r="AF9" i="4"/>
  <c r="AE9" i="4"/>
  <c r="N9" i="4"/>
  <c r="M9" i="4"/>
  <c r="AW8" i="4"/>
  <c r="AX8" i="4" s="1"/>
  <c r="AF8" i="4"/>
  <c r="AE8" i="4"/>
  <c r="N8" i="4"/>
  <c r="M8" i="4"/>
  <c r="AX7" i="4"/>
  <c r="AW7" i="4"/>
  <c r="AF7" i="4"/>
  <c r="AE7" i="4"/>
  <c r="M7" i="4"/>
  <c r="N7" i="4" s="1"/>
  <c r="AW6" i="4"/>
  <c r="AX6" i="4" s="1"/>
  <c r="AE6" i="4"/>
  <c r="AF6" i="4" s="1"/>
  <c r="M6" i="4"/>
  <c r="N6" i="4" s="1"/>
  <c r="R5" i="4"/>
  <c r="R10" i="4" s="1"/>
  <c r="R7" i="4" l="1"/>
  <c r="R9" i="4" s="1"/>
  <c r="V9" i="4" s="1"/>
  <c r="AK15" i="4"/>
  <c r="AL18" i="4"/>
  <c r="AL15" i="4"/>
  <c r="AM7" i="4" s="1"/>
  <c r="K23" i="2" l="1"/>
  <c r="K26" i="2"/>
  <c r="K29" i="2"/>
  <c r="K31" i="2"/>
  <c r="K34" i="2"/>
  <c r="K35" i="2"/>
  <c r="K36" i="2"/>
  <c r="K39" i="2"/>
  <c r="K46" i="2"/>
  <c r="K51" i="2"/>
  <c r="K64" i="2"/>
  <c r="K73" i="2"/>
  <c r="K76" i="2"/>
  <c r="K84" i="2"/>
  <c r="K92" i="2"/>
  <c r="K94" i="2"/>
  <c r="K95" i="2"/>
  <c r="F22" i="2"/>
  <c r="AB39" i="2" l="1"/>
  <c r="AA39" i="2"/>
  <c r="AC39" i="2"/>
  <c r="Z39" i="2"/>
  <c r="Z92" i="2"/>
  <c r="AA92" i="2"/>
  <c r="AC92" i="2"/>
  <c r="AB92" i="2"/>
  <c r="Z36" i="2"/>
  <c r="AA36" i="2"/>
  <c r="AC36" i="2"/>
  <c r="AB36" i="2"/>
  <c r="AC73" i="2"/>
  <c r="AB73" i="2"/>
  <c r="Z73" i="2"/>
  <c r="AA73" i="2"/>
  <c r="AA94" i="2"/>
  <c r="AB94" i="2"/>
  <c r="AC94" i="2"/>
  <c r="Z94" i="2"/>
  <c r="AA35" i="2"/>
  <c r="AB35" i="2"/>
  <c r="Z35" i="2"/>
  <c r="AC35" i="2"/>
  <c r="AA34" i="2"/>
  <c r="AC34" i="2"/>
  <c r="Z34" i="2"/>
  <c r="AB34" i="2"/>
  <c r="AA26" i="2"/>
  <c r="AC26" i="2"/>
  <c r="AB26" i="2"/>
  <c r="Z26" i="2"/>
  <c r="Z84" i="2"/>
  <c r="AB84" i="2"/>
  <c r="AA84" i="2"/>
  <c r="AC84" i="2"/>
  <c r="Z76" i="2"/>
  <c r="AA76" i="2"/>
  <c r="AC76" i="2"/>
  <c r="AB76" i="2"/>
  <c r="AB31" i="2"/>
  <c r="AA31" i="2"/>
  <c r="AC31" i="2"/>
  <c r="Z31" i="2"/>
  <c r="AC64" i="2"/>
  <c r="AB64" i="2"/>
  <c r="Z64" i="2"/>
  <c r="AA64" i="2"/>
  <c r="AB29" i="2"/>
  <c r="AA29" i="2"/>
  <c r="AC29" i="2"/>
  <c r="Z29" i="2"/>
  <c r="Z51" i="2"/>
  <c r="AA51" i="2"/>
  <c r="AC51" i="2"/>
  <c r="AB51" i="2"/>
  <c r="AB95" i="2"/>
  <c r="AA95" i="2"/>
  <c r="Z95" i="2"/>
  <c r="AC95" i="2"/>
  <c r="AA46" i="2"/>
  <c r="AB46" i="2"/>
  <c r="Z46" i="2"/>
  <c r="AC46" i="2"/>
  <c r="AB23" i="2"/>
  <c r="AA23" i="2"/>
  <c r="Z23" i="2"/>
  <c r="AC23" i="2"/>
  <c r="U64" i="2"/>
  <c r="V64" i="2" s="1"/>
  <c r="L64" i="2"/>
  <c r="M64" i="2"/>
  <c r="U51" i="2"/>
  <c r="V51" i="2" s="1"/>
  <c r="M51" i="2"/>
  <c r="L51" i="2"/>
  <c r="U26" i="2"/>
  <c r="V26" i="2" s="1"/>
  <c r="M26" i="2"/>
  <c r="L26" i="2"/>
  <c r="U95" i="2"/>
  <c r="V95" i="2" s="1"/>
  <c r="M95" i="2"/>
  <c r="L95" i="2"/>
  <c r="U46" i="2"/>
  <c r="V46" i="2" s="1"/>
  <c r="M46" i="2"/>
  <c r="L46" i="2"/>
  <c r="U23" i="2"/>
  <c r="L23" i="2"/>
  <c r="M23" i="2"/>
  <c r="U94" i="2"/>
  <c r="V94" i="2" s="1"/>
  <c r="M94" i="2"/>
  <c r="L94" i="2"/>
  <c r="U39" i="2"/>
  <c r="V39" i="2" s="1"/>
  <c r="L39" i="2"/>
  <c r="M39" i="2"/>
  <c r="U29" i="2"/>
  <c r="V29" i="2" s="1"/>
  <c r="M29" i="2"/>
  <c r="L29" i="2"/>
  <c r="U92" i="2"/>
  <c r="V92" i="2" s="1"/>
  <c r="L92" i="2"/>
  <c r="M92" i="2"/>
  <c r="U36" i="2"/>
  <c r="V36" i="2" s="1"/>
  <c r="L36" i="2"/>
  <c r="M36" i="2"/>
  <c r="U84" i="2"/>
  <c r="V84" i="2" s="1"/>
  <c r="L84" i="2"/>
  <c r="M84" i="2"/>
  <c r="U35" i="2"/>
  <c r="V35" i="2" s="1"/>
  <c r="M35" i="2"/>
  <c r="L35" i="2"/>
  <c r="U76" i="2"/>
  <c r="V76" i="2" s="1"/>
  <c r="L76" i="2"/>
  <c r="M76" i="2"/>
  <c r="U34" i="2"/>
  <c r="V34" i="2" s="1"/>
  <c r="L34" i="2"/>
  <c r="M34" i="2"/>
  <c r="U73" i="2"/>
  <c r="V73" i="2" s="1"/>
  <c r="M73" i="2"/>
  <c r="L73" i="2"/>
  <c r="U31" i="2"/>
  <c r="V31" i="2" s="1"/>
  <c r="L31" i="2"/>
  <c r="M3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2" l="1"/>
  <c r="F7" i="2"/>
  <c r="N29" i="2"/>
  <c r="Q29" i="2" s="1"/>
  <c r="O29" i="2"/>
  <c r="W29" i="2" s="1"/>
  <c r="P29" i="2"/>
  <c r="X29" i="2" s="1"/>
  <c r="O36" i="2"/>
  <c r="W36" i="2" s="1"/>
  <c r="N36" i="2"/>
  <c r="Q36" i="2" s="1"/>
  <c r="P36" i="2"/>
  <c r="X36" i="2" s="1"/>
  <c r="N39" i="2"/>
  <c r="Q39" i="2" s="1"/>
  <c r="P39" i="2"/>
  <c r="Y39" i="2" s="1"/>
  <c r="O39" i="2"/>
  <c r="W39" i="2" s="1"/>
  <c r="O26" i="2"/>
  <c r="W26" i="2" s="1"/>
  <c r="N26" i="2"/>
  <c r="Q26" i="2" s="1"/>
  <c r="P26" i="2"/>
  <c r="Y26" i="2" s="1"/>
  <c r="P73" i="2"/>
  <c r="N73" i="2"/>
  <c r="Q73" i="2" s="1"/>
  <c r="O73" i="2"/>
  <c r="W73" i="2" s="1"/>
  <c r="O76" i="2"/>
  <c r="W76" i="2" s="1"/>
  <c r="N76" i="2"/>
  <c r="Q76" i="2" s="1"/>
  <c r="P76" i="2"/>
  <c r="Y76" i="2" s="1"/>
  <c r="O92" i="2"/>
  <c r="P92" i="2"/>
  <c r="N92" i="2"/>
  <c r="Q92" i="2" s="1"/>
  <c r="N46" i="2"/>
  <c r="Q46" i="2" s="1"/>
  <c r="O46" i="2"/>
  <c r="W46" i="2" s="1"/>
  <c r="P46" i="2"/>
  <c r="Y46" i="2" s="1"/>
  <c r="O34" i="2"/>
  <c r="W34" i="2" s="1"/>
  <c r="P34" i="2"/>
  <c r="N34" i="2"/>
  <c r="Q34" i="2" s="1"/>
  <c r="O51" i="2"/>
  <c r="P51" i="2"/>
  <c r="N51" i="2"/>
  <c r="Q51" i="2" s="1"/>
  <c r="N23" i="2"/>
  <c r="Q23" i="2" s="1"/>
  <c r="P23" i="2"/>
  <c r="Y23" i="2" s="1"/>
  <c r="O23" i="2"/>
  <c r="O35" i="2"/>
  <c r="W35" i="2" s="1"/>
  <c r="P35" i="2"/>
  <c r="X35" i="2" s="1"/>
  <c r="N35" i="2"/>
  <c r="Q35" i="2" s="1"/>
  <c r="O84" i="2"/>
  <c r="W84" i="2" s="1"/>
  <c r="N84" i="2"/>
  <c r="Q84" i="2" s="1"/>
  <c r="P84" i="2"/>
  <c r="Y84" i="2" s="1"/>
  <c r="N94" i="2"/>
  <c r="Q94" i="2" s="1"/>
  <c r="O94" i="2"/>
  <c r="W94" i="2" s="1"/>
  <c r="P94" i="2"/>
  <c r="N31" i="2"/>
  <c r="Q31" i="2" s="1"/>
  <c r="P31" i="2"/>
  <c r="Y31" i="2" s="1"/>
  <c r="O31" i="2"/>
  <c r="W31" i="2" s="1"/>
  <c r="N95" i="2"/>
  <c r="Q95" i="2" s="1"/>
  <c r="P95" i="2"/>
  <c r="Y95" i="2" s="1"/>
  <c r="O95" i="2"/>
  <c r="W95" i="2" s="1"/>
  <c r="P64" i="2"/>
  <c r="Y64" i="2" s="1"/>
  <c r="O64" i="2"/>
  <c r="W64" i="2" s="1"/>
  <c r="N64" i="2"/>
  <c r="Q64" i="2" s="1"/>
  <c r="B6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B5" i="2"/>
  <c r="F9" i="2" l="1"/>
  <c r="F6" i="2"/>
  <c r="X73" i="2"/>
  <c r="Y29" i="2"/>
  <c r="X92" i="2"/>
  <c r="V23" i="2"/>
  <c r="W23" i="2" s="1"/>
  <c r="T51" i="2"/>
  <c r="X51" i="2"/>
  <c r="R51" i="2"/>
  <c r="W51" i="2"/>
  <c r="R92" i="2"/>
  <c r="W92" i="2"/>
  <c r="Y92" i="2"/>
  <c r="T26" i="2"/>
  <c r="X26" i="2"/>
  <c r="S34" i="2"/>
  <c r="X34" i="2"/>
  <c r="T64" i="2"/>
  <c r="X64" i="2"/>
  <c r="T23" i="2"/>
  <c r="X23" i="2"/>
  <c r="T46" i="2"/>
  <c r="X46" i="2"/>
  <c r="X39" i="2"/>
  <c r="Y35" i="2"/>
  <c r="S95" i="2"/>
  <c r="X95" i="2"/>
  <c r="T84" i="2"/>
  <c r="X84" i="2"/>
  <c r="Y51" i="2"/>
  <c r="Y73" i="2"/>
  <c r="T31" i="2"/>
  <c r="X31" i="2"/>
  <c r="T94" i="2"/>
  <c r="X94" i="2"/>
  <c r="T76" i="2"/>
  <c r="X76" i="2"/>
  <c r="T39" i="2"/>
  <c r="Y34" i="2"/>
  <c r="Y36" i="2"/>
  <c r="Y94" i="2"/>
  <c r="R46" i="2"/>
  <c r="S73" i="2"/>
  <c r="S36" i="2"/>
  <c r="S29" i="2"/>
  <c r="R34" i="2"/>
  <c r="S92" i="2"/>
  <c r="S64" i="2"/>
  <c r="R94" i="2"/>
  <c r="S35" i="2"/>
  <c r="S51" i="2"/>
  <c r="S39" i="2"/>
  <c r="T29" i="2"/>
  <c r="R84" i="2"/>
  <c r="R95" i="2"/>
  <c r="S94" i="2"/>
  <c r="T35" i="2"/>
  <c r="S46" i="2"/>
  <c r="S76" i="2"/>
  <c r="S26" i="2"/>
  <c r="T36" i="2"/>
  <c r="R35" i="2"/>
  <c r="R31" i="2"/>
  <c r="R23" i="2"/>
  <c r="T92" i="2"/>
  <c r="R73" i="2"/>
  <c r="R39" i="2"/>
  <c r="R26" i="2"/>
  <c r="T95" i="2"/>
  <c r="R76" i="2"/>
  <c r="R36" i="2"/>
  <c r="R64" i="2"/>
  <c r="S31" i="2"/>
  <c r="S84" i="2"/>
  <c r="S23" i="2"/>
  <c r="T34" i="2"/>
  <c r="T73" i="2"/>
  <c r="R29" i="2"/>
  <c r="H30" i="2"/>
  <c r="I27" i="2"/>
  <c r="I35" i="2"/>
  <c r="I43" i="2"/>
  <c r="I51" i="2"/>
  <c r="I59" i="2"/>
  <c r="I67" i="2"/>
  <c r="I75" i="2"/>
  <c r="I83" i="2"/>
  <c r="I91" i="2"/>
  <c r="I33" i="2"/>
  <c r="I73" i="2"/>
  <c r="I28" i="2"/>
  <c r="I36" i="2"/>
  <c r="I44" i="2"/>
  <c r="I52" i="2"/>
  <c r="I60" i="2"/>
  <c r="I68" i="2"/>
  <c r="I76" i="2"/>
  <c r="I84" i="2"/>
  <c r="I92" i="2"/>
  <c r="I85" i="2"/>
  <c r="I25" i="2"/>
  <c r="I81" i="2"/>
  <c r="I29" i="2"/>
  <c r="I37" i="2"/>
  <c r="I45" i="2"/>
  <c r="I53" i="2"/>
  <c r="I61" i="2"/>
  <c r="I69" i="2"/>
  <c r="I77" i="2"/>
  <c r="I93" i="2"/>
  <c r="I30" i="2"/>
  <c r="I38" i="2"/>
  <c r="I46" i="2"/>
  <c r="I54" i="2"/>
  <c r="I62" i="2"/>
  <c r="I70" i="2"/>
  <c r="I78" i="2"/>
  <c r="I86" i="2"/>
  <c r="I94" i="2"/>
  <c r="I22" i="2"/>
  <c r="I49" i="2"/>
  <c r="I89" i="2"/>
  <c r="I23" i="2"/>
  <c r="I31" i="2"/>
  <c r="I39" i="2"/>
  <c r="I47" i="2"/>
  <c r="I55" i="2"/>
  <c r="I63" i="2"/>
  <c r="I71" i="2"/>
  <c r="I79" i="2"/>
  <c r="I87" i="2"/>
  <c r="I95" i="2"/>
  <c r="H22" i="2"/>
  <c r="I65" i="2"/>
  <c r="I24" i="2"/>
  <c r="I32" i="2"/>
  <c r="I40" i="2"/>
  <c r="I48" i="2"/>
  <c r="I56" i="2"/>
  <c r="I64" i="2"/>
  <c r="I72" i="2"/>
  <c r="I80" i="2"/>
  <c r="I88" i="2"/>
  <c r="I57" i="2"/>
  <c r="I26" i="2"/>
  <c r="I34" i="2"/>
  <c r="I42" i="2"/>
  <c r="I50" i="2"/>
  <c r="I58" i="2"/>
  <c r="I66" i="2"/>
  <c r="I74" i="2"/>
  <c r="I82" i="2"/>
  <c r="I90" i="2"/>
  <c r="I41" i="2"/>
  <c r="G9" i="2"/>
  <c r="H84" i="2"/>
  <c r="H77" i="2"/>
  <c r="H52" i="2"/>
  <c r="H45" i="2"/>
  <c r="H101" i="2"/>
  <c r="H69" i="2"/>
  <c r="H37" i="2"/>
  <c r="H100" i="2"/>
  <c r="H68" i="2"/>
  <c r="H36" i="2"/>
  <c r="H29" i="2"/>
  <c r="H76" i="2"/>
  <c r="H92" i="2"/>
  <c r="H60" i="2"/>
  <c r="H28" i="2"/>
  <c r="H44" i="2"/>
  <c r="H93" i="2"/>
  <c r="H61" i="2"/>
  <c r="H85" i="2"/>
  <c r="H53" i="2"/>
  <c r="H99" i="2"/>
  <c r="H91" i="2"/>
  <c r="H83" i="2"/>
  <c r="H75" i="2"/>
  <c r="H67" i="2"/>
  <c r="H59" i="2"/>
  <c r="H51" i="2"/>
  <c r="H43" i="2"/>
  <c r="H35" i="2"/>
  <c r="H27" i="2"/>
  <c r="H98" i="2"/>
  <c r="H90" i="2"/>
  <c r="H82" i="2"/>
  <c r="H74" i="2"/>
  <c r="H66" i="2"/>
  <c r="H58" i="2"/>
  <c r="H50" i="2"/>
  <c r="H42" i="2"/>
  <c r="H34" i="2"/>
  <c r="H26" i="2"/>
  <c r="H97" i="2"/>
  <c r="H89" i="2"/>
  <c r="H81" i="2"/>
  <c r="H73" i="2"/>
  <c r="H65" i="2"/>
  <c r="H57" i="2"/>
  <c r="H49" i="2"/>
  <c r="H41" i="2"/>
  <c r="H33" i="2"/>
  <c r="H25" i="2"/>
  <c r="H96" i="2"/>
  <c r="H88" i="2"/>
  <c r="H80" i="2"/>
  <c r="H72" i="2"/>
  <c r="H64" i="2"/>
  <c r="H56" i="2"/>
  <c r="H48" i="2"/>
  <c r="H40" i="2"/>
  <c r="H32" i="2"/>
  <c r="H24" i="2"/>
  <c r="H95" i="2"/>
  <c r="H87" i="2"/>
  <c r="H79" i="2"/>
  <c r="H71" i="2"/>
  <c r="H63" i="2"/>
  <c r="H55" i="2"/>
  <c r="H47" i="2"/>
  <c r="H39" i="2"/>
  <c r="H31" i="2"/>
  <c r="H23" i="2"/>
  <c r="H94" i="2"/>
  <c r="H86" i="2"/>
  <c r="H78" i="2"/>
  <c r="H70" i="2"/>
  <c r="H62" i="2"/>
  <c r="H54" i="2"/>
  <c r="H46" i="2"/>
  <c r="H38" i="2"/>
  <c r="G11" i="2" l="1"/>
  <c r="G8" i="2"/>
  <c r="G15" i="2" l="1"/>
  <c r="G13" i="2"/>
  <c r="G6" i="2"/>
  <c r="G16" i="2" l="1"/>
  <c r="F10" i="2"/>
  <c r="G7" i="2"/>
  <c r="G17" i="2" l="1"/>
  <c r="G14" i="2"/>
  <c r="G10" i="2"/>
  <c r="J80" i="2" s="1"/>
  <c r="K80" i="2" s="1"/>
  <c r="J53" i="2"/>
  <c r="K53" i="2" s="1"/>
  <c r="J86" i="2"/>
  <c r="K86" i="2" s="1"/>
  <c r="J82" i="2"/>
  <c r="K82" i="2" s="1"/>
  <c r="J57" i="2"/>
  <c r="K57" i="2" s="1"/>
  <c r="J56" i="2"/>
  <c r="K56" i="2" s="1"/>
  <c r="J64" i="2"/>
  <c r="J91" i="2"/>
  <c r="K91" i="2" s="1"/>
  <c r="J28" i="2"/>
  <c r="K28" i="2" s="1"/>
  <c r="J61" i="2"/>
  <c r="K61" i="2" s="1"/>
  <c r="J94" i="2"/>
  <c r="J24" i="2"/>
  <c r="K24" i="2" s="1"/>
  <c r="J88" i="2"/>
  <c r="K88" i="2" s="1"/>
  <c r="J65" i="2"/>
  <c r="K65" i="2" s="1"/>
  <c r="J58" i="2"/>
  <c r="K58" i="2" s="1"/>
  <c r="J95" i="2"/>
  <c r="J75" i="2"/>
  <c r="K75" i="2" s="1"/>
  <c r="J41" i="2"/>
  <c r="K41" i="2" s="1"/>
  <c r="J36" i="2"/>
  <c r="J38" i="2"/>
  <c r="K38" i="2" s="1"/>
  <c r="J79" i="2"/>
  <c r="K79" i="2" s="1"/>
  <c r="J73" i="2"/>
  <c r="J51" i="2"/>
  <c r="J54" i="2"/>
  <c r="K54" i="2" s="1"/>
  <c r="J44" i="2"/>
  <c r="K44" i="2" s="1"/>
  <c r="J42" i="2"/>
  <c r="K42" i="2" s="1"/>
  <c r="J77" i="2"/>
  <c r="K77" i="2" s="1"/>
  <c r="J23" i="2"/>
  <c r="J87" i="2"/>
  <c r="K87" i="2" s="1"/>
  <c r="J40" i="2"/>
  <c r="K40" i="2" s="1"/>
  <c r="J48" i="2"/>
  <c r="K48" i="2" s="1"/>
  <c r="J33" i="2"/>
  <c r="K33" i="2" s="1"/>
  <c r="J68" i="2"/>
  <c r="K68" i="2" s="1"/>
  <c r="J27" i="2"/>
  <c r="K27" i="2" s="1"/>
  <c r="J52" i="2"/>
  <c r="K52" i="2" s="1"/>
  <c r="J74" i="2"/>
  <c r="K74" i="2" s="1"/>
  <c r="J31" i="2"/>
  <c r="J89" i="2"/>
  <c r="K89" i="2" s="1"/>
  <c r="J47" i="2"/>
  <c r="K47" i="2" s="1"/>
  <c r="J60" i="2"/>
  <c r="K60" i="2" s="1"/>
  <c r="J29" i="2"/>
  <c r="J93" i="2"/>
  <c r="K93" i="2" s="1"/>
  <c r="J39" i="2"/>
  <c r="J70" i="2"/>
  <c r="K70" i="2" s="1"/>
  <c r="J83" i="2"/>
  <c r="K83" i="2" s="1"/>
  <c r="J76" i="2"/>
  <c r="J45" i="2"/>
  <c r="K45" i="2" s="1"/>
  <c r="J34" i="2"/>
  <c r="J78" i="2"/>
  <c r="K78" i="2" s="1"/>
  <c r="J50" i="2"/>
  <c r="K50" i="2" s="1"/>
  <c r="J72" i="2"/>
  <c r="K72" i="2" s="1"/>
  <c r="J49" i="2"/>
  <c r="K49" i="2" s="1"/>
  <c r="J63" i="2" l="1"/>
  <c r="K63" i="2" s="1"/>
  <c r="J90" i="2"/>
  <c r="K90" i="2" s="1"/>
  <c r="J26" i="2"/>
  <c r="J46" i="2"/>
  <c r="J32" i="2"/>
  <c r="K32" i="2" s="1"/>
  <c r="J67" i="2"/>
  <c r="K67" i="2" s="1"/>
  <c r="AC67" i="2" s="1"/>
  <c r="J71" i="2"/>
  <c r="K71" i="2" s="1"/>
  <c r="Z71" i="2" s="1"/>
  <c r="J37" i="2"/>
  <c r="K37" i="2" s="1"/>
  <c r="Z37" i="2" s="1"/>
  <c r="J66" i="2"/>
  <c r="K66" i="2" s="1"/>
  <c r="J22" i="2"/>
  <c r="K22" i="2" s="1"/>
  <c r="J59" i="2"/>
  <c r="K59" i="2" s="1"/>
  <c r="AA59" i="2" s="1"/>
  <c r="J30" i="2"/>
  <c r="K30" i="2" s="1"/>
  <c r="J35" i="2"/>
  <c r="J84" i="2"/>
  <c r="J55" i="2"/>
  <c r="K55" i="2" s="1"/>
  <c r="AB55" i="2" s="1"/>
  <c r="J62" i="2"/>
  <c r="K62" i="2" s="1"/>
  <c r="U62" i="2" s="1"/>
  <c r="V62" i="2" s="1"/>
  <c r="J85" i="2"/>
  <c r="K85" i="2" s="1"/>
  <c r="J81" i="2"/>
  <c r="K81" i="2" s="1"/>
  <c r="J25" i="2"/>
  <c r="K25" i="2" s="1"/>
  <c r="Z25" i="2" s="1"/>
  <c r="J69" i="2"/>
  <c r="K69" i="2" s="1"/>
  <c r="J43" i="2"/>
  <c r="K43" i="2" s="1"/>
  <c r="Z43" i="2" s="1"/>
  <c r="J92" i="2"/>
  <c r="AC50" i="2"/>
  <c r="AA50" i="2"/>
  <c r="AB50" i="2"/>
  <c r="Z50" i="2"/>
  <c r="AC85" i="2"/>
  <c r="AB85" i="2"/>
  <c r="AA85" i="2"/>
  <c r="Z85" i="2"/>
  <c r="AC25" i="2"/>
  <c r="AB25" i="2"/>
  <c r="AA43" i="2"/>
  <c r="AB43" i="2"/>
  <c r="AC43" i="2"/>
  <c r="AB78" i="2"/>
  <c r="Z78" i="2"/>
  <c r="AC78" i="2"/>
  <c r="AA78" i="2"/>
  <c r="AA74" i="2"/>
  <c r="AC74" i="2"/>
  <c r="Z74" i="2"/>
  <c r="AB74" i="2"/>
  <c r="AC40" i="2"/>
  <c r="AB40" i="2"/>
  <c r="Z40" i="2"/>
  <c r="AA40" i="2"/>
  <c r="AC65" i="2"/>
  <c r="AB65" i="2"/>
  <c r="AA65" i="2"/>
  <c r="Z65" i="2"/>
  <c r="AC82" i="2"/>
  <c r="AB82" i="2"/>
  <c r="Z82" i="2"/>
  <c r="AA82" i="2"/>
  <c r="Z52" i="2"/>
  <c r="AA52" i="2"/>
  <c r="AB52" i="2"/>
  <c r="AC52" i="2"/>
  <c r="AC41" i="2"/>
  <c r="AB41" i="2"/>
  <c r="AA41" i="2"/>
  <c r="Z41" i="2"/>
  <c r="Z91" i="2"/>
  <c r="AA91" i="2"/>
  <c r="AB91" i="2"/>
  <c r="AC91" i="2"/>
  <c r="AA45" i="2"/>
  <c r="Z45" i="2"/>
  <c r="AC45" i="2"/>
  <c r="AB45" i="2"/>
  <c r="AA27" i="2"/>
  <c r="Z27" i="2"/>
  <c r="AC27" i="2"/>
  <c r="AB27" i="2"/>
  <c r="AC24" i="2"/>
  <c r="AB24" i="2"/>
  <c r="Z24" i="2"/>
  <c r="AA24" i="2"/>
  <c r="AC90" i="2"/>
  <c r="AA90" i="2"/>
  <c r="AB90" i="2"/>
  <c r="Z90" i="2"/>
  <c r="AA67" i="2"/>
  <c r="AB67" i="2"/>
  <c r="Z67" i="2"/>
  <c r="AC49" i="2"/>
  <c r="AB49" i="2"/>
  <c r="Z49" i="2"/>
  <c r="AA49" i="2"/>
  <c r="AA83" i="2"/>
  <c r="AB83" i="2"/>
  <c r="Z83" i="2"/>
  <c r="AC83" i="2"/>
  <c r="AB47" i="2"/>
  <c r="AA47" i="2"/>
  <c r="AC47" i="2"/>
  <c r="Z47" i="2"/>
  <c r="Z68" i="2"/>
  <c r="AC68" i="2"/>
  <c r="AA68" i="2"/>
  <c r="AB68" i="2"/>
  <c r="AA77" i="2"/>
  <c r="AC77" i="2"/>
  <c r="Z77" i="2"/>
  <c r="AB77" i="2"/>
  <c r="AB79" i="2"/>
  <c r="AA79" i="2"/>
  <c r="Z79" i="2"/>
  <c r="AC79" i="2"/>
  <c r="AC56" i="2"/>
  <c r="AB56" i="2"/>
  <c r="Z56" i="2"/>
  <c r="AA56" i="2"/>
  <c r="AB53" i="2"/>
  <c r="AA53" i="2"/>
  <c r="Z53" i="2"/>
  <c r="AC53" i="2"/>
  <c r="AC62" i="2"/>
  <c r="AC81" i="2"/>
  <c r="AB81" i="2"/>
  <c r="Z81" i="2"/>
  <c r="AA81" i="2"/>
  <c r="AA69" i="2"/>
  <c r="AB69" i="2"/>
  <c r="Z69" i="2"/>
  <c r="AC69" i="2"/>
  <c r="AC80" i="2"/>
  <c r="AB80" i="2"/>
  <c r="Z80" i="2"/>
  <c r="AA80" i="2"/>
  <c r="AB93" i="2"/>
  <c r="Z93" i="2"/>
  <c r="AA93" i="2"/>
  <c r="AC93" i="2"/>
  <c r="AA54" i="2"/>
  <c r="Z54" i="2"/>
  <c r="AC54" i="2"/>
  <c r="AB54" i="2"/>
  <c r="Z28" i="2"/>
  <c r="AA28" i="2"/>
  <c r="AB28" i="2"/>
  <c r="AC28" i="2"/>
  <c r="AB87" i="2"/>
  <c r="AA87" i="2"/>
  <c r="AC87" i="2"/>
  <c r="Z87" i="2"/>
  <c r="AC88" i="2"/>
  <c r="AB88" i="2"/>
  <c r="Z88" i="2"/>
  <c r="AA88" i="2"/>
  <c r="AB63" i="2"/>
  <c r="AA63" i="2"/>
  <c r="AC63" i="2"/>
  <c r="Z63" i="2"/>
  <c r="Z60" i="2"/>
  <c r="AA60" i="2"/>
  <c r="AC60" i="2"/>
  <c r="AB60" i="2"/>
  <c r="AA75" i="2"/>
  <c r="Z75" i="2"/>
  <c r="AC75" i="2"/>
  <c r="AB75" i="2"/>
  <c r="AC86" i="2"/>
  <c r="AA86" i="2"/>
  <c r="Z86" i="2"/>
  <c r="AB86" i="2"/>
  <c r="AC32" i="2"/>
  <c r="AB32" i="2"/>
  <c r="Z32" i="2"/>
  <c r="AA32" i="2"/>
  <c r="AC66" i="2"/>
  <c r="Z66" i="2"/>
  <c r="AB66" i="2"/>
  <c r="AA66" i="2"/>
  <c r="AC72" i="2"/>
  <c r="AB72" i="2"/>
  <c r="Z72" i="2"/>
  <c r="AA72" i="2"/>
  <c r="AB70" i="2"/>
  <c r="AA70" i="2"/>
  <c r="Z70" i="2"/>
  <c r="AC70" i="2"/>
  <c r="AC89" i="2"/>
  <c r="AA89" i="2"/>
  <c r="AB89" i="2"/>
  <c r="Z89" i="2"/>
  <c r="AC33" i="2"/>
  <c r="AA33" i="2"/>
  <c r="AB33" i="2"/>
  <c r="Z33" i="2"/>
  <c r="AC42" i="2"/>
  <c r="Z42" i="2"/>
  <c r="AB42" i="2"/>
  <c r="AA42" i="2"/>
  <c r="Z22" i="2"/>
  <c r="AA22" i="2"/>
  <c r="AB22" i="2"/>
  <c r="AC22" i="2"/>
  <c r="AB59" i="2"/>
  <c r="AC30" i="2"/>
  <c r="Z30" i="2"/>
  <c r="AB30" i="2"/>
  <c r="AA30" i="2"/>
  <c r="AC48" i="2"/>
  <c r="AB48" i="2"/>
  <c r="Z48" i="2"/>
  <c r="AA48" i="2"/>
  <c r="Z44" i="2"/>
  <c r="AC44" i="2"/>
  <c r="AB44" i="2"/>
  <c r="AA44" i="2"/>
  <c r="AB38" i="2"/>
  <c r="AA38" i="2"/>
  <c r="Z38" i="2"/>
  <c r="AC38" i="2"/>
  <c r="AC58" i="2"/>
  <c r="AB58" i="2"/>
  <c r="Z58" i="2"/>
  <c r="AA58" i="2"/>
  <c r="AB61" i="2"/>
  <c r="AC61" i="2"/>
  <c r="Z61" i="2"/>
  <c r="AA61" i="2"/>
  <c r="AC57" i="2"/>
  <c r="AA57" i="2"/>
  <c r="AB57" i="2"/>
  <c r="Z57" i="2"/>
  <c r="U89" i="2"/>
  <c r="V89" i="2" s="1"/>
  <c r="M89" i="2"/>
  <c r="L89" i="2"/>
  <c r="U42" i="2"/>
  <c r="V42" i="2" s="1"/>
  <c r="M42" i="2"/>
  <c r="L42" i="2"/>
  <c r="U30" i="2"/>
  <c r="V30" i="2" s="1"/>
  <c r="M30" i="2"/>
  <c r="L30" i="2"/>
  <c r="U50" i="2"/>
  <c r="V50" i="2" s="1"/>
  <c r="M50" i="2"/>
  <c r="L50" i="2"/>
  <c r="U38" i="2"/>
  <c r="V38" i="2" s="1"/>
  <c r="M38" i="2"/>
  <c r="L38" i="2"/>
  <c r="U58" i="2"/>
  <c r="V58" i="2" s="1"/>
  <c r="M58" i="2"/>
  <c r="L58" i="2"/>
  <c r="U61" i="2"/>
  <c r="V61" i="2" s="1"/>
  <c r="M61" i="2"/>
  <c r="L61" i="2"/>
  <c r="U57" i="2"/>
  <c r="V57" i="2" s="1"/>
  <c r="M57" i="2"/>
  <c r="L57" i="2"/>
  <c r="U85" i="2"/>
  <c r="V85" i="2" s="1"/>
  <c r="M85" i="2"/>
  <c r="L85" i="2"/>
  <c r="U81" i="2"/>
  <c r="V81" i="2" s="1"/>
  <c r="M81" i="2"/>
  <c r="L81" i="2"/>
  <c r="M25" i="2"/>
  <c r="U69" i="2"/>
  <c r="V69" i="2" s="1"/>
  <c r="M69" i="2"/>
  <c r="L69" i="2"/>
  <c r="U43" i="2"/>
  <c r="V43" i="2" s="1"/>
  <c r="M43" i="2"/>
  <c r="L43" i="2"/>
  <c r="U80" i="2"/>
  <c r="V80" i="2" s="1"/>
  <c r="M80" i="2"/>
  <c r="L80" i="2"/>
  <c r="U78" i="2"/>
  <c r="V78" i="2" s="1"/>
  <c r="M78" i="2"/>
  <c r="L78" i="2"/>
  <c r="U93" i="2"/>
  <c r="V93" i="2" s="1"/>
  <c r="M93" i="2"/>
  <c r="L93" i="2"/>
  <c r="U74" i="2"/>
  <c r="V74" i="2" s="1"/>
  <c r="L74" i="2"/>
  <c r="M74" i="2"/>
  <c r="U40" i="2"/>
  <c r="V40" i="2" s="1"/>
  <c r="M40" i="2"/>
  <c r="L40" i="2"/>
  <c r="U54" i="2"/>
  <c r="V54" i="2" s="1"/>
  <c r="M54" i="2"/>
  <c r="L54" i="2"/>
  <c r="U65" i="2"/>
  <c r="V65" i="2" s="1"/>
  <c r="M65" i="2"/>
  <c r="L65" i="2"/>
  <c r="U28" i="2"/>
  <c r="V28" i="2" s="1"/>
  <c r="L28" i="2"/>
  <c r="M28" i="2"/>
  <c r="U82" i="2"/>
  <c r="V82" i="2" s="1"/>
  <c r="M82" i="2"/>
  <c r="L82" i="2"/>
  <c r="U72" i="2"/>
  <c r="V72" i="2" s="1"/>
  <c r="M72" i="2"/>
  <c r="L72" i="2"/>
  <c r="U22" i="2"/>
  <c r="L22" i="2"/>
  <c r="M22" i="2"/>
  <c r="U44" i="2"/>
  <c r="V44" i="2" s="1"/>
  <c r="L44" i="2"/>
  <c r="M44" i="2"/>
  <c r="U52" i="2"/>
  <c r="V52" i="2" s="1"/>
  <c r="L52" i="2"/>
  <c r="M52" i="2"/>
  <c r="U41" i="2"/>
  <c r="V41" i="2" s="1"/>
  <c r="M41" i="2"/>
  <c r="L41" i="2"/>
  <c r="U63" i="2"/>
  <c r="V63" i="2" s="1"/>
  <c r="M63" i="2"/>
  <c r="L63" i="2"/>
  <c r="U60" i="2"/>
  <c r="V60" i="2" s="1"/>
  <c r="L60" i="2"/>
  <c r="M60" i="2"/>
  <c r="U24" i="2"/>
  <c r="V24" i="2" s="1"/>
  <c r="L24" i="2"/>
  <c r="M24" i="2"/>
  <c r="U90" i="2"/>
  <c r="V90" i="2" s="1"/>
  <c r="L90" i="2"/>
  <c r="M90" i="2"/>
  <c r="U32" i="2"/>
  <c r="V32" i="2" s="1"/>
  <c r="L32" i="2"/>
  <c r="M32" i="2"/>
  <c r="L67" i="2"/>
  <c r="L37" i="2"/>
  <c r="U66" i="2"/>
  <c r="V66" i="2" s="1"/>
  <c r="M66" i="2"/>
  <c r="L66" i="2"/>
  <c r="U70" i="2"/>
  <c r="V70" i="2" s="1"/>
  <c r="M70" i="2"/>
  <c r="L70" i="2"/>
  <c r="U33" i="2"/>
  <c r="V33" i="2" s="1"/>
  <c r="M33" i="2"/>
  <c r="L33" i="2"/>
  <c r="U59" i="2"/>
  <c r="V59" i="2" s="1"/>
  <c r="L59" i="2"/>
  <c r="U48" i="2"/>
  <c r="V48" i="2" s="1"/>
  <c r="L48" i="2"/>
  <c r="M48" i="2"/>
  <c r="U87" i="2"/>
  <c r="V87" i="2" s="1"/>
  <c r="L87" i="2"/>
  <c r="M87" i="2"/>
  <c r="U88" i="2"/>
  <c r="V88" i="2" s="1"/>
  <c r="M88" i="2"/>
  <c r="L88" i="2"/>
  <c r="U91" i="2"/>
  <c r="V91" i="2" s="1"/>
  <c r="M91" i="2"/>
  <c r="L91" i="2"/>
  <c r="U45" i="2"/>
  <c r="V45" i="2" s="1"/>
  <c r="L45" i="2"/>
  <c r="M45" i="2"/>
  <c r="U27" i="2"/>
  <c r="V27" i="2" s="1"/>
  <c r="M27" i="2"/>
  <c r="L27" i="2"/>
  <c r="U75" i="2"/>
  <c r="V75" i="2" s="1"/>
  <c r="M75" i="2"/>
  <c r="L75" i="2"/>
  <c r="U86" i="2"/>
  <c r="V86" i="2" s="1"/>
  <c r="M86" i="2"/>
  <c r="L86" i="2"/>
  <c r="U49" i="2"/>
  <c r="V49" i="2" s="1"/>
  <c r="M49" i="2"/>
  <c r="L49" i="2"/>
  <c r="U83" i="2"/>
  <c r="V83" i="2" s="1"/>
  <c r="M83" i="2"/>
  <c r="L83" i="2"/>
  <c r="U47" i="2"/>
  <c r="V47" i="2" s="1"/>
  <c r="L47" i="2"/>
  <c r="M47" i="2"/>
  <c r="U68" i="2"/>
  <c r="V68" i="2" s="1"/>
  <c r="L68" i="2"/>
  <c r="M68" i="2"/>
  <c r="U77" i="2"/>
  <c r="V77" i="2" s="1"/>
  <c r="L77" i="2"/>
  <c r="M77" i="2"/>
  <c r="U79" i="2"/>
  <c r="V79" i="2" s="1"/>
  <c r="M79" i="2"/>
  <c r="L79" i="2"/>
  <c r="U56" i="2"/>
  <c r="V56" i="2" s="1"/>
  <c r="M56" i="2"/>
  <c r="L56" i="2"/>
  <c r="U53" i="2"/>
  <c r="V53" i="2" s="1"/>
  <c r="M53" i="2"/>
  <c r="L53" i="2"/>
  <c r="U37" i="2" l="1"/>
  <c r="V37" i="2" s="1"/>
  <c r="AB62" i="2"/>
  <c r="Z62" i="2"/>
  <c r="M67" i="2"/>
  <c r="N67" i="2" s="1"/>
  <c r="Q67" i="2" s="1"/>
  <c r="M59" i="2"/>
  <c r="U67" i="2"/>
  <c r="V67" i="2" s="1"/>
  <c r="L25" i="2"/>
  <c r="AC59" i="2"/>
  <c r="AA37" i="2"/>
  <c r="AA62" i="2"/>
  <c r="AC37" i="2"/>
  <c r="AA25" i="2"/>
  <c r="L62" i="2"/>
  <c r="AB37" i="2"/>
  <c r="U25" i="2"/>
  <c r="V25" i="2" s="1"/>
  <c r="M62" i="2"/>
  <c r="P62" i="2" s="1"/>
  <c r="Z59" i="2"/>
  <c r="M37" i="2"/>
  <c r="L71" i="2"/>
  <c r="AC71" i="2"/>
  <c r="Z55" i="2"/>
  <c r="M71" i="2"/>
  <c r="M55" i="2"/>
  <c r="N55" i="2" s="1"/>
  <c r="Q55" i="2" s="1"/>
  <c r="AA71" i="2"/>
  <c r="AC55" i="2"/>
  <c r="U71" i="2"/>
  <c r="V71" i="2" s="1"/>
  <c r="L55" i="2"/>
  <c r="AB71" i="2"/>
  <c r="AA55" i="2"/>
  <c r="U55" i="2"/>
  <c r="V55" i="2" s="1"/>
  <c r="T3" i="2"/>
  <c r="S3" i="2"/>
  <c r="O83" i="2"/>
  <c r="W83" i="2" s="1"/>
  <c r="N83" i="2"/>
  <c r="Q83" i="2" s="1"/>
  <c r="P83" i="2"/>
  <c r="O67" i="2"/>
  <c r="W67" i="2" s="1"/>
  <c r="P67" i="2"/>
  <c r="Y67" i="2" s="1"/>
  <c r="P24" i="2"/>
  <c r="Y24" i="2" s="1"/>
  <c r="O24" i="2"/>
  <c r="N24" i="2"/>
  <c r="Q24" i="2" s="1"/>
  <c r="N30" i="2"/>
  <c r="Q30" i="2" s="1"/>
  <c r="O30" i="2"/>
  <c r="P30" i="2"/>
  <c r="Y30" i="2" s="1"/>
  <c r="P56" i="2"/>
  <c r="Y56" i="2" s="1"/>
  <c r="N56" i="2"/>
  <c r="Q56" i="2" s="1"/>
  <c r="O56" i="2"/>
  <c r="W56" i="2" s="1"/>
  <c r="O68" i="2"/>
  <c r="W68" i="2" s="1"/>
  <c r="P68" i="2"/>
  <c r="Y68" i="2" s="1"/>
  <c r="N68" i="2"/>
  <c r="Q68" i="2" s="1"/>
  <c r="O75" i="2"/>
  <c r="W75" i="2" s="1"/>
  <c r="N75" i="2"/>
  <c r="Q75" i="2" s="1"/>
  <c r="P75" i="2"/>
  <c r="Y75" i="2" s="1"/>
  <c r="P33" i="2"/>
  <c r="Y33" i="2" s="1"/>
  <c r="N33" i="2"/>
  <c r="Q33" i="2" s="1"/>
  <c r="O33" i="2"/>
  <c r="W33" i="2" s="1"/>
  <c r="N37" i="2"/>
  <c r="Q37" i="2" s="1"/>
  <c r="O37" i="2"/>
  <c r="P37" i="2"/>
  <c r="O82" i="2"/>
  <c r="W82" i="2" s="1"/>
  <c r="N82" i="2"/>
  <c r="Q82" i="2" s="1"/>
  <c r="P82" i="2"/>
  <c r="Y82" i="2" s="1"/>
  <c r="P80" i="2"/>
  <c r="N80" i="2"/>
  <c r="Q80" i="2" s="1"/>
  <c r="O80" i="2"/>
  <c r="W80" i="2" s="1"/>
  <c r="P57" i="2"/>
  <c r="N57" i="2"/>
  <c r="Q57" i="2" s="1"/>
  <c r="O57" i="2"/>
  <c r="W57" i="2" s="1"/>
  <c r="N85" i="2"/>
  <c r="Q85" i="2" s="1"/>
  <c r="P85" i="2"/>
  <c r="Y85" i="2" s="1"/>
  <c r="O85" i="2"/>
  <c r="W85" i="2" s="1"/>
  <c r="O91" i="2"/>
  <c r="W91" i="2" s="1"/>
  <c r="N91" i="2"/>
  <c r="Q91" i="2" s="1"/>
  <c r="P91" i="2"/>
  <c r="P48" i="2"/>
  <c r="N48" i="2"/>
  <c r="Q48" i="2" s="1"/>
  <c r="O48" i="2"/>
  <c r="W48" i="2" s="1"/>
  <c r="P32" i="2"/>
  <c r="Y32" i="2" s="1"/>
  <c r="N32" i="2"/>
  <c r="Q32" i="2" s="1"/>
  <c r="O32" i="2"/>
  <c r="W32" i="2" s="1"/>
  <c r="P41" i="2"/>
  <c r="O41" i="2"/>
  <c r="W41" i="2" s="1"/>
  <c r="N41" i="2"/>
  <c r="Q41" i="2" s="1"/>
  <c r="N22" i="2"/>
  <c r="Q22" i="2" s="1"/>
  <c r="P22" i="2"/>
  <c r="Y22" i="2" s="1"/>
  <c r="O22" i="2"/>
  <c r="N54" i="2"/>
  <c r="Q54" i="2" s="1"/>
  <c r="O54" i="2"/>
  <c r="W54" i="2" s="1"/>
  <c r="P54" i="2"/>
  <c r="Y54" i="2" s="1"/>
  <c r="P25" i="2"/>
  <c r="N25" i="2"/>
  <c r="Q25" i="2" s="1"/>
  <c r="O25" i="2"/>
  <c r="N38" i="2"/>
  <c r="Q38" i="2" s="1"/>
  <c r="P38" i="2"/>
  <c r="O38" i="2"/>
  <c r="W38" i="2" s="1"/>
  <c r="P49" i="2"/>
  <c r="Y49" i="2" s="1"/>
  <c r="N49" i="2"/>
  <c r="Q49" i="2" s="1"/>
  <c r="O49" i="2"/>
  <c r="O60" i="2"/>
  <c r="W60" i="2" s="1"/>
  <c r="N60" i="2"/>
  <c r="Q60" i="2" s="1"/>
  <c r="P60" i="2"/>
  <c r="Y60" i="2" s="1"/>
  <c r="O28" i="2"/>
  <c r="W28" i="2" s="1"/>
  <c r="N28" i="2"/>
  <c r="Q28" i="2" s="1"/>
  <c r="P28" i="2"/>
  <c r="N93" i="2"/>
  <c r="Q93" i="2" s="1"/>
  <c r="O93" i="2"/>
  <c r="W93" i="2" s="1"/>
  <c r="P93" i="2"/>
  <c r="Y93" i="2" s="1"/>
  <c r="O62" i="2"/>
  <c r="W62" i="2" s="1"/>
  <c r="O42" i="2"/>
  <c r="W42" i="2" s="1"/>
  <c r="N42" i="2"/>
  <c r="Q42" i="2" s="1"/>
  <c r="P42" i="2"/>
  <c r="N79" i="2"/>
  <c r="Q79" i="2" s="1"/>
  <c r="P79" i="2"/>
  <c r="O79" i="2"/>
  <c r="W79" i="2" s="1"/>
  <c r="N47" i="2"/>
  <c r="Q47" i="2" s="1"/>
  <c r="P47" i="2"/>
  <c r="O47" i="2"/>
  <c r="W47" i="2" s="1"/>
  <c r="O27" i="2"/>
  <c r="W27" i="2" s="1"/>
  <c r="N27" i="2"/>
  <c r="Q27" i="2" s="1"/>
  <c r="P27" i="2"/>
  <c r="N70" i="2"/>
  <c r="Q70" i="2" s="1"/>
  <c r="O70" i="2"/>
  <c r="P70" i="2"/>
  <c r="Y70" i="2" s="1"/>
  <c r="O52" i="2"/>
  <c r="W52" i="2" s="1"/>
  <c r="P52" i="2"/>
  <c r="N52" i="2"/>
  <c r="Q52" i="2" s="1"/>
  <c r="O43" i="2"/>
  <c r="W43" i="2" s="1"/>
  <c r="N43" i="2"/>
  <c r="Q43" i="2" s="1"/>
  <c r="P43" i="2"/>
  <c r="Y43" i="2" s="1"/>
  <c r="N61" i="2"/>
  <c r="Q61" i="2" s="1"/>
  <c r="O61" i="2"/>
  <c r="P61" i="2"/>
  <c r="P88" i="2"/>
  <c r="N88" i="2"/>
  <c r="Q88" i="2" s="1"/>
  <c r="O88" i="2"/>
  <c r="W88" i="2" s="1"/>
  <c r="N71" i="2"/>
  <c r="Q71" i="2" s="1"/>
  <c r="P71" i="2"/>
  <c r="O71" i="2"/>
  <c r="W71" i="2" s="1"/>
  <c r="O90" i="2"/>
  <c r="W90" i="2" s="1"/>
  <c r="N90" i="2"/>
  <c r="Q90" i="2" s="1"/>
  <c r="P90" i="2"/>
  <c r="P40" i="2"/>
  <c r="N40" i="2"/>
  <c r="Q40" i="2" s="1"/>
  <c r="O40" i="2"/>
  <c r="W40" i="2" s="1"/>
  <c r="P81" i="2"/>
  <c r="Y81" i="2" s="1"/>
  <c r="O81" i="2"/>
  <c r="W81" i="2" s="1"/>
  <c r="N81" i="2"/>
  <c r="Q81" i="2" s="1"/>
  <c r="P55" i="2"/>
  <c r="O50" i="2"/>
  <c r="W50" i="2" s="1"/>
  <c r="N50" i="2"/>
  <c r="Q50" i="2" s="1"/>
  <c r="P50" i="2"/>
  <c r="Y50" i="2" s="1"/>
  <c r="N53" i="2"/>
  <c r="Q53" i="2" s="1"/>
  <c r="O53" i="2"/>
  <c r="P53" i="2"/>
  <c r="N77" i="2"/>
  <c r="Q77" i="2" s="1"/>
  <c r="O77" i="2"/>
  <c r="W77" i="2" s="1"/>
  <c r="P77" i="2"/>
  <c r="N86" i="2"/>
  <c r="Q86" i="2" s="1"/>
  <c r="P86" i="2"/>
  <c r="Y86" i="2" s="1"/>
  <c r="O86" i="2"/>
  <c r="W86" i="2" s="1"/>
  <c r="N45" i="2"/>
  <c r="Q45" i="2" s="1"/>
  <c r="O45" i="2"/>
  <c r="W45" i="2" s="1"/>
  <c r="P45" i="2"/>
  <c r="O59" i="2"/>
  <c r="W59" i="2" s="1"/>
  <c r="N59" i="2"/>
  <c r="Q59" i="2" s="1"/>
  <c r="P59" i="2"/>
  <c r="P72" i="2"/>
  <c r="T72" i="2" s="1"/>
  <c r="N72" i="2"/>
  <c r="Q72" i="2" s="1"/>
  <c r="O72" i="2"/>
  <c r="W72" i="2" s="1"/>
  <c r="N78" i="2"/>
  <c r="Q78" i="2" s="1"/>
  <c r="O78" i="2"/>
  <c r="W78" i="2" s="1"/>
  <c r="P78" i="2"/>
  <c r="Y78" i="2" s="1"/>
  <c r="P89" i="2"/>
  <c r="N89" i="2"/>
  <c r="Q89" i="2" s="1"/>
  <c r="O89" i="2"/>
  <c r="W89" i="2" s="1"/>
  <c r="N87" i="2"/>
  <c r="Q87" i="2" s="1"/>
  <c r="P87" i="2"/>
  <c r="O87" i="2"/>
  <c r="W87" i="2" s="1"/>
  <c r="O66" i="2"/>
  <c r="W66" i="2" s="1"/>
  <c r="N66" i="2"/>
  <c r="Q66" i="2" s="1"/>
  <c r="P66" i="2"/>
  <c r="Y66" i="2" s="1"/>
  <c r="N63" i="2"/>
  <c r="Q63" i="2" s="1"/>
  <c r="P63" i="2"/>
  <c r="Y63" i="2" s="1"/>
  <c r="O63" i="2"/>
  <c r="W63" i="2" s="1"/>
  <c r="O44" i="2"/>
  <c r="W44" i="2" s="1"/>
  <c r="N44" i="2"/>
  <c r="Q44" i="2" s="1"/>
  <c r="P44" i="2"/>
  <c r="P65" i="2"/>
  <c r="N65" i="2"/>
  <c r="Q65" i="2" s="1"/>
  <c r="O65" i="2"/>
  <c r="O74" i="2"/>
  <c r="W74" i="2" s="1"/>
  <c r="N74" i="2"/>
  <c r="Q74" i="2" s="1"/>
  <c r="P74" i="2"/>
  <c r="N69" i="2"/>
  <c r="Q69" i="2" s="1"/>
  <c r="P69" i="2"/>
  <c r="Y69" i="2" s="1"/>
  <c r="O69" i="2"/>
  <c r="W69" i="2" s="1"/>
  <c r="O58" i="2"/>
  <c r="W58" i="2" s="1"/>
  <c r="N58" i="2"/>
  <c r="Q58" i="2" s="1"/>
  <c r="P58" i="2"/>
  <c r="X58" i="2" s="1"/>
  <c r="X87" i="2" l="1"/>
  <c r="N62" i="2"/>
  <c r="Q62" i="2" s="1"/>
  <c r="W25" i="2"/>
  <c r="T4" i="2"/>
  <c r="X27" i="2"/>
  <c r="S4" i="2"/>
  <c r="O55" i="2"/>
  <c r="W55" i="2" s="1"/>
  <c r="X41" i="2"/>
  <c r="X74" i="2"/>
  <c r="X79" i="2"/>
  <c r="X71" i="2"/>
  <c r="X37" i="2"/>
  <c r="X53" i="2"/>
  <c r="X61" i="2"/>
  <c r="X63" i="2"/>
  <c r="X25" i="2"/>
  <c r="X72" i="2"/>
  <c r="X56" i="2"/>
  <c r="Y53" i="2"/>
  <c r="X89" i="2"/>
  <c r="X65" i="2"/>
  <c r="X48" i="2"/>
  <c r="X91" i="2"/>
  <c r="Y61" i="2"/>
  <c r="X45" i="2"/>
  <c r="X52" i="2"/>
  <c r="R49" i="2"/>
  <c r="W49" i="2"/>
  <c r="S44" i="2"/>
  <c r="X44" i="2"/>
  <c r="S83" i="2"/>
  <c r="X83" i="2"/>
  <c r="Y37" i="2"/>
  <c r="T40" i="2"/>
  <c r="X40" i="2"/>
  <c r="S28" i="2"/>
  <c r="X28" i="2"/>
  <c r="X49" i="2"/>
  <c r="T57" i="2"/>
  <c r="X57" i="2"/>
  <c r="R37" i="2"/>
  <c r="W37" i="2"/>
  <c r="Y41" i="2"/>
  <c r="Y55" i="2"/>
  <c r="V22" i="2"/>
  <c r="U6" i="2" s="1"/>
  <c r="V6" i="2" s="1"/>
  <c r="Y89" i="2"/>
  <c r="T42" i="2"/>
  <c r="X42" i="2"/>
  <c r="T90" i="2"/>
  <c r="X90" i="2"/>
  <c r="Y52" i="2"/>
  <c r="S47" i="2"/>
  <c r="X47" i="2"/>
  <c r="X38" i="2"/>
  <c r="R22" i="2"/>
  <c r="R24" i="2"/>
  <c r="W24" i="2"/>
  <c r="Y42" i="2"/>
  <c r="Y48" i="2"/>
  <c r="Y72" i="2"/>
  <c r="Y40" i="2"/>
  <c r="T59" i="2"/>
  <c r="X59" i="2"/>
  <c r="T78" i="2"/>
  <c r="X78" i="2"/>
  <c r="S54" i="2"/>
  <c r="X54" i="2"/>
  <c r="R53" i="2"/>
  <c r="W53" i="2"/>
  <c r="R61" i="2"/>
  <c r="W61" i="2"/>
  <c r="T70" i="2"/>
  <c r="X70" i="2"/>
  <c r="X62" i="2"/>
  <c r="T60" i="2"/>
  <c r="X60" i="2"/>
  <c r="X22" i="2"/>
  <c r="T80" i="2"/>
  <c r="X80" i="2"/>
  <c r="T24" i="2"/>
  <c r="X24" i="2"/>
  <c r="Y62" i="2"/>
  <c r="Y91" i="2"/>
  <c r="Y74" i="2"/>
  <c r="Y58" i="2"/>
  <c r="Y90" i="2"/>
  <c r="Y27" i="2"/>
  <c r="T30" i="2"/>
  <c r="X30" i="2"/>
  <c r="S77" i="2"/>
  <c r="X77" i="2"/>
  <c r="X88" i="2"/>
  <c r="Y83" i="2"/>
  <c r="R70" i="2"/>
  <c r="W70" i="2"/>
  <c r="T32" i="2"/>
  <c r="X32" i="2"/>
  <c r="T85" i="2"/>
  <c r="X85" i="2"/>
  <c r="X82" i="2"/>
  <c r="T33" i="2"/>
  <c r="X33" i="2"/>
  <c r="S67" i="2"/>
  <c r="X67" i="2"/>
  <c r="Y57" i="2"/>
  <c r="Y38" i="2"/>
  <c r="Y44" i="2"/>
  <c r="Y59" i="2"/>
  <c r="Y71" i="2"/>
  <c r="Y47" i="2"/>
  <c r="T69" i="2"/>
  <c r="X69" i="2"/>
  <c r="R30" i="2"/>
  <c r="W30" i="2"/>
  <c r="T68" i="2"/>
  <c r="X68" i="2"/>
  <c r="Y77" i="2"/>
  <c r="R65" i="2"/>
  <c r="W65" i="2"/>
  <c r="X66" i="2"/>
  <c r="T89" i="2"/>
  <c r="X86" i="2"/>
  <c r="X50" i="2"/>
  <c r="T81" i="2"/>
  <c r="X81" i="2"/>
  <c r="X43" i="2"/>
  <c r="T93" i="2"/>
  <c r="X93" i="2"/>
  <c r="X75" i="2"/>
  <c r="Y28" i="2"/>
  <c r="Y80" i="2"/>
  <c r="Y25" i="2"/>
  <c r="Y87" i="2"/>
  <c r="Y65" i="2"/>
  <c r="Y45" i="2"/>
  <c r="Y88" i="2"/>
  <c r="Y79" i="2"/>
  <c r="S48" i="2"/>
  <c r="S86" i="2"/>
  <c r="S79" i="2"/>
  <c r="S56" i="2"/>
  <c r="S50" i="2"/>
  <c r="S37" i="2"/>
  <c r="R78" i="2"/>
  <c r="R77" i="2"/>
  <c r="R25" i="2"/>
  <c r="R81" i="2"/>
  <c r="S74" i="2"/>
  <c r="S88" i="2"/>
  <c r="S52" i="2"/>
  <c r="R33" i="2"/>
  <c r="S68" i="2"/>
  <c r="R69" i="2"/>
  <c r="S89" i="2"/>
  <c r="S72" i="2"/>
  <c r="T88" i="2"/>
  <c r="R93" i="2"/>
  <c r="S91" i="2"/>
  <c r="T56" i="2"/>
  <c r="S61" i="2"/>
  <c r="S6" i="2"/>
  <c r="T6" i="2" s="1"/>
  <c r="S87" i="2"/>
  <c r="R60" i="2"/>
  <c r="S32" i="2"/>
  <c r="S71" i="2"/>
  <c r="S25" i="2"/>
  <c r="S58" i="2"/>
  <c r="S63" i="2"/>
  <c r="S45" i="2"/>
  <c r="S55" i="2"/>
  <c r="S43" i="2"/>
  <c r="S62" i="2"/>
  <c r="S85" i="2"/>
  <c r="S80" i="2"/>
  <c r="R68" i="2"/>
  <c r="R45" i="2"/>
  <c r="S53" i="2"/>
  <c r="S40" i="2"/>
  <c r="S49" i="2"/>
  <c r="T48" i="2"/>
  <c r="S82" i="2"/>
  <c r="S66" i="2"/>
  <c r="S27" i="2"/>
  <c r="R57" i="2"/>
  <c r="S75" i="2"/>
  <c r="S65" i="2"/>
  <c r="T63" i="2"/>
  <c r="T87" i="2"/>
  <c r="R59" i="2"/>
  <c r="T55" i="2"/>
  <c r="T71" i="2"/>
  <c r="R52" i="2"/>
  <c r="R27" i="2"/>
  <c r="T79" i="2"/>
  <c r="R28" i="2"/>
  <c r="S22" i="2"/>
  <c r="S41" i="2"/>
  <c r="R75" i="2"/>
  <c r="S24" i="2"/>
  <c r="R83" i="2"/>
  <c r="T58" i="2"/>
  <c r="T74" i="2"/>
  <c r="T44" i="2"/>
  <c r="T66" i="2"/>
  <c r="R89" i="2"/>
  <c r="R72" i="2"/>
  <c r="T45" i="2"/>
  <c r="T77" i="2"/>
  <c r="T50" i="2"/>
  <c r="S90" i="2"/>
  <c r="R88" i="2"/>
  <c r="T43" i="2"/>
  <c r="S70" i="2"/>
  <c r="R47" i="2"/>
  <c r="S42" i="2"/>
  <c r="S93" i="2"/>
  <c r="T25" i="2"/>
  <c r="T22" i="2"/>
  <c r="R32" i="2"/>
  <c r="T91" i="2"/>
  <c r="T82" i="2"/>
  <c r="S30" i="2"/>
  <c r="T67" i="2"/>
  <c r="R38" i="2"/>
  <c r="R66" i="2"/>
  <c r="R58" i="2"/>
  <c r="R74" i="2"/>
  <c r="R44" i="2"/>
  <c r="R50" i="2"/>
  <c r="S81" i="2"/>
  <c r="R90" i="2"/>
  <c r="R43" i="2"/>
  <c r="T47" i="2"/>
  <c r="R42" i="2"/>
  <c r="S60" i="2"/>
  <c r="S38" i="2"/>
  <c r="R54" i="2"/>
  <c r="R91" i="2"/>
  <c r="S57" i="2"/>
  <c r="R82" i="2"/>
  <c r="S33" i="2"/>
  <c r="R67" i="2"/>
  <c r="T65" i="2"/>
  <c r="R63" i="2"/>
  <c r="R87" i="2"/>
  <c r="S78" i="2"/>
  <c r="S59" i="2"/>
  <c r="R86" i="2"/>
  <c r="T53" i="2"/>
  <c r="R55" i="2"/>
  <c r="R40" i="2"/>
  <c r="R71" i="2"/>
  <c r="T61" i="2"/>
  <c r="T52" i="2"/>
  <c r="T27" i="2"/>
  <c r="R79" i="2"/>
  <c r="R62" i="2"/>
  <c r="T28" i="2"/>
  <c r="T38" i="2"/>
  <c r="T54" i="2"/>
  <c r="T41" i="2"/>
  <c r="R48" i="2"/>
  <c r="R85" i="2"/>
  <c r="R80" i="2"/>
  <c r="T37" i="2"/>
  <c r="T75" i="2"/>
  <c r="R56" i="2"/>
  <c r="T83" i="2"/>
  <c r="S69" i="2"/>
  <c r="T86" i="2"/>
  <c r="T62" i="2"/>
  <c r="T49" i="2"/>
  <c r="R41" i="2"/>
  <c r="X55" i="2" l="1"/>
  <c r="U9" i="2"/>
  <c r="V9" i="2" s="1"/>
  <c r="W22" i="2"/>
  <c r="U7" i="2" s="1"/>
  <c r="V7" i="2" s="1"/>
  <c r="U8" i="2"/>
  <c r="V8" i="2" s="1"/>
  <c r="S8" i="2"/>
  <c r="T8" i="2" s="1"/>
  <c r="S9" i="2"/>
  <c r="T9" i="2" s="1"/>
  <c r="S7" i="2"/>
  <c r="T7" i="2" s="1"/>
  <c r="V10" i="2" l="1"/>
</calcChain>
</file>

<file path=xl/sharedStrings.xml><?xml version="1.0" encoding="utf-8"?>
<sst xmlns="http://schemas.openxmlformats.org/spreadsheetml/2006/main" count="335" uniqueCount="157">
  <si>
    <t>Arv nº</t>
  </si>
  <si>
    <t>Altura</t>
  </si>
  <si>
    <t>(m)</t>
  </si>
  <si>
    <t>h_est</t>
  </si>
  <si>
    <t>h</t>
  </si>
  <si>
    <t xml:space="preserve">d     </t>
  </si>
  <si>
    <t xml:space="preserve">     (cm)</t>
  </si>
  <si>
    <t>parcela</t>
  </si>
  <si>
    <t>povoamento</t>
  </si>
  <si>
    <t>(1ha)</t>
  </si>
  <si>
    <t>g</t>
  </si>
  <si>
    <t>n_ord</t>
  </si>
  <si>
    <t>Area parcela =</t>
  </si>
  <si>
    <t>fexp_area =</t>
  </si>
  <si>
    <t>n_dom =</t>
  </si>
  <si>
    <t>(diametro)</t>
  </si>
  <si>
    <t>N_total =</t>
  </si>
  <si>
    <t>N_vivas =</t>
  </si>
  <si>
    <t>N_mortas =</t>
  </si>
  <si>
    <t>G =</t>
  </si>
  <si>
    <t xml:space="preserve">dg = </t>
  </si>
  <si>
    <t>ddom =</t>
  </si>
  <si>
    <t>hdom =</t>
  </si>
  <si>
    <t>codigo</t>
  </si>
  <si>
    <t xml:space="preserve"> estado</t>
  </si>
  <si>
    <r>
      <t xml:space="preserve">Dados da Figura 10 ( </t>
    </r>
    <r>
      <rPr>
        <b/>
        <sz val="11"/>
        <color rgb="FF0066FF"/>
        <rFont val="Calibri"/>
        <family val="2"/>
        <scheme val="minor"/>
      </rPr>
      <t xml:space="preserve">a azul </t>
    </r>
    <r>
      <rPr>
        <b/>
        <sz val="11"/>
        <color theme="1"/>
        <rFont val="Calibri"/>
        <family val="2"/>
        <scheme val="minor"/>
      </rPr>
      <t>); Exercicio 1.2.3</t>
    </r>
  </si>
  <si>
    <r>
      <t>(1600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</si>
  <si>
    <t>hdom_aux</t>
  </si>
  <si>
    <t>ddom_aux</t>
  </si>
  <si>
    <r>
      <t>(m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)</t>
    </r>
  </si>
  <si>
    <t>rotação =</t>
  </si>
  <si>
    <t xml:space="preserve">Região globulus = </t>
  </si>
  <si>
    <t>idade =</t>
  </si>
  <si>
    <t>3CL</t>
  </si>
  <si>
    <t>A</t>
  </si>
  <si>
    <t>n</t>
  </si>
  <si>
    <t>tp</t>
  </si>
  <si>
    <t xml:space="preserve">S = 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</si>
  <si>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</si>
  <si>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</si>
  <si>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</si>
  <si>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</si>
  <si>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</si>
  <si>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</si>
  <si>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(pag 7)</t>
  </si>
  <si>
    <t>SDI =</t>
  </si>
  <si>
    <t>Parcelas permanentes da herdade do Chaparro - Parcela 8</t>
  </si>
  <si>
    <t>Narv</t>
  </si>
  <si>
    <t>Esp</t>
  </si>
  <si>
    <t>d (cm)</t>
  </si>
  <si>
    <t>Raios da Copa (m)</t>
  </si>
  <si>
    <t>N</t>
  </si>
  <si>
    <t>S</t>
  </si>
  <si>
    <t>E</t>
  </si>
  <si>
    <t>W</t>
  </si>
  <si>
    <t>Sb</t>
  </si>
  <si>
    <t>Pm</t>
  </si>
  <si>
    <t>area copa</t>
  </si>
  <si>
    <t>a)</t>
  </si>
  <si>
    <t>b)</t>
  </si>
  <si>
    <t>c)</t>
  </si>
  <si>
    <t>d)</t>
  </si>
  <si>
    <t>e)</t>
  </si>
  <si>
    <t>f)</t>
  </si>
  <si>
    <t>g)</t>
  </si>
  <si>
    <t>h)</t>
  </si>
  <si>
    <t>Fw=</t>
  </si>
  <si>
    <t>i)</t>
  </si>
  <si>
    <t>j)</t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</si>
  <si>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 desbastar</t>
    </r>
    <r>
      <rPr>
        <sz val="11"/>
        <color theme="1"/>
        <rFont val="Calibri"/>
        <family val="2"/>
        <scheme val="minor"/>
      </rPr>
      <t xml:space="preserve"> =</t>
    </r>
  </si>
  <si>
    <t>l)</t>
  </si>
  <si>
    <t>o povoamento ainda se encontra longe de atingir o autodesbaste</t>
  </si>
  <si>
    <r>
      <t>N</t>
    </r>
    <r>
      <rPr>
        <b/>
        <vertAlign val="subscript"/>
        <sz val="11"/>
        <color theme="7"/>
        <rFont val="Calibri"/>
        <family val="2"/>
        <scheme val="minor"/>
      </rPr>
      <t xml:space="preserve"> FW_0.27</t>
    </r>
    <r>
      <rPr>
        <b/>
        <sz val="11"/>
        <color theme="7"/>
        <rFont val="Calibri"/>
        <family val="2"/>
        <scheme val="minor"/>
      </rPr>
      <t xml:space="preserve"> =</t>
    </r>
  </si>
  <si>
    <t>Parcelas permanentes da herdade do Chaparro - Parcela 13</t>
  </si>
  <si>
    <t>Alturas (m)</t>
  </si>
  <si>
    <t>raio médio</t>
  </si>
  <si>
    <t>area copa i</t>
  </si>
  <si>
    <t>raio da parcela =</t>
  </si>
  <si>
    <t>total</t>
  </si>
  <si>
    <t>copa</t>
  </si>
  <si>
    <t>tronco</t>
  </si>
  <si>
    <t>descort.</t>
  </si>
  <si>
    <t>area =</t>
  </si>
  <si>
    <t>Parcela 8</t>
  </si>
  <si>
    <t>Cspac =</t>
  </si>
  <si>
    <t>Cc =</t>
  </si>
  <si>
    <t>Sum areas de copa=</t>
  </si>
  <si>
    <t>Parcela 13</t>
  </si>
  <si>
    <t xml:space="preserve">Cc = </t>
  </si>
  <si>
    <t>x</t>
  </si>
  <si>
    <t>=</t>
  </si>
  <si>
    <t>Cálculos auxiliares:</t>
  </si>
  <si>
    <t>parcela raio =</t>
  </si>
  <si>
    <t>f_exp =</t>
  </si>
  <si>
    <t>sum area copa =</t>
  </si>
  <si>
    <t>N_p =</t>
  </si>
  <si>
    <t>N =</t>
  </si>
  <si>
    <t xml:space="preserve">Nota: </t>
  </si>
  <si>
    <t>-</t>
  </si>
  <si>
    <t>Pb</t>
  </si>
  <si>
    <r>
      <t xml:space="preserve">cw </t>
    </r>
    <r>
      <rPr>
        <b/>
        <i/>
        <sz val="8"/>
        <color theme="1"/>
        <rFont val="Calibri"/>
        <family val="2"/>
        <scheme val="minor"/>
      </rPr>
      <t xml:space="preserve">(diametro médio copa) </t>
    </r>
    <r>
      <rPr>
        <b/>
        <sz val="11"/>
        <color theme="1"/>
        <rFont val="Calibri"/>
        <family val="2"/>
        <scheme val="minor"/>
      </rPr>
      <t>=</t>
    </r>
  </si>
  <si>
    <t>m) % de coberto e coeficiente de espaçamento para as parcelas 8 e 13 das Figura 12 eFigura 13</t>
  </si>
  <si>
    <t>As percentagens de coberto recomendadas por Natividade para o montado rondam os 58%. Segundo este autor esta é a percentagem de coberto maxima e acima dela deverá realizar-se desbaste. Notem que a 58% de coberto corresponde um coef de espaçamento de 1.2. CONTUDO, na pratica os gestores florestais praticam % muito inferiores, como as obtidas para as parcelas 8 e 13.  No caso da gestão com vista a produção de cortiça e simultânea exploração cinegética (veado) os valores de % Coberto recomendados devem ficar abaixo dos 35%.</t>
  </si>
  <si>
    <t>v</t>
  </si>
  <si>
    <r>
      <t>(m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</si>
  <si>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V</t>
  </si>
  <si>
    <t>Vu-st</t>
  </si>
  <si>
    <t>vu_st</t>
  </si>
  <si>
    <t>di</t>
  </si>
  <si>
    <t>cat 1</t>
  </si>
  <si>
    <t>cat 2</t>
  </si>
  <si>
    <t>cat 3</t>
  </si>
  <si>
    <t>bicada</t>
  </si>
  <si>
    <t>categorias de aproveitamento</t>
  </si>
  <si>
    <t>di_hi=3.10</t>
  </si>
  <si>
    <t>n)</t>
  </si>
  <si>
    <t>o)</t>
  </si>
  <si>
    <r>
      <t>D20 * [ $S$15 + $T$15 *</t>
    </r>
    <r>
      <rPr>
        <b/>
        <sz val="11"/>
        <color theme="8"/>
        <rFont val="Calibri"/>
        <family val="2"/>
        <scheme val="minor"/>
      </rPr>
      <t xml:space="preserve"> ( </t>
    </r>
    <r>
      <rPr>
        <sz val="11"/>
        <color theme="1"/>
        <rFont val="Calibri"/>
        <family val="2"/>
        <scheme val="minor"/>
      </rPr>
      <t xml:space="preserve">LN </t>
    </r>
    <r>
      <rPr>
        <b/>
        <sz val="11"/>
        <color theme="9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1- ( ( $U$19/K20 ) ^  (1/$U$15)  )   *  </t>
    </r>
    <r>
      <rPr>
        <b/>
        <sz val="11"/>
        <color theme="7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1-EXP($V$15/$W$15) </t>
    </r>
    <r>
      <rPr>
        <b/>
        <sz val="11"/>
        <color theme="7"/>
        <rFont val="Calibri"/>
        <family val="2"/>
        <scheme val="minor"/>
      </rPr>
      <t xml:space="preserve"> 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 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]</t>
    </r>
  </si>
  <si>
    <t>p)</t>
  </si>
  <si>
    <t>volume total com cepo e com casca =</t>
  </si>
  <si>
    <t>volume total sem cepo e sem casca =</t>
  </si>
  <si>
    <t>Volume por categoria de aproveitamento :</t>
  </si>
  <si>
    <t>classe 1 =</t>
  </si>
  <si>
    <t>classe 2 =</t>
  </si>
  <si>
    <t>classe 3 =</t>
  </si>
  <si>
    <t>bicada =</t>
  </si>
  <si>
    <t>(sem rest comp toro)</t>
  </si>
  <si>
    <t>(com rest comp toro)</t>
  </si>
  <si>
    <t>Pvudi</t>
  </si>
  <si>
    <t>Anexo II, Tabela 16</t>
  </si>
  <si>
    <t>Anexo I, Tabela 4</t>
  </si>
  <si>
    <t>Biomassas (kg)</t>
  </si>
  <si>
    <t>ww</t>
  </si>
  <si>
    <t>wb</t>
  </si>
  <si>
    <t>wbr</t>
  </si>
  <si>
    <t>wl</t>
  </si>
  <si>
    <t>wa</t>
  </si>
  <si>
    <t>wr</t>
  </si>
  <si>
    <t>wt</t>
  </si>
  <si>
    <t>Modelos</t>
  </si>
  <si>
    <t>Componente</t>
  </si>
  <si>
    <t>Modelo</t>
  </si>
  <si>
    <t>Fonte</t>
  </si>
  <si>
    <t>árvores dispersas noutros estratos: 1,780459</t>
  </si>
  <si>
    <t>Tomé et al. 2007d</t>
  </si>
  <si>
    <t>Casca</t>
  </si>
  <si>
    <t>árvores dispersas noutros estratos: 2,379475</t>
  </si>
  <si>
    <t>Ramos (wbr)</t>
  </si>
  <si>
    <t>Folhas (wl)</t>
  </si>
  <si>
    <t>Total aérea (wa)</t>
  </si>
  <si>
    <t>wa = ww+wb+wl+wbr</t>
  </si>
  <si>
    <t>Raízes (wr)</t>
  </si>
  <si>
    <t>wr = 0,2487 wa</t>
  </si>
  <si>
    <t>Soares e Tomé, 2004</t>
  </si>
  <si>
    <r>
      <t>d – diâmetro da árvore medido a 1,30 m de altura (cm); h – altura total da árvore (m); w</t>
    </r>
    <r>
      <rPr>
        <vertAlign val="subscript"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– biomassa da componente i da árvore (kg); wa – biomassa total aérea da árvore (kg); hdom – altura dominante (m).</t>
    </r>
  </si>
  <si>
    <t>Lenho     (ww)</t>
  </si>
  <si>
    <t>biomassas do povoamento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</si>
</sst>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70" formatCode="0.0000000000000000"/>
    <numFmt numFmtId="171" formatCode="#,##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rgb="FF0066FF"/>
      <name val="Arial"/>
      <family val="2"/>
    </font>
    <font>
      <b/>
      <sz val="11"/>
      <color rgb="FF0066FF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i/>
      <sz val="11"/>
      <color rgb="FF0066FF"/>
      <name val="Calibri"/>
      <family val="2"/>
      <scheme val="minor"/>
    </font>
    <font>
      <i/>
      <sz val="8"/>
      <color rgb="FF0066FF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vertAlign val="subscript"/>
      <sz val="11"/>
      <color theme="7"/>
      <name val="Calibri"/>
      <family val="2"/>
      <scheme val="minor"/>
    </font>
    <font>
      <sz val="10"/>
      <color rgb="FF0000FF"/>
      <name val="Arial"/>
      <family val="2"/>
    </font>
    <font>
      <sz val="11"/>
      <color rgb="FFF79646"/>
      <name val="Arial"/>
      <family val="2"/>
    </font>
    <font>
      <b/>
      <i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bscript"/>
      <sz val="9"/>
      <color theme="1"/>
      <name val="Arial"/>
      <family val="2"/>
    </font>
    <font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2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0" fillId="2" borderId="0" xfId="0" applyFill="1"/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3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8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9" fillId="0" borderId="0" xfId="0" applyFont="1"/>
    <xf numFmtId="0" fontId="21" fillId="0" borderId="4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0" fillId="0" borderId="3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24" fillId="0" borderId="0" xfId="0" applyFont="1"/>
    <xf numFmtId="0" fontId="0" fillId="0" borderId="0" xfId="0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8" xfId="0" applyBorder="1"/>
    <xf numFmtId="0" fontId="23" fillId="7" borderId="8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23" fillId="7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1" fontId="0" fillId="2" borderId="21" xfId="0" applyNumberForma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0" borderId="21" xfId="0" applyBorder="1"/>
    <xf numFmtId="1" fontId="0" fillId="2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0" fillId="0" borderId="0" xfId="0" applyFont="1" applyAlignment="1">
      <alignment horizontal="justify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3" fillId="8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/>
    <xf numFmtId="170" fontId="0" fillId="0" borderId="0" xfId="0" applyNumberFormat="1" applyFill="1"/>
    <xf numFmtId="165" fontId="0" fillId="0" borderId="1" xfId="0" applyNumberFormat="1" applyBorder="1"/>
    <xf numFmtId="168" fontId="0" fillId="0" borderId="1" xfId="0" applyNumberFormat="1" applyBorder="1"/>
    <xf numFmtId="0" fontId="10" fillId="0" borderId="1" xfId="0" applyFont="1" applyBorder="1"/>
    <xf numFmtId="0" fontId="0" fillId="0" borderId="0" xfId="0" quotePrefix="1"/>
    <xf numFmtId="0" fontId="0" fillId="0" borderId="0" xfId="0" applyFill="1" applyBorder="1" applyAlignment="1">
      <alignment horizontal="right"/>
    </xf>
    <xf numFmtId="0" fontId="36" fillId="0" borderId="3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41" fillId="10" borderId="3" xfId="0" applyFont="1" applyFill="1" applyBorder="1" applyAlignment="1">
      <alignment horizontal="center"/>
    </xf>
    <xf numFmtId="165" fontId="0" fillId="0" borderId="0" xfId="0" applyNumberFormat="1"/>
    <xf numFmtId="168" fontId="0" fillId="0" borderId="0" xfId="0" applyNumberFormat="1"/>
    <xf numFmtId="168" fontId="0" fillId="8" borderId="1" xfId="0" applyNumberFormat="1" applyFill="1" applyBorder="1"/>
    <xf numFmtId="167" fontId="0" fillId="0" borderId="1" xfId="0" applyNumberFormat="1" applyBorder="1"/>
    <xf numFmtId="164" fontId="0" fillId="11" borderId="1" xfId="0" applyNumberFormat="1" applyFill="1" applyBorder="1" applyAlignment="1">
      <alignment horizontal="left"/>
    </xf>
    <xf numFmtId="164" fontId="0" fillId="11" borderId="0" xfId="0" applyNumberFormat="1" applyFill="1"/>
    <xf numFmtId="167" fontId="0" fillId="0" borderId="0" xfId="0" applyNumberFormat="1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9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40" fillId="10" borderId="26" xfId="0" applyFont="1" applyFill="1" applyBorder="1" applyAlignment="1">
      <alignment horizontal="center"/>
    </xf>
    <xf numFmtId="0" fontId="40" fillId="10" borderId="21" xfId="0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3" fillId="12" borderId="0" xfId="0" applyFont="1" applyFill="1" applyAlignment="1">
      <alignment horizontal="center" vertical="center"/>
    </xf>
    <xf numFmtId="0" fontId="43" fillId="13" borderId="27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8" fontId="3" fillId="0" borderId="8" xfId="1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/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47" fillId="12" borderId="28" xfId="0" applyFont="1" applyFill="1" applyBorder="1" applyAlignment="1">
      <alignment horizontal="center" vertical="center" wrapText="1"/>
    </xf>
    <xf numFmtId="0" fontId="47" fillId="12" borderId="0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/>
    </xf>
    <xf numFmtId="2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844728</xdr:colOff>
      <xdr:row>9</xdr:row>
      <xdr:rowOff>54342</xdr:rowOff>
    </xdr:from>
    <xdr:to>
      <xdr:col>3</xdr:col>
      <xdr:colOff>342093</xdr:colOff>
      <xdr:row>12</xdr:row>
      <xdr:rowOff>560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491" y="1496907"/>
          <a:ext cx="974831" cy="496185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1</xdr:row>
          <xdr:rowOff>160020</xdr:rowOff>
        </xdr:from>
        <xdr:to>
          <xdr:col>10</xdr:col>
          <xdr:colOff>175260</xdr:colOff>
          <xdr:row>6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78944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9</xdr:row>
          <xdr:rowOff>167640</xdr:rowOff>
        </xdr:from>
        <xdr:to>
          <xdr:col>13</xdr:col>
          <xdr:colOff>45720</xdr:colOff>
          <xdr:row>12</xdr:row>
          <xdr:rowOff>91440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C0504D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13300</xdr:colOff>
      <xdr:row>15</xdr:row>
      <xdr:rowOff>5818</xdr:rowOff>
    </xdr:from>
    <xdr:to>
      <xdr:col>1</xdr:col>
      <xdr:colOff>860886</xdr:colOff>
      <xdr:row>16</xdr:row>
      <xdr:rowOff>171004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9632"/>
        <a:stretch/>
      </xdr:blipFill>
      <xdr:spPr>
        <a:xfrm>
          <a:off x="624063" y="2553574"/>
          <a:ext cx="847586" cy="370811"/>
        </a:xfrm>
        <a:prstGeom prst="rect">
          <a:avLst/>
        </a:prstGeom>
      </xdr:spPr>
    </xdr:pic>
    <xdr:clientData/>
  </xdr:twoCellAnchor>
  <xdr:twoCellAnchor editAs="oneCell">
    <xdr:from>
      <xdr:col>1</xdr:col>
      <xdr:colOff>639847</xdr:colOff>
      <xdr:row>13</xdr:row>
      <xdr:rowOff>12681</xdr:rowOff>
    </xdr:from>
    <xdr:to>
      <xdr:col>3</xdr:col>
      <xdr:colOff>327500</xdr:colOff>
      <xdr:row>14</xdr:row>
      <xdr:rowOff>171717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0610" y="2176528"/>
          <a:ext cx="1165119" cy="347130"/>
        </a:xfrm>
        <a:prstGeom prst="rect">
          <a:avLst/>
        </a:prstGeom>
        <a:ln>
          <a:solidFill>
            <a:schemeClr val="accent4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205740</xdr:colOff>
          <xdr:row>5</xdr:row>
          <xdr:rowOff>182880</xdr:rowOff>
        </xdr:from>
        <xdr:to>
          <xdr:col>15</xdr:col>
          <xdr:colOff>121920</xdr:colOff>
          <xdr:row>8</xdr:row>
          <xdr:rowOff>99060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8</xdr:row>
          <xdr:rowOff>114300</xdr:rowOff>
        </xdr:from>
        <xdr:to>
          <xdr:col>15</xdr:col>
          <xdr:colOff>579120</xdr:colOff>
          <xdr:row>11</xdr:row>
          <xdr:rowOff>167640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528734</xdr:colOff>
      <xdr:row>10</xdr:row>
      <xdr:rowOff>168498</xdr:rowOff>
    </xdr:from>
    <xdr:to>
      <xdr:col>23</xdr:col>
      <xdr:colOff>440519</xdr:colOff>
      <xdr:row>14</xdr:row>
      <xdr:rowOff>214075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84428" y="2034620"/>
          <a:ext cx="5720091" cy="800565"/>
        </a:xfrm>
        <a:prstGeom prst="rect">
          <a:avLst/>
        </a:prstGeom>
      </xdr:spPr>
    </xdr:pic>
    <xdr:clientData/>
  </xdr:twoCellAnchor>
  <xdr:twoCellAnchor>
    <xdr:from>
      <xdr:col>21</xdr:col>
      <xdr:colOff>998434</xdr:colOff>
      <xdr:row>11</xdr:row>
      <xdr:rowOff>105401</xdr:rowOff>
    </xdr:from>
    <xdr:to>
      <xdr:col>22</xdr:col>
      <xdr:colOff>614266</xdr:colOff>
      <xdr:row>13</xdr:row>
      <xdr:rowOff>169910</xdr:rowOff>
    </xdr:to>
    <xdr:sp macro="" textlink="">
      <xdr:nvSpPr>
        <xdr:cNvPr id="5" name="Rectangle 4"/>
        <xdr:cNvSpPr/>
      </xdr:nvSpPr>
      <xdr:spPr>
        <a:xfrm>
          <a:off x="15079883" y="2158136"/>
          <a:ext cx="922118" cy="445509"/>
        </a:xfrm>
        <a:prstGeom prst="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419878</xdr:colOff>
      <xdr:row>11</xdr:row>
      <xdr:rowOff>38877</xdr:rowOff>
    </xdr:from>
    <xdr:to>
      <xdr:col>22</xdr:col>
      <xdr:colOff>676469</xdr:colOff>
      <xdr:row>14</xdr:row>
      <xdr:rowOff>17568</xdr:rowOff>
    </xdr:to>
    <xdr:sp macro="" textlink="">
      <xdr:nvSpPr>
        <xdr:cNvPr id="11" name="Rectangle 10"/>
        <xdr:cNvSpPr/>
      </xdr:nvSpPr>
      <xdr:spPr>
        <a:xfrm>
          <a:off x="13801531" y="2091612"/>
          <a:ext cx="2262673" cy="554078"/>
        </a:xfrm>
        <a:prstGeom prst="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212244</xdr:colOff>
      <xdr:row>10</xdr:row>
      <xdr:rowOff>71708</xdr:rowOff>
    </xdr:from>
    <xdr:to>
      <xdr:col>22</xdr:col>
      <xdr:colOff>780719</xdr:colOff>
      <xdr:row>14</xdr:row>
      <xdr:rowOff>75740</xdr:rowOff>
    </xdr:to>
    <xdr:sp macro="" textlink="">
      <xdr:nvSpPr>
        <xdr:cNvPr id="12" name="Rectangle 11"/>
        <xdr:cNvSpPr/>
      </xdr:nvSpPr>
      <xdr:spPr>
        <a:xfrm>
          <a:off x="13651832" y="1864649"/>
          <a:ext cx="2570593" cy="751091"/>
        </a:xfrm>
        <a:prstGeom prst="rect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30</xdr:col>
      <xdr:colOff>197513</xdr:colOff>
      <xdr:row>0</xdr:row>
      <xdr:rowOff>61452</xdr:rowOff>
    </xdr:from>
    <xdr:to>
      <xdr:col>32</xdr:col>
      <xdr:colOff>289689</xdr:colOff>
      <xdr:row>4</xdr:row>
      <xdr:rowOff>166619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7159" t="31227" r="52685" b="57431"/>
        <a:stretch/>
      </xdr:blipFill>
      <xdr:spPr>
        <a:xfrm>
          <a:off x="25579733" y="1570212"/>
          <a:ext cx="1311377" cy="8366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129092</xdr:colOff>
          <xdr:row>6</xdr:row>
          <xdr:rowOff>44827</xdr:rowOff>
        </xdr:from>
        <xdr:to>
          <xdr:col>32</xdr:col>
          <xdr:colOff>2480235</xdr:colOff>
          <xdr:row>9</xdr:row>
          <xdr:rowOff>29882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116269</xdr:colOff>
          <xdr:row>9</xdr:row>
          <xdr:rowOff>172122</xdr:rowOff>
        </xdr:from>
        <xdr:to>
          <xdr:col>32</xdr:col>
          <xdr:colOff>2308411</xdr:colOff>
          <xdr:row>13</xdr:row>
          <xdr:rowOff>22412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426720</xdr:colOff>
      <xdr:row>0</xdr:row>
      <xdr:rowOff>45720</xdr:rowOff>
    </xdr:from>
    <xdr:to>
      <xdr:col>36</xdr:col>
      <xdr:colOff>359684</xdr:colOff>
      <xdr:row>4</xdr:row>
      <xdr:rowOff>123586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/>
            <xdr:cNvSpPr/>
          </xdr:nvSpPr>
          <xdr:spPr>
            <a:xfrm>
              <a:off x="18958560" y="45720"/>
              <a:ext cx="17236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Cspac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acc>
                          <m:accPr>
                            <m:chr m:val="̅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cw</m:t>
                            </m:r>
                          </m:e>
                        </m:acc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Rectangle 1"/>
            <xdr:cNvSpPr/>
          </xdr:nvSpPr>
          <xdr:spPr>
            <a:xfrm>
              <a:off x="18958560" y="45720"/>
              <a:ext cx="17236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Cspac=100/((cw) ̅√N)</a:t>
              </a:r>
              <a:endParaRPr lang="en-US"/>
            </a:p>
          </xdr:txBody>
        </xdr:sp>
      </mc:Fallback>
    </mc:AlternateContent>
    <xdr:clientData/>
  </xdr:twoCellAnchor>
  <xdr:twoCellAnchor>
    <xdr:from>
      <xdr:col>36</xdr:col>
      <xdr:colOff>373380</xdr:colOff>
      <xdr:row>0</xdr:row>
      <xdr:rowOff>68580</xdr:rowOff>
    </xdr:from>
    <xdr:to>
      <xdr:col>40</xdr:col>
      <xdr:colOff>398731</xdr:colOff>
      <xdr:row>4</xdr:row>
      <xdr:rowOff>115540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angle 2"/>
            <xdr:cNvSpPr/>
          </xdr:nvSpPr>
          <xdr:spPr>
            <a:xfrm>
              <a:off x="20695920" y="68580"/>
              <a:ext cx="262377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sty m:val="p"/>
                                <m:brk m:alnAt="23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i</m:t>
                            </m:r>
                            <m:r>
                              <a:rPr lang="pt-PT" altLang="en-US" i="0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  <m:e>
                            <m:sSub>
                              <m:sSubPr>
                                <m:ctrlPr>
                                  <a:rPr lang="pt-PT" alt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ca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A</m:t>
                        </m:r>
                      </m:den>
                    </m:f>
                    <m:r>
                      <a:rPr lang="pt-PT" altLang="en-US" i="0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pt-PT" altLang="en-US"/>
            </a:p>
          </xdr:txBody>
        </xdr:sp>
      </mc:Choice>
      <mc:Fallback xmlns="">
        <xdr:sp macro="" textlink="">
          <xdr:nvSpPr>
            <xdr:cNvPr id="3" name="Rectangle 2"/>
            <xdr:cNvSpPr/>
          </xdr:nvSpPr>
          <xdr:spPr>
            <a:xfrm>
              <a:off x="20695920" y="68580"/>
              <a:ext cx="262377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:r>
                <a:rPr lang="pt-PT" altLang="en-US" i="0">
                  <a:latin typeface="Cambria Math" panose="02040503050406030204" pitchFamily="18" charset="0"/>
                </a:rPr>
                <a:t>Cc=(∑_(i=1)^n▒ca_i )/A  100</a:t>
              </a:r>
              <a:endParaRPr lang="pt-PT" alt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1"/>
  <sheetViews>
    <sheetView tabSelected="1" topLeftCell="Z4" zoomScale="102" zoomScaleNormal="102" workbookViewId="0">
      <selection activeCell="AK25" sqref="AK25"/>
    </sheetView>
  </sheetViews>
  <sheetFormatPr defaultRowHeight="14.4" x14ac:dyDescent="0.3"/>
  <cols>
    <col min="2" max="2" width="12.6640625" bestFit="1" customWidth="1"/>
    <col min="5" max="5" width="12.6640625" bestFit="1" customWidth="1"/>
    <col min="6" max="6" width="7.88671875" style="5" customWidth="1"/>
    <col min="7" max="7" width="13.44140625" bestFit="1" customWidth="1"/>
    <col min="8" max="9" width="10.5546875" bestFit="1" customWidth="1"/>
    <col min="10" max="10" width="12.21875" bestFit="1" customWidth="1"/>
    <col min="21" max="21" width="10.21875" customWidth="1"/>
    <col min="22" max="22" width="19" bestFit="1" customWidth="1"/>
    <col min="23" max="23" width="20.109375" bestFit="1" customWidth="1"/>
    <col min="26" max="26" width="11.33203125" customWidth="1"/>
    <col min="33" max="33" width="38.21875" customWidth="1"/>
  </cols>
  <sheetData>
    <row r="1" spans="1:36" x14ac:dyDescent="0.3">
      <c r="S1" s="9" t="s">
        <v>7</v>
      </c>
      <c r="T1" s="126" t="s">
        <v>8</v>
      </c>
      <c r="U1" s="9" t="s">
        <v>7</v>
      </c>
      <c r="V1" s="125" t="s">
        <v>8</v>
      </c>
      <c r="AD1" s="170" t="s">
        <v>139</v>
      </c>
      <c r="AE1" s="171"/>
      <c r="AF1" s="171"/>
      <c r="AG1" s="171"/>
      <c r="AH1" s="171"/>
      <c r="AI1" s="172"/>
    </row>
    <row r="2" spans="1:36" x14ac:dyDescent="0.3">
      <c r="A2" s="29" t="s">
        <v>25</v>
      </c>
      <c r="I2" s="48" t="s">
        <v>38</v>
      </c>
      <c r="S2" s="30" t="s">
        <v>26</v>
      </c>
      <c r="T2" s="39" t="s">
        <v>9</v>
      </c>
      <c r="U2" s="30" t="s">
        <v>26</v>
      </c>
      <c r="V2" s="39" t="s">
        <v>9</v>
      </c>
      <c r="AA2" s="193" t="s">
        <v>154</v>
      </c>
      <c r="AB2" s="193"/>
      <c r="AD2" s="173"/>
      <c r="AE2" s="174"/>
      <c r="AF2" s="174"/>
      <c r="AG2" s="174"/>
      <c r="AH2" s="174"/>
      <c r="AI2" s="175"/>
    </row>
    <row r="3" spans="1:36" x14ac:dyDescent="0.3">
      <c r="A3" s="16"/>
      <c r="I3" s="2"/>
      <c r="J3" s="2"/>
      <c r="K3" s="2"/>
      <c r="N3" s="69" t="s">
        <v>115</v>
      </c>
      <c r="R3" s="67" t="s">
        <v>119</v>
      </c>
      <c r="S3" s="127">
        <f>SUM(L22:L95)</f>
        <v>30.252480139840454</v>
      </c>
      <c r="T3" s="127">
        <f>SUM(L22:L95)*$B$5</f>
        <v>189.07800087400284</v>
      </c>
      <c r="AA3" s="193"/>
      <c r="AB3" s="193"/>
      <c r="AD3" s="173"/>
      <c r="AE3" s="174"/>
      <c r="AF3" s="174"/>
      <c r="AG3" s="174"/>
      <c r="AH3" s="174"/>
      <c r="AI3" s="175"/>
    </row>
    <row r="4" spans="1:36" x14ac:dyDescent="0.3">
      <c r="A4" s="35" t="s">
        <v>12</v>
      </c>
      <c r="B4" s="28">
        <v>1600</v>
      </c>
      <c r="C4" s="51" t="s">
        <v>44</v>
      </c>
      <c r="F4" s="9" t="s">
        <v>7</v>
      </c>
      <c r="G4" s="34" t="s">
        <v>8</v>
      </c>
      <c r="I4" s="2"/>
      <c r="J4" s="2"/>
      <c r="K4" s="2"/>
      <c r="N4" s="69" t="s">
        <v>116</v>
      </c>
      <c r="R4" s="67" t="s">
        <v>120</v>
      </c>
      <c r="S4" s="127">
        <f>SUM(M22:M95)</f>
        <v>24.51482349797876</v>
      </c>
      <c r="T4" s="138">
        <f>SUM(M22:M95)*$B$5</f>
        <v>153.21764686236725</v>
      </c>
      <c r="AA4" s="193"/>
      <c r="AB4" s="193"/>
      <c r="AD4" s="173"/>
      <c r="AE4" s="174"/>
      <c r="AF4" s="174"/>
      <c r="AG4" s="174"/>
      <c r="AH4" s="174"/>
      <c r="AI4" s="175"/>
    </row>
    <row r="5" spans="1:36" ht="15" thickBot="1" x14ac:dyDescent="0.35">
      <c r="A5" s="35" t="s">
        <v>13</v>
      </c>
      <c r="B5" s="16">
        <f>10000/B4</f>
        <v>6.25</v>
      </c>
      <c r="F5" s="30" t="s">
        <v>26</v>
      </c>
      <c r="G5" s="39" t="s">
        <v>9</v>
      </c>
      <c r="I5" s="2"/>
      <c r="J5" s="2"/>
      <c r="K5" s="2"/>
      <c r="M5" s="129"/>
      <c r="N5" s="69" t="s">
        <v>118</v>
      </c>
      <c r="O5" s="129"/>
      <c r="P5" s="129"/>
      <c r="R5" s="67" t="s">
        <v>121</v>
      </c>
      <c r="S5" s="143" t="s">
        <v>126</v>
      </c>
      <c r="T5" s="143"/>
      <c r="U5" s="143" t="s">
        <v>127</v>
      </c>
      <c r="V5" s="143"/>
      <c r="AA5" s="193"/>
      <c r="AB5" s="193"/>
      <c r="AD5" s="176"/>
      <c r="AE5" s="177"/>
      <c r="AF5" s="177"/>
      <c r="AG5" s="177"/>
      <c r="AH5" s="177"/>
      <c r="AI5" s="178"/>
    </row>
    <row r="6" spans="1:36" ht="24" x14ac:dyDescent="0.3">
      <c r="A6" s="36" t="s">
        <v>14</v>
      </c>
      <c r="B6" s="17">
        <f>B4/100</f>
        <v>16</v>
      </c>
      <c r="E6" s="12" t="s">
        <v>16</v>
      </c>
      <c r="F6" s="6">
        <f>F7+F8</f>
        <v>80</v>
      </c>
      <c r="G6" s="40">
        <f>F6*$B$5</f>
        <v>500</v>
      </c>
      <c r="I6" s="2"/>
      <c r="J6" s="2"/>
      <c r="K6" s="2"/>
      <c r="M6" s="129"/>
      <c r="N6" s="48" t="s">
        <v>130</v>
      </c>
      <c r="O6" s="129"/>
      <c r="P6" s="129"/>
      <c r="R6" s="124" t="s">
        <v>122</v>
      </c>
      <c r="S6" s="128">
        <f>SUM(Q22:Q101)</f>
        <v>3.8047792469143054</v>
      </c>
      <c r="T6" s="128">
        <f>S6*$B$5</f>
        <v>23.779870293214408</v>
      </c>
      <c r="U6" s="137">
        <f>SUM(V22:V101)</f>
        <v>0.43372229777204174</v>
      </c>
      <c r="V6" s="1">
        <f>U6*$B$5</f>
        <v>2.710764361075261</v>
      </c>
      <c r="Y6" s="140"/>
      <c r="AA6" s="193"/>
      <c r="AB6" s="193"/>
      <c r="AD6" s="194" t="s">
        <v>140</v>
      </c>
      <c r="AE6" s="195" t="s">
        <v>141</v>
      </c>
      <c r="AF6" s="195" t="s">
        <v>40</v>
      </c>
      <c r="AG6" s="195" t="s">
        <v>41</v>
      </c>
      <c r="AH6" s="195" t="s">
        <v>42</v>
      </c>
      <c r="AI6" s="195" t="s">
        <v>142</v>
      </c>
    </row>
    <row r="7" spans="1:36" ht="14.4" customHeight="1" x14ac:dyDescent="0.3">
      <c r="A7" s="35" t="s">
        <v>30</v>
      </c>
      <c r="B7" s="28">
        <v>1</v>
      </c>
      <c r="C7" s="51" t="s">
        <v>44</v>
      </c>
      <c r="D7" s="69" t="s">
        <v>58</v>
      </c>
      <c r="E7" s="12" t="s">
        <v>17</v>
      </c>
      <c r="F7" s="14">
        <f>COUNTIF(F22:F101,1)</f>
        <v>74</v>
      </c>
      <c r="G7" s="41">
        <f>F7*$B$5</f>
        <v>462.5</v>
      </c>
      <c r="I7" s="37" t="s">
        <v>34</v>
      </c>
      <c r="J7" s="37" t="s">
        <v>35</v>
      </c>
      <c r="K7" s="37" t="s">
        <v>36</v>
      </c>
      <c r="M7" s="129"/>
      <c r="N7" s="2"/>
      <c r="O7" s="2"/>
      <c r="P7" s="2"/>
      <c r="R7" s="124" t="s">
        <v>123</v>
      </c>
      <c r="S7" s="128">
        <f>SUM(R22:R101)</f>
        <v>18.786802773961266</v>
      </c>
      <c r="T7" s="128">
        <f t="shared" ref="T7:T9" si="0">S7*$B$5</f>
        <v>117.41751733725792</v>
      </c>
      <c r="U7" s="137">
        <f>SUM(W22:W101)</f>
        <v>22.157859723103527</v>
      </c>
      <c r="V7" s="1">
        <f t="shared" ref="V7:V9" si="1">U7*$B$5</f>
        <v>138.48662326939706</v>
      </c>
      <c r="AA7" s="193"/>
      <c r="AB7" s="193"/>
      <c r="AD7" s="196" t="s">
        <v>155</v>
      </c>
      <c r="AE7" s="196">
        <v>1</v>
      </c>
      <c r="AF7" s="196">
        <v>9.9640000000000006E-3</v>
      </c>
      <c r="AG7" s="197" t="s">
        <v>143</v>
      </c>
      <c r="AH7" s="198">
        <v>1.369618</v>
      </c>
      <c r="AI7" s="199" t="s">
        <v>144</v>
      </c>
    </row>
    <row r="8" spans="1:36" x14ac:dyDescent="0.3">
      <c r="A8" s="35" t="s">
        <v>31</v>
      </c>
      <c r="B8" s="28" t="s">
        <v>33</v>
      </c>
      <c r="C8" s="51" t="s">
        <v>44</v>
      </c>
      <c r="D8" s="69" t="s">
        <v>59</v>
      </c>
      <c r="E8" s="12" t="s">
        <v>18</v>
      </c>
      <c r="F8" s="6">
        <f>COUNTIF(F22:F101,0)</f>
        <v>6</v>
      </c>
      <c r="G8" s="42">
        <f>F8*$B$5</f>
        <v>37.5</v>
      </c>
      <c r="I8" s="38">
        <v>61.1372</v>
      </c>
      <c r="J8" s="38">
        <v>0.48049999999999998</v>
      </c>
      <c r="K8" s="26">
        <v>10</v>
      </c>
      <c r="M8" s="129"/>
      <c r="N8" s="2"/>
      <c r="O8" s="2"/>
      <c r="P8" s="2"/>
      <c r="R8" s="124" t="s">
        <v>124</v>
      </c>
      <c r="S8" s="128">
        <f>SUM(S22:S101)</f>
        <v>1.8394750646944111</v>
      </c>
      <c r="T8" s="128">
        <f t="shared" si="0"/>
        <v>11.49671915434007</v>
      </c>
      <c r="U8" s="137">
        <f>SUM(X22:X101)</f>
        <v>1.8394750646944111</v>
      </c>
      <c r="V8" s="1">
        <f t="shared" si="1"/>
        <v>11.49671915434007</v>
      </c>
      <c r="AA8" s="193"/>
      <c r="AB8" s="193"/>
      <c r="AD8" s="196"/>
      <c r="AE8" s="196"/>
      <c r="AF8" s="196"/>
      <c r="AG8" s="197"/>
      <c r="AH8" s="198"/>
      <c r="AI8" s="199"/>
    </row>
    <row r="9" spans="1:36" x14ac:dyDescent="0.3">
      <c r="A9" s="35" t="s">
        <v>32</v>
      </c>
      <c r="B9" s="28">
        <v>13</v>
      </c>
      <c r="C9" s="51" t="s">
        <v>44</v>
      </c>
      <c r="D9" s="69" t="s">
        <v>60</v>
      </c>
      <c r="E9" s="13" t="s">
        <v>19</v>
      </c>
      <c r="F9" s="15">
        <f>SUM(E22:E101)</f>
        <v>3.1713733811494986</v>
      </c>
      <c r="G9" s="43">
        <f>F9*$B$5</f>
        <v>19.821083632184365</v>
      </c>
      <c r="M9" s="129"/>
      <c r="N9" s="2"/>
      <c r="O9" s="2"/>
      <c r="P9" s="2"/>
      <c r="R9" s="124" t="s">
        <v>125</v>
      </c>
      <c r="S9" s="128">
        <f>SUM(T22:T101)</f>
        <v>8.3766412408780522E-2</v>
      </c>
      <c r="T9" s="128">
        <f t="shared" si="0"/>
        <v>0.5235400775548783</v>
      </c>
      <c r="U9" s="137">
        <f>SUM(Y22:Y101)</f>
        <v>8.3766412408780522E-2</v>
      </c>
      <c r="V9" s="1">
        <f t="shared" si="1"/>
        <v>0.5235400775548783</v>
      </c>
      <c r="AA9" s="193"/>
      <c r="AB9" s="193"/>
      <c r="AD9" s="196"/>
      <c r="AE9" s="196"/>
      <c r="AF9" s="196"/>
      <c r="AG9" s="197"/>
      <c r="AH9" s="198"/>
      <c r="AI9" s="199"/>
      <c r="AJ9">
        <v>1.780459</v>
      </c>
    </row>
    <row r="10" spans="1:36" x14ac:dyDescent="0.3">
      <c r="D10" s="69" t="s">
        <v>61</v>
      </c>
      <c r="E10" s="45" t="s">
        <v>20</v>
      </c>
      <c r="F10" s="3">
        <f>SQRT((4*F9)/(PI()*F7))*100</f>
        <v>23.359464775430851</v>
      </c>
      <c r="G10" s="11">
        <f>SQRT((4*G9)/(PI()*G7))*100</f>
        <v>23.359464775430851</v>
      </c>
      <c r="I10" s="48" t="s">
        <v>39</v>
      </c>
      <c r="M10" s="129"/>
      <c r="N10" s="2"/>
      <c r="O10" s="2"/>
      <c r="P10" s="2"/>
      <c r="V10" s="139">
        <f>SUM(V6:V9)</f>
        <v>153.21764686236727</v>
      </c>
      <c r="AA10" s="193"/>
      <c r="AB10" s="193"/>
      <c r="AD10" s="196"/>
      <c r="AE10" s="196"/>
      <c r="AF10" s="196"/>
      <c r="AG10" s="197"/>
      <c r="AH10" s="198"/>
      <c r="AI10" s="199"/>
    </row>
    <row r="11" spans="1:36" ht="14.4" customHeight="1" x14ac:dyDescent="0.3">
      <c r="D11" s="69" t="s">
        <v>62</v>
      </c>
      <c r="E11" s="13" t="s">
        <v>21</v>
      </c>
      <c r="F11" s="40"/>
      <c r="G11" s="40">
        <f>AVERAGE(I22:I101)</f>
        <v>28.049999999999997</v>
      </c>
      <c r="I11" s="2"/>
      <c r="J11" s="2"/>
      <c r="K11" s="2"/>
      <c r="L11" s="2"/>
      <c r="M11" s="2"/>
      <c r="N11" s="2"/>
      <c r="O11" s="2"/>
      <c r="P11" s="2"/>
      <c r="R11" s="48" t="s">
        <v>129</v>
      </c>
      <c r="AA11" s="193"/>
      <c r="AB11" s="193"/>
      <c r="AD11" s="196" t="s">
        <v>145</v>
      </c>
      <c r="AE11" s="196">
        <v>1</v>
      </c>
      <c r="AF11" s="196">
        <v>5.9400000000000002E-4</v>
      </c>
      <c r="AG11" s="197" t="s">
        <v>146</v>
      </c>
      <c r="AH11" s="200">
        <v>1.0849880000000001</v>
      </c>
      <c r="AI11" s="199" t="s">
        <v>144</v>
      </c>
    </row>
    <row r="12" spans="1:36" x14ac:dyDescent="0.3">
      <c r="D12" s="69" t="s">
        <v>63</v>
      </c>
      <c r="E12" s="13" t="s">
        <v>22</v>
      </c>
      <c r="G12" s="44">
        <f>AVERAGE(H22:H101)</f>
        <v>23.328571428571429</v>
      </c>
      <c r="I12" s="2"/>
      <c r="J12" s="2"/>
      <c r="K12" s="2"/>
      <c r="L12" s="2"/>
      <c r="M12" s="2"/>
      <c r="N12" s="2"/>
      <c r="O12" s="2"/>
      <c r="P12" s="2"/>
      <c r="AA12" s="193"/>
      <c r="AB12" s="193"/>
      <c r="AD12" s="196"/>
      <c r="AE12" s="196"/>
      <c r="AF12" s="196"/>
      <c r="AG12" s="197"/>
      <c r="AH12" s="200"/>
      <c r="AI12" s="199"/>
    </row>
    <row r="13" spans="1:36" ht="15" thickBot="1" x14ac:dyDescent="0.35">
      <c r="D13" s="69" t="s">
        <v>65</v>
      </c>
      <c r="E13" s="62" t="s">
        <v>37</v>
      </c>
      <c r="G13" s="72">
        <f>I8*(G12/I8)^((B9/K8)^J8)</f>
        <v>20.496080132356497</v>
      </c>
      <c r="M13" s="2"/>
      <c r="N13" s="46" t="s">
        <v>40</v>
      </c>
      <c r="O13" s="46" t="s">
        <v>41</v>
      </c>
      <c r="P13" s="46" t="s">
        <v>42</v>
      </c>
      <c r="AA13" s="193"/>
      <c r="AB13" s="193"/>
      <c r="AD13" s="196"/>
      <c r="AE13" s="196"/>
      <c r="AF13" s="196"/>
      <c r="AG13" s="197"/>
      <c r="AH13" s="200"/>
      <c r="AI13" s="199"/>
      <c r="AJ13">
        <v>2.3794749999999998</v>
      </c>
    </row>
    <row r="14" spans="1:36" ht="15" thickBot="1" x14ac:dyDescent="0.35">
      <c r="D14" s="69" t="s">
        <v>67</v>
      </c>
      <c r="E14" s="13" t="s">
        <v>66</v>
      </c>
      <c r="G14" s="72">
        <f>100/(G12*SQRT(G7))</f>
        <v>0.19932234444745497</v>
      </c>
      <c r="I14" s="46" t="s">
        <v>40</v>
      </c>
      <c r="J14" s="46" t="s">
        <v>41</v>
      </c>
      <c r="K14" s="46" t="s">
        <v>42</v>
      </c>
      <c r="L14" s="46" t="s">
        <v>43</v>
      </c>
      <c r="M14" s="2"/>
      <c r="N14" s="111">
        <v>0.21049999999999999</v>
      </c>
      <c r="O14" s="112">
        <v>1.8190999999999999</v>
      </c>
      <c r="P14" s="112">
        <v>1.0703</v>
      </c>
      <c r="Q14" t="s">
        <v>105</v>
      </c>
      <c r="AA14" s="193"/>
      <c r="AB14" s="193"/>
      <c r="AD14" s="196"/>
      <c r="AE14" s="196"/>
      <c r="AF14" s="196"/>
      <c r="AG14" s="197"/>
      <c r="AH14" s="200"/>
      <c r="AI14" s="199"/>
    </row>
    <row r="15" spans="1:36" ht="23.4" thickBot="1" x14ac:dyDescent="0.4">
      <c r="E15" s="75" t="s">
        <v>72</v>
      </c>
      <c r="G15" s="63">
        <f>100^2/(G12^2*0.27^2)</f>
        <v>252.05550220389333</v>
      </c>
      <c r="I15" s="47">
        <v>-1.770086</v>
      </c>
      <c r="J15" s="10">
        <v>-0.233239</v>
      </c>
      <c r="K15" s="10">
        <v>0.54879800000000001</v>
      </c>
      <c r="L15" s="10">
        <v>-5.5273999999999997E-2</v>
      </c>
      <c r="M15" s="2"/>
      <c r="N15" s="111">
        <v>0.1241</v>
      </c>
      <c r="O15" s="112">
        <v>1.7828999999999999</v>
      </c>
      <c r="P15" s="112">
        <v>1.1564000000000001</v>
      </c>
      <c r="Q15" t="s">
        <v>106</v>
      </c>
      <c r="AA15" s="193"/>
      <c r="AB15" s="193"/>
      <c r="AD15" s="179" t="s">
        <v>147</v>
      </c>
      <c r="AE15" s="180">
        <v>2</v>
      </c>
      <c r="AF15" s="180">
        <v>9.5602999999999994E-2</v>
      </c>
      <c r="AG15" s="27">
        <v>1.6746529999999999</v>
      </c>
      <c r="AH15" s="181">
        <v>-0.85072999999999999</v>
      </c>
      <c r="AI15" s="182" t="s">
        <v>144</v>
      </c>
    </row>
    <row r="16" spans="1:36" ht="16.2" customHeight="1" thickBot="1" x14ac:dyDescent="0.4">
      <c r="B16" s="77"/>
      <c r="C16" s="78">
        <v>1.6</v>
      </c>
      <c r="D16" s="69" t="s">
        <v>68</v>
      </c>
      <c r="E16" s="13" t="s">
        <v>69</v>
      </c>
      <c r="G16" s="63">
        <f>G7-G15</f>
        <v>210.44449779610667</v>
      </c>
      <c r="N16" s="111">
        <v>0.60219999999999996</v>
      </c>
      <c r="O16" s="112">
        <v>4.7766999999999999</v>
      </c>
      <c r="P16" s="112">
        <v>4.4124999999999996</v>
      </c>
      <c r="Q16" t="s">
        <v>128</v>
      </c>
      <c r="S16" s="117">
        <v>1.0988</v>
      </c>
      <c r="T16" s="117">
        <v>0.38690000000000002</v>
      </c>
      <c r="U16" s="117">
        <v>2.8460999999999999</v>
      </c>
      <c r="V16" s="117">
        <v>-1.0988</v>
      </c>
      <c r="W16" s="117">
        <v>0.38690000000000002</v>
      </c>
      <c r="AD16" s="179" t="s">
        <v>148</v>
      </c>
      <c r="AE16" s="180">
        <v>2</v>
      </c>
      <c r="AF16" s="180">
        <v>0.24895200000000001</v>
      </c>
      <c r="AG16" s="183">
        <v>1.264033</v>
      </c>
      <c r="AH16" s="184">
        <v>-0.71209999999999996</v>
      </c>
      <c r="AI16" s="182" t="s">
        <v>144</v>
      </c>
    </row>
    <row r="17" spans="2:36" ht="15" thickBot="1" x14ac:dyDescent="0.35">
      <c r="B17" s="79"/>
      <c r="C17" s="80"/>
      <c r="D17" s="71" t="s">
        <v>70</v>
      </c>
      <c r="E17" s="76" t="s">
        <v>45</v>
      </c>
      <c r="F17" s="74"/>
      <c r="G17" s="63">
        <f>G7*(G10/25)^C16</f>
        <v>414.90468960947948</v>
      </c>
      <c r="H17" s="73" t="s">
        <v>71</v>
      </c>
      <c r="R17" s="123" t="s">
        <v>117</v>
      </c>
      <c r="AD17" s="185" t="s">
        <v>149</v>
      </c>
      <c r="AE17" s="185" t="s">
        <v>150</v>
      </c>
      <c r="AF17" s="186"/>
      <c r="AG17" s="186"/>
      <c r="AH17" s="187"/>
      <c r="AI17" s="188" t="s">
        <v>144</v>
      </c>
    </row>
    <row r="18" spans="2:36" ht="15" thickBot="1" x14ac:dyDescent="0.35">
      <c r="B18" s="130"/>
      <c r="C18" s="130"/>
      <c r="D18" s="71"/>
      <c r="E18" s="131"/>
      <c r="F18" s="74"/>
      <c r="G18" s="132"/>
      <c r="H18" s="73"/>
      <c r="R18" s="123"/>
      <c r="AD18" s="189"/>
      <c r="AE18" s="189"/>
      <c r="AF18" s="190"/>
      <c r="AG18" s="190"/>
      <c r="AH18" s="191"/>
      <c r="AI18" s="192"/>
    </row>
    <row r="19" spans="2:36" ht="23.4" thickBot="1" x14ac:dyDescent="0.35">
      <c r="C19" s="58"/>
      <c r="D19" s="58"/>
      <c r="E19" s="59"/>
      <c r="J19" s="70" t="s">
        <v>64</v>
      </c>
      <c r="L19" s="70" t="s">
        <v>115</v>
      </c>
      <c r="M19" s="70" t="s">
        <v>116</v>
      </c>
      <c r="N19" s="61"/>
      <c r="P19" s="60"/>
      <c r="Q19" s="144" t="s">
        <v>126</v>
      </c>
      <c r="R19" s="144"/>
      <c r="S19" s="144"/>
      <c r="T19" s="144"/>
      <c r="U19" s="146" t="s">
        <v>127</v>
      </c>
      <c r="V19" s="147"/>
      <c r="W19" s="147"/>
      <c r="X19" s="147"/>
      <c r="Y19" s="147"/>
      <c r="AD19" s="179" t="s">
        <v>151</v>
      </c>
      <c r="AE19" s="189" t="s">
        <v>152</v>
      </c>
      <c r="AF19" s="190"/>
      <c r="AG19" s="190"/>
      <c r="AH19" s="191"/>
      <c r="AI19" s="182" t="s">
        <v>153</v>
      </c>
      <c r="AJ19">
        <v>0.2487</v>
      </c>
    </row>
    <row r="20" spans="2:36" ht="15" customHeight="1" x14ac:dyDescent="0.3">
      <c r="C20" s="8" t="s">
        <v>2</v>
      </c>
      <c r="D20" s="4" t="s">
        <v>6</v>
      </c>
      <c r="E20" s="6" t="s">
        <v>29</v>
      </c>
      <c r="F20" s="53" t="s">
        <v>23</v>
      </c>
      <c r="G20" s="32" t="s">
        <v>15</v>
      </c>
      <c r="H20" s="31"/>
      <c r="I20" s="31"/>
      <c r="J20" s="49" t="s">
        <v>2</v>
      </c>
      <c r="K20" s="113" t="s">
        <v>2</v>
      </c>
      <c r="L20" s="115" t="s">
        <v>104</v>
      </c>
      <c r="M20" s="115" t="s">
        <v>104</v>
      </c>
      <c r="N20" s="141" t="s">
        <v>108</v>
      </c>
      <c r="O20" s="141"/>
      <c r="P20" s="141"/>
      <c r="Q20" s="142" t="s">
        <v>113</v>
      </c>
      <c r="R20" s="142"/>
      <c r="S20" s="142"/>
      <c r="T20" s="142"/>
      <c r="U20" s="133" t="s">
        <v>114</v>
      </c>
      <c r="V20" s="145" t="s">
        <v>113</v>
      </c>
      <c r="W20" s="145"/>
      <c r="X20" s="145"/>
      <c r="Y20" s="145"/>
      <c r="Z20" s="168" t="s">
        <v>131</v>
      </c>
      <c r="AA20" s="168"/>
      <c r="AB20" s="168"/>
      <c r="AC20" s="168"/>
      <c r="AD20" s="168"/>
      <c r="AE20" s="168"/>
      <c r="AF20" s="168"/>
      <c r="AH20" s="202" t="s">
        <v>156</v>
      </c>
      <c r="AI20" s="202"/>
    </row>
    <row r="21" spans="2:36" ht="15.6" customHeight="1" x14ac:dyDescent="0.3">
      <c r="B21" s="56" t="s">
        <v>0</v>
      </c>
      <c r="C21" s="56" t="s">
        <v>1</v>
      </c>
      <c r="D21" s="57" t="s">
        <v>5</v>
      </c>
      <c r="E21" s="6" t="s">
        <v>10</v>
      </c>
      <c r="F21" s="54" t="s">
        <v>24</v>
      </c>
      <c r="G21" s="33" t="s">
        <v>11</v>
      </c>
      <c r="H21" s="27" t="s">
        <v>27</v>
      </c>
      <c r="I21" s="27" t="s">
        <v>28</v>
      </c>
      <c r="J21" s="52" t="s">
        <v>3</v>
      </c>
      <c r="K21" s="114" t="s">
        <v>4</v>
      </c>
      <c r="L21" s="50" t="s">
        <v>103</v>
      </c>
      <c r="M21" s="50" t="s">
        <v>107</v>
      </c>
      <c r="N21" s="6">
        <v>25</v>
      </c>
      <c r="O21" s="6">
        <v>12</v>
      </c>
      <c r="P21" s="6">
        <v>6</v>
      </c>
      <c r="Q21" s="6" t="s">
        <v>109</v>
      </c>
      <c r="R21" s="6" t="s">
        <v>110</v>
      </c>
      <c r="S21" s="6" t="s">
        <v>111</v>
      </c>
      <c r="T21" s="6" t="s">
        <v>112</v>
      </c>
      <c r="U21" s="50">
        <v>3.1</v>
      </c>
      <c r="V21" s="116" t="s">
        <v>109</v>
      </c>
      <c r="W21" s="116" t="s">
        <v>110</v>
      </c>
      <c r="X21" s="116" t="s">
        <v>111</v>
      </c>
      <c r="Y21" s="116" t="s">
        <v>112</v>
      </c>
      <c r="Z21" s="169" t="s">
        <v>132</v>
      </c>
      <c r="AA21" s="169" t="s">
        <v>133</v>
      </c>
      <c r="AB21" s="169" t="s">
        <v>134</v>
      </c>
      <c r="AC21" s="169" t="s">
        <v>135</v>
      </c>
      <c r="AD21" s="169" t="s">
        <v>136</v>
      </c>
      <c r="AE21" s="169" t="s">
        <v>137</v>
      </c>
      <c r="AF21" s="169" t="s">
        <v>138</v>
      </c>
      <c r="AH21" s="203"/>
      <c r="AI21" s="203"/>
    </row>
    <row r="22" spans="2:36" x14ac:dyDescent="0.3">
      <c r="B22" s="22">
        <v>78</v>
      </c>
      <c r="C22" s="23"/>
      <c r="D22" s="24">
        <v>29.75</v>
      </c>
      <c r="E22" s="7">
        <f>PI()/40000*D22^2</f>
        <v>6.9512646199195408E-2</v>
      </c>
      <c r="F22" s="55">
        <f>IF(D22&gt;0,1,0)</f>
        <v>1</v>
      </c>
      <c r="G22" s="6">
        <v>1</v>
      </c>
      <c r="H22" s="27" t="str">
        <f t="shared" ref="H22:H53" si="2">IF(AND(C22&lt;&gt;"",G22&lt;=$B$6),C22,"")</f>
        <v/>
      </c>
      <c r="I22" s="27">
        <f t="shared" ref="I22:I53" si="3">IF(AND(D22&lt;&gt;"",G22&lt;=$B$6),D22,"")</f>
        <v>29.75</v>
      </c>
      <c r="J22" s="72">
        <f>$G$12*EXP(($I$15+$J$15*$G$12+$K$15*$G$7/1000+$L$15*$G$10)*(1/D22-1/$G$11))</f>
        <v>23.723892478272571</v>
      </c>
      <c r="K22" s="1">
        <f>IF(C22="",J22,C22)</f>
        <v>23.723892478272571</v>
      </c>
      <c r="L22" s="121">
        <f t="shared" ref="L22:L53" si="4">$N$14*(D22/100)^$O$14*K22^$P$14</f>
        <v>0.68759667283922143</v>
      </c>
      <c r="M22" s="136">
        <f t="shared" ref="M22:M53" si="5">$N$15*(D22/100)^$O$15*K22^$P$15</f>
        <v>0.55630982436395238</v>
      </c>
      <c r="N22" s="7">
        <f>$M22*EXP(-$N$16*$N$21^$O$16/$D22^$P$16)</f>
        <v>0.22558004620708277</v>
      </c>
      <c r="O22" s="7">
        <f>$M22*EXP(-$N$16*$O$21^$O$16/$D22^$P$16)</f>
        <v>0.54143846200737988</v>
      </c>
      <c r="P22" s="7">
        <f>$M22*EXP(-$N$16*$P$21^$O$16/$D22^$P$16)</f>
        <v>0.55576018646381942</v>
      </c>
      <c r="Q22" s="120">
        <f>N22</f>
        <v>0.22558004620708277</v>
      </c>
      <c r="R22" s="120">
        <f>O22-N22</f>
        <v>0.31585841580029711</v>
      </c>
      <c r="S22" s="120">
        <f>P22-O22</f>
        <v>1.4321724456439533E-2</v>
      </c>
      <c r="T22" s="121">
        <f>M22-P22</f>
        <v>5.4963790013295988E-4</v>
      </c>
      <c r="U22" s="7">
        <f>D22*($S$16+$T$16*(LN(1-(($U$21/K22)^(1/$U$16))*(1-EXP($V$16/$W$16)))))</f>
        <v>25.584207488830163</v>
      </c>
      <c r="V22" s="118">
        <f>IF(U22&gt;=$N$21,N22,0)</f>
        <v>0.22558004620708277</v>
      </c>
      <c r="W22" s="119">
        <f>O22-V22</f>
        <v>0.31585841580029711</v>
      </c>
      <c r="X22" s="134">
        <f>P22-O22</f>
        <v>1.4321724456439533E-2</v>
      </c>
      <c r="Y22" s="135">
        <f>M22-P22</f>
        <v>5.4963790013295988E-4</v>
      </c>
      <c r="Z22" s="201">
        <f>$AF$7*D22^$AJ$9*K22^$AH$7</f>
        <v>320.18153511890944</v>
      </c>
      <c r="AA22" s="201">
        <f>$AF$11*D22^$AJ$13*K22^$AH$11</f>
        <v>59.152363684340649</v>
      </c>
      <c r="AB22" s="201">
        <f>$AF$15*D22^$AG$15*(K22/D22)^$AH$15</f>
        <v>34.015630457689824</v>
      </c>
      <c r="AC22" s="201">
        <f>$AF$16*D22^$AG$16*(K22/D22)^$AH$16</f>
        <v>21.313360624917799</v>
      </c>
      <c r="AD22" s="201">
        <f>SUM(Z22:AC22)</f>
        <v>434.66288988585768</v>
      </c>
      <c r="AE22">
        <f>$AJ$19*AD22</f>
        <v>108.1006607146128</v>
      </c>
      <c r="AF22" s="201">
        <f>AD22+AE22</f>
        <v>542.76355060047047</v>
      </c>
      <c r="AH22" s="204" t="s">
        <v>132</v>
      </c>
      <c r="AI22" s="205">
        <f>SUM(Z22:Z101)*20/1000</f>
        <v>278.34847839964908</v>
      </c>
    </row>
    <row r="23" spans="2:36" x14ac:dyDescent="0.3">
      <c r="B23" s="22">
        <v>11</v>
      </c>
      <c r="C23" s="18">
        <v>23.5</v>
      </c>
      <c r="D23" s="24">
        <v>29.4</v>
      </c>
      <c r="E23" s="7">
        <f t="shared" ref="E23:E86" si="6">PI()/40000*D23^2</f>
        <v>6.7886675651421827E-2</v>
      </c>
      <c r="F23" s="55">
        <f t="shared" ref="F23:F86" si="7">IF(D23&gt;0,1,0)</f>
        <v>1</v>
      </c>
      <c r="G23" s="6">
        <v>2</v>
      </c>
      <c r="H23" s="6">
        <f t="shared" si="2"/>
        <v>23.5</v>
      </c>
      <c r="I23" s="27">
        <f t="shared" si="3"/>
        <v>29.4</v>
      </c>
      <c r="J23" s="72">
        <f>$G$12*EXP(($I$15+$J$15*$G$12+$K$15*$G$7/1000+$L$15*$G$10)*(1/D23-1/$G$11))</f>
        <v>23.645714967459359</v>
      </c>
      <c r="K23" s="122">
        <f>IF(C23="",J23,C23)</f>
        <v>23.5</v>
      </c>
      <c r="L23" s="121">
        <f t="shared" si="4"/>
        <v>0.66615710135844031</v>
      </c>
      <c r="M23" s="121">
        <f t="shared" si="5"/>
        <v>0.53875475077311796</v>
      </c>
      <c r="N23" s="7">
        <f t="shared" ref="N23:N86" si="8">$M23*EXP(-$N$16*$N$21^$O$16/$D23^$P$16)</f>
        <v>0.20814225156495897</v>
      </c>
      <c r="O23" s="7">
        <f t="shared" ref="O23:O86" si="9">$M23*EXP(-$N$16*$O$21^$O$16/$D23^$P$16)</f>
        <v>0.52359158622779511</v>
      </c>
      <c r="P23" s="7">
        <f t="shared" ref="P23:P86" si="10">$M23*EXP(-$N$16*$P$21^$O$16/$D23^$P$16)</f>
        <v>0.53819393759505962</v>
      </c>
      <c r="Q23" s="120">
        <f t="shared" ref="Q23:Q86" si="11">N23</f>
        <v>0.20814225156495897</v>
      </c>
      <c r="R23" s="120">
        <f t="shared" ref="R23:R86" si="12">O23-N23</f>
        <v>0.31544933466283614</v>
      </c>
      <c r="S23" s="120">
        <f t="shared" ref="S23:S86" si="13">P23-O23</f>
        <v>1.460235136726451E-2</v>
      </c>
      <c r="T23" s="121">
        <f t="shared" ref="T23:T86" si="14">M23-P23</f>
        <v>5.6081317805833919E-4</v>
      </c>
      <c r="U23" s="7">
        <f>D23*($S$16+$T$16*(LN(1-(($U$21/K23)^(1/$U$16))*(1-EXP($V$16/$W$16)))))</f>
        <v>25.250756802144462</v>
      </c>
      <c r="V23" s="118">
        <f t="shared" ref="V23:V86" si="15">IF(U23&gt;=$N$21,N23,0)</f>
        <v>0.20814225156495897</v>
      </c>
      <c r="W23" s="119">
        <f t="shared" ref="W23:W86" si="16">O23-V23</f>
        <v>0.31544933466283614</v>
      </c>
      <c r="X23" s="134">
        <f t="shared" ref="X23:X86" si="17">P23-O23</f>
        <v>1.460235136726451E-2</v>
      </c>
      <c r="Y23" s="135">
        <f t="shared" ref="Y23:Y86" si="18">M23-P23</f>
        <v>5.6081317805833919E-4</v>
      </c>
      <c r="Z23" s="201">
        <f t="shared" ref="Z23:Z86" si="19">$AF$7*D23^$AJ$9*K23^$AH$7</f>
        <v>309.46045647241147</v>
      </c>
      <c r="AA23" s="201">
        <f t="shared" ref="AA23:AA86" si="20">$AF$11*D23^$AJ$13*K23^$AH$11</f>
        <v>56.921244504273503</v>
      </c>
      <c r="AB23" s="201">
        <f t="shared" ref="AB23:AB86" si="21">$AF$15*D23^$AG$15*(K23/D23)^$AH$15</f>
        <v>33.281458054645086</v>
      </c>
      <c r="AC23" s="201">
        <f t="shared" ref="AC23:AC86" si="22">$AF$16*D23^$AG$16*(K23/D23)^$AH$16</f>
        <v>20.961763171890581</v>
      </c>
      <c r="AD23" s="201">
        <f t="shared" ref="AD23:AD86" si="23">SUM(Z23:AC23)</f>
        <v>420.62492220322065</v>
      </c>
      <c r="AE23">
        <f t="shared" ref="AE23:AE86" si="24">$AJ$19*AD23</f>
        <v>104.60941815194097</v>
      </c>
      <c r="AF23" s="201">
        <f t="shared" ref="AF23:AF86" si="25">AD23+AE23</f>
        <v>525.23434035516163</v>
      </c>
      <c r="AH23" s="204" t="s">
        <v>133</v>
      </c>
      <c r="AI23" s="205">
        <f>SUM(AA22:AA101)*20/1000</f>
        <v>46.561705900482991</v>
      </c>
    </row>
    <row r="24" spans="2:36" x14ac:dyDescent="0.3">
      <c r="B24" s="22">
        <v>66</v>
      </c>
      <c r="C24" s="19"/>
      <c r="D24" s="24">
        <v>28.95</v>
      </c>
      <c r="E24" s="7">
        <f t="shared" si="6"/>
        <v>6.5824416423880983E-2</v>
      </c>
      <c r="F24" s="55">
        <f t="shared" si="7"/>
        <v>1</v>
      </c>
      <c r="G24" s="6">
        <v>3</v>
      </c>
      <c r="H24" s="6" t="str">
        <f t="shared" si="2"/>
        <v/>
      </c>
      <c r="I24" s="27">
        <f t="shared" si="3"/>
        <v>28.95</v>
      </c>
      <c r="J24" s="72">
        <f>$G$12*EXP(($I$15+$J$15*$G$12+$K$15*$G$7/1000+$L$15*$G$10)*(1/D24-1/$G$11))</f>
        <v>23.542818347463658</v>
      </c>
      <c r="K24" s="1">
        <f t="shared" ref="K24:K86" si="26">IF(C24="",J24,C24)</f>
        <v>23.542818347463658</v>
      </c>
      <c r="L24" s="121">
        <f t="shared" si="4"/>
        <v>0.64898866431427005</v>
      </c>
      <c r="M24" s="121">
        <f t="shared" si="5"/>
        <v>0.525245242056955</v>
      </c>
      <c r="N24" s="7">
        <f t="shared" si="8"/>
        <v>0.18977608436910176</v>
      </c>
      <c r="O24" s="7">
        <f t="shared" si="9"/>
        <v>0.50943695950883794</v>
      </c>
      <c r="P24" s="7">
        <f t="shared" si="10"/>
        <v>0.5246600053095285</v>
      </c>
      <c r="Q24" s="120">
        <f t="shared" si="11"/>
        <v>0.18977608436910176</v>
      </c>
      <c r="R24" s="120">
        <f t="shared" si="12"/>
        <v>0.31966087513973618</v>
      </c>
      <c r="S24" s="120">
        <f t="shared" si="13"/>
        <v>1.522304580069056E-2</v>
      </c>
      <c r="T24" s="121">
        <f t="shared" si="14"/>
        <v>5.8523674742649856E-4</v>
      </c>
      <c r="U24" s="7">
        <f t="shared" ref="U24:U86" si="27">D24*($S$16+$T$16*(LN(1-(($U$21/K24)^(1/$U$16))*(1-EXP($V$16/$W$16)))))</f>
        <v>24.87041726116593</v>
      </c>
      <c r="V24" s="118">
        <f t="shared" si="15"/>
        <v>0</v>
      </c>
      <c r="W24" s="119">
        <f t="shared" si="16"/>
        <v>0.50943695950883794</v>
      </c>
      <c r="X24" s="134">
        <f t="shared" si="17"/>
        <v>1.522304580069056E-2</v>
      </c>
      <c r="Y24" s="135">
        <f t="shared" si="18"/>
        <v>5.8523674742649856E-4</v>
      </c>
      <c r="Z24" s="201">
        <f t="shared" si="19"/>
        <v>301.82909086877089</v>
      </c>
      <c r="AA24" s="201">
        <f t="shared" si="20"/>
        <v>54.978467416635503</v>
      </c>
      <c r="AB24" s="201">
        <f t="shared" si="21"/>
        <v>31.960445599089113</v>
      </c>
      <c r="AC24" s="201">
        <f t="shared" si="22"/>
        <v>20.30613110808493</v>
      </c>
      <c r="AD24" s="201">
        <f t="shared" si="23"/>
        <v>409.07413499258041</v>
      </c>
      <c r="AE24">
        <f t="shared" si="24"/>
        <v>101.73673737265474</v>
      </c>
      <c r="AF24" s="201">
        <f t="shared" si="25"/>
        <v>510.81087236523513</v>
      </c>
      <c r="AH24" s="204" t="s">
        <v>134</v>
      </c>
      <c r="AI24" s="205">
        <f>SUM(AB22:AB101)*20/1000</f>
        <v>29.548953860074832</v>
      </c>
    </row>
    <row r="25" spans="2:36" x14ac:dyDescent="0.3">
      <c r="B25" s="22">
        <v>53</v>
      </c>
      <c r="C25" s="19"/>
      <c r="D25" s="24">
        <v>28.75</v>
      </c>
      <c r="E25" s="7">
        <f t="shared" si="6"/>
        <v>6.4918066943320335E-2</v>
      </c>
      <c r="F25" s="55">
        <f t="shared" si="7"/>
        <v>1</v>
      </c>
      <c r="G25" s="6">
        <v>4</v>
      </c>
      <c r="H25" s="6" t="str">
        <f t="shared" si="2"/>
        <v/>
      </c>
      <c r="I25" s="27">
        <f t="shared" si="3"/>
        <v>28.75</v>
      </c>
      <c r="J25" s="72">
        <f>$G$12*EXP(($I$15+$J$15*$G$12+$K$15*$G$7/1000+$L$15*$G$10)*(1/D25-1/$G$11))</f>
        <v>23.496200695443768</v>
      </c>
      <c r="K25" s="1">
        <f t="shared" si="26"/>
        <v>23.496200695443768</v>
      </c>
      <c r="L25" s="121">
        <f t="shared" si="4"/>
        <v>0.639497702804524</v>
      </c>
      <c r="M25" s="121">
        <f t="shared" si="5"/>
        <v>0.5176054935397858</v>
      </c>
      <c r="N25" s="7">
        <f t="shared" si="8"/>
        <v>0.18119452160365895</v>
      </c>
      <c r="O25" s="7">
        <f t="shared" si="9"/>
        <v>0.50155083102068043</v>
      </c>
      <c r="P25" s="7">
        <f t="shared" si="10"/>
        <v>0.5170108651810893</v>
      </c>
      <c r="Q25" s="120">
        <f t="shared" si="11"/>
        <v>0.18119452160365895</v>
      </c>
      <c r="R25" s="120">
        <f t="shared" si="12"/>
        <v>0.32035630941702148</v>
      </c>
      <c r="S25" s="120">
        <f t="shared" si="13"/>
        <v>1.5460034160408864E-2</v>
      </c>
      <c r="T25" s="121">
        <f t="shared" si="14"/>
        <v>5.9462835869650288E-4</v>
      </c>
      <c r="U25" s="7">
        <f t="shared" si="27"/>
        <v>24.691948813645421</v>
      </c>
      <c r="V25" s="118">
        <f t="shared" si="15"/>
        <v>0</v>
      </c>
      <c r="W25" s="119">
        <f t="shared" si="16"/>
        <v>0.50155083102068043</v>
      </c>
      <c r="X25" s="134">
        <f t="shared" si="17"/>
        <v>1.5460034160408864E-2</v>
      </c>
      <c r="Y25" s="135">
        <f t="shared" si="18"/>
        <v>5.9462835869650288E-4</v>
      </c>
      <c r="Z25" s="201">
        <f t="shared" si="19"/>
        <v>297.318309529288</v>
      </c>
      <c r="AA25" s="201">
        <f t="shared" si="20"/>
        <v>53.962831747904843</v>
      </c>
      <c r="AB25" s="201">
        <f t="shared" si="21"/>
        <v>31.458783363699407</v>
      </c>
      <c r="AC25" s="201">
        <f t="shared" si="22"/>
        <v>20.058136684975199</v>
      </c>
      <c r="AD25" s="201">
        <f t="shared" si="23"/>
        <v>402.79806132586742</v>
      </c>
      <c r="AE25">
        <f t="shared" si="24"/>
        <v>100.17587785174322</v>
      </c>
      <c r="AF25" s="201">
        <f t="shared" si="25"/>
        <v>502.97393917761065</v>
      </c>
      <c r="AH25" s="204" t="s">
        <v>135</v>
      </c>
      <c r="AI25" s="205">
        <f>SUM(AC22:AC101)*20/1000</f>
        <v>20.585766827579516</v>
      </c>
    </row>
    <row r="26" spans="2:36" x14ac:dyDescent="0.3">
      <c r="B26" s="22">
        <v>71</v>
      </c>
      <c r="C26" s="18">
        <v>25.5</v>
      </c>
      <c r="D26" s="24">
        <v>28.65</v>
      </c>
      <c r="E26" s="7">
        <f t="shared" si="6"/>
        <v>6.4467248397530194E-2</v>
      </c>
      <c r="F26" s="55">
        <f t="shared" si="7"/>
        <v>1</v>
      </c>
      <c r="G26" s="6">
        <v>5</v>
      </c>
      <c r="H26" s="6">
        <f t="shared" si="2"/>
        <v>25.5</v>
      </c>
      <c r="I26" s="27">
        <f t="shared" si="3"/>
        <v>28.65</v>
      </c>
      <c r="J26" s="72">
        <f>$G$12*EXP(($I$15+$J$15*$G$12+$K$15*$G$7/1000+$L$15*$G$10)*(1/D26-1/$G$11))</f>
        <v>23.472682909723726</v>
      </c>
      <c r="K26" s="122">
        <f t="shared" si="26"/>
        <v>25.5</v>
      </c>
      <c r="L26" s="121">
        <f t="shared" si="4"/>
        <v>0.69362935247632651</v>
      </c>
      <c r="M26" s="121">
        <f t="shared" si="5"/>
        <v>0.5654605905192347</v>
      </c>
      <c r="N26" s="7">
        <f t="shared" si="8"/>
        <v>0.19475374296251943</v>
      </c>
      <c r="O26" s="7">
        <f t="shared" si="9"/>
        <v>0.54765418345614891</v>
      </c>
      <c r="P26" s="7">
        <f t="shared" si="10"/>
        <v>0.56480092723645392</v>
      </c>
      <c r="Q26" s="120">
        <f t="shared" si="11"/>
        <v>0.19475374296251943</v>
      </c>
      <c r="R26" s="120">
        <f t="shared" si="12"/>
        <v>0.35290044049362945</v>
      </c>
      <c r="S26" s="120">
        <f t="shared" si="13"/>
        <v>1.7146743780305007E-2</v>
      </c>
      <c r="T26" s="121">
        <f t="shared" si="14"/>
        <v>6.5966328278077579E-4</v>
      </c>
      <c r="U26" s="7">
        <f t="shared" si="27"/>
        <v>24.872812818466929</v>
      </c>
      <c r="V26" s="118">
        <f t="shared" si="15"/>
        <v>0</v>
      </c>
      <c r="W26" s="119">
        <f t="shared" si="16"/>
        <v>0.54765418345614891</v>
      </c>
      <c r="X26" s="134">
        <f t="shared" si="17"/>
        <v>1.7146743780305007E-2</v>
      </c>
      <c r="Y26" s="135">
        <f t="shared" si="18"/>
        <v>6.5966328278077579E-4</v>
      </c>
      <c r="Z26" s="201">
        <f t="shared" si="19"/>
        <v>330.52713770202553</v>
      </c>
      <c r="AA26" s="201">
        <f t="shared" si="20"/>
        <v>58.48672216984319</v>
      </c>
      <c r="AB26" s="201">
        <f t="shared" si="21"/>
        <v>29.085956682842589</v>
      </c>
      <c r="AC26" s="201">
        <f t="shared" si="22"/>
        <v>18.79275345715903</v>
      </c>
      <c r="AD26" s="201">
        <f t="shared" si="23"/>
        <v>436.89257001187036</v>
      </c>
      <c r="AE26">
        <f t="shared" si="24"/>
        <v>108.65518216195215</v>
      </c>
      <c r="AF26" s="201">
        <f t="shared" si="25"/>
        <v>545.54775217382257</v>
      </c>
      <c r="AH26" s="204" t="s">
        <v>136</v>
      </c>
      <c r="AI26" s="205">
        <f>SUM(AD22:AD101)*20/1000</f>
        <v>375.04490498778642</v>
      </c>
    </row>
    <row r="27" spans="2:36" x14ac:dyDescent="0.3">
      <c r="B27" s="22">
        <v>41</v>
      </c>
      <c r="C27" s="19"/>
      <c r="D27" s="24">
        <v>28.5</v>
      </c>
      <c r="E27" s="7">
        <f t="shared" si="6"/>
        <v>6.3793965821957732E-2</v>
      </c>
      <c r="F27" s="55">
        <f t="shared" si="7"/>
        <v>1</v>
      </c>
      <c r="G27" s="6">
        <v>6</v>
      </c>
      <c r="H27" s="6" t="str">
        <f t="shared" si="2"/>
        <v/>
      </c>
      <c r="I27" s="27">
        <f t="shared" si="3"/>
        <v>28.5</v>
      </c>
      <c r="J27" s="72">
        <f>$G$12*EXP(($I$15+$J$15*$G$12+$K$15*$G$7/1000+$L$15*$G$10)*(1/D27-1/$G$11))</f>
        <v>23.437141536783464</v>
      </c>
      <c r="K27" s="1">
        <f t="shared" si="26"/>
        <v>23.437141536783464</v>
      </c>
      <c r="L27" s="121">
        <f t="shared" si="4"/>
        <v>0.62772485368217912</v>
      </c>
      <c r="M27" s="121">
        <f t="shared" si="5"/>
        <v>0.50812716254981771</v>
      </c>
      <c r="N27" s="7">
        <f t="shared" si="8"/>
        <v>0.17069008782597903</v>
      </c>
      <c r="O27" s="7">
        <f t="shared" si="9"/>
        <v>0.49175734266934396</v>
      </c>
      <c r="P27" s="7">
        <f t="shared" si="10"/>
        <v>0.50752050178135555</v>
      </c>
      <c r="Q27" s="120">
        <f t="shared" si="11"/>
        <v>0.17069008782597903</v>
      </c>
      <c r="R27" s="120">
        <f t="shared" si="12"/>
        <v>0.32106725484336496</v>
      </c>
      <c r="S27" s="120">
        <f t="shared" si="13"/>
        <v>1.5763159112011593E-2</v>
      </c>
      <c r="T27" s="121">
        <f t="shared" si="14"/>
        <v>6.0666076846216388E-4</v>
      </c>
      <c r="U27" s="7">
        <f t="shared" si="27"/>
        <v>24.468850940364835</v>
      </c>
      <c r="V27" s="118">
        <f t="shared" si="15"/>
        <v>0</v>
      </c>
      <c r="W27" s="119">
        <f t="shared" si="16"/>
        <v>0.49175734266934396</v>
      </c>
      <c r="X27" s="134">
        <f t="shared" si="17"/>
        <v>1.5763159112011593E-2</v>
      </c>
      <c r="Y27" s="135">
        <f t="shared" si="18"/>
        <v>6.0666076846216388E-4</v>
      </c>
      <c r="Z27" s="201">
        <f t="shared" si="19"/>
        <v>291.72348992556607</v>
      </c>
      <c r="AA27" s="201">
        <f t="shared" si="20"/>
        <v>52.708847070889504</v>
      </c>
      <c r="AB27" s="201">
        <f t="shared" si="21"/>
        <v>30.838484047787681</v>
      </c>
      <c r="AC27" s="201">
        <f t="shared" si="22"/>
        <v>19.750289288808087</v>
      </c>
      <c r="AD27" s="201">
        <f t="shared" si="23"/>
        <v>395.0211103330513</v>
      </c>
      <c r="AE27">
        <f t="shared" si="24"/>
        <v>98.241750139829861</v>
      </c>
      <c r="AF27" s="201">
        <f t="shared" si="25"/>
        <v>493.26286047288113</v>
      </c>
      <c r="AH27" s="204" t="s">
        <v>137</v>
      </c>
      <c r="AI27" s="205">
        <f>SUM(AE22:AE101)*20/1000</f>
        <v>93.273667870462532</v>
      </c>
    </row>
    <row r="28" spans="2:36" x14ac:dyDescent="0.3">
      <c r="B28" s="22">
        <v>16</v>
      </c>
      <c r="C28" s="19"/>
      <c r="D28" s="24">
        <v>28.35</v>
      </c>
      <c r="E28" s="7">
        <f t="shared" si="6"/>
        <v>6.3124217538120572E-2</v>
      </c>
      <c r="F28" s="55">
        <f t="shared" si="7"/>
        <v>1</v>
      </c>
      <c r="G28" s="6">
        <v>7</v>
      </c>
      <c r="H28" s="6" t="str">
        <f t="shared" si="2"/>
        <v/>
      </c>
      <c r="I28" s="27">
        <f t="shared" si="3"/>
        <v>28.35</v>
      </c>
      <c r="J28" s="72">
        <f>$G$12*EXP(($I$15+$J$15*$G$12+$K$15*$G$7/1000+$L$15*$G$10)*(1/D28-1/$G$11))</f>
        <v>23.401278736878531</v>
      </c>
      <c r="K28" s="1">
        <f t="shared" si="26"/>
        <v>23.401278736878531</v>
      </c>
      <c r="L28" s="121">
        <f t="shared" si="4"/>
        <v>0.62070966850147569</v>
      </c>
      <c r="M28" s="121">
        <f t="shared" si="5"/>
        <v>0.50247828641759673</v>
      </c>
      <c r="N28" s="7">
        <f t="shared" si="8"/>
        <v>0.16450994135996527</v>
      </c>
      <c r="O28" s="7">
        <f t="shared" si="9"/>
        <v>0.48591544857803542</v>
      </c>
      <c r="P28" s="7">
        <f t="shared" si="10"/>
        <v>0.50186424559863918</v>
      </c>
      <c r="Q28" s="120">
        <f t="shared" si="11"/>
        <v>0.16450994135996527</v>
      </c>
      <c r="R28" s="120">
        <f t="shared" si="12"/>
        <v>0.32140550721807015</v>
      </c>
      <c r="S28" s="120">
        <f t="shared" si="13"/>
        <v>1.5948797020603755E-2</v>
      </c>
      <c r="T28" s="121">
        <f t="shared" si="14"/>
        <v>6.140408189575508E-4</v>
      </c>
      <c r="U28" s="7">
        <f t="shared" si="27"/>
        <v>24.33498549710713</v>
      </c>
      <c r="V28" s="118">
        <f t="shared" si="15"/>
        <v>0</v>
      </c>
      <c r="W28" s="119">
        <f t="shared" si="16"/>
        <v>0.48591544857803542</v>
      </c>
      <c r="X28" s="134">
        <f t="shared" si="17"/>
        <v>1.5948797020603755E-2</v>
      </c>
      <c r="Y28" s="135">
        <f t="shared" si="18"/>
        <v>6.140408189575508E-4</v>
      </c>
      <c r="Z28" s="201">
        <f t="shared" si="19"/>
        <v>288.38992327808012</v>
      </c>
      <c r="AA28" s="201">
        <f t="shared" si="20"/>
        <v>51.964729262888476</v>
      </c>
      <c r="AB28" s="201">
        <f t="shared" si="21"/>
        <v>30.46990758183788</v>
      </c>
      <c r="AC28" s="201">
        <f t="shared" si="22"/>
        <v>19.566725409140076</v>
      </c>
      <c r="AD28" s="201">
        <f t="shared" si="23"/>
        <v>390.39128553194655</v>
      </c>
      <c r="AE28">
        <f t="shared" si="24"/>
        <v>97.090312711795107</v>
      </c>
      <c r="AF28" s="201">
        <f t="shared" si="25"/>
        <v>487.48159824374164</v>
      </c>
      <c r="AH28" s="204" t="s">
        <v>138</v>
      </c>
      <c r="AI28" s="205">
        <f>SUM(AF22:AF101)*20/1000</f>
        <v>468.31857285824901</v>
      </c>
    </row>
    <row r="29" spans="2:36" x14ac:dyDescent="0.3">
      <c r="B29" s="22">
        <v>58</v>
      </c>
      <c r="C29" s="18">
        <v>23.5</v>
      </c>
      <c r="D29" s="24">
        <v>28.15</v>
      </c>
      <c r="E29" s="7">
        <f t="shared" si="6"/>
        <v>6.2236717613481436E-2</v>
      </c>
      <c r="F29" s="55">
        <f t="shared" si="7"/>
        <v>1</v>
      </c>
      <c r="G29" s="6">
        <v>8</v>
      </c>
      <c r="H29" s="6">
        <f t="shared" si="2"/>
        <v>23.5</v>
      </c>
      <c r="I29" s="27">
        <f t="shared" si="3"/>
        <v>28.15</v>
      </c>
      <c r="J29" s="72">
        <f>$G$12*EXP(($I$15+$J$15*$G$12+$K$15*$G$7/1000+$L$15*$G$10)*(1/D29-1/$G$11))</f>
        <v>23.352954164741142</v>
      </c>
      <c r="K29" s="122">
        <f t="shared" si="26"/>
        <v>23.5</v>
      </c>
      <c r="L29" s="121">
        <f t="shared" si="4"/>
        <v>0.61553420160827776</v>
      </c>
      <c r="M29" s="121">
        <f t="shared" si="5"/>
        <v>0.49859703933783106</v>
      </c>
      <c r="N29" s="7">
        <f t="shared" si="8"/>
        <v>0.1575566855027149</v>
      </c>
      <c r="O29" s="7">
        <f t="shared" si="9"/>
        <v>0.48164958565168536</v>
      </c>
      <c r="P29" s="7">
        <f t="shared" si="10"/>
        <v>0.49796841937370412</v>
      </c>
      <c r="Q29" s="120">
        <f t="shared" si="11"/>
        <v>0.1575566855027149</v>
      </c>
      <c r="R29" s="120">
        <f t="shared" si="12"/>
        <v>0.32409290014897046</v>
      </c>
      <c r="S29" s="120">
        <f t="shared" si="13"/>
        <v>1.6318833722018755E-2</v>
      </c>
      <c r="T29" s="121">
        <f t="shared" si="14"/>
        <v>6.2861996412694188E-4</v>
      </c>
      <c r="U29" s="7">
        <f t="shared" si="27"/>
        <v>24.17717020341383</v>
      </c>
      <c r="V29" s="118">
        <f t="shared" si="15"/>
        <v>0</v>
      </c>
      <c r="W29" s="119">
        <f t="shared" si="16"/>
        <v>0.48164958565168536</v>
      </c>
      <c r="X29" s="134">
        <f t="shared" si="17"/>
        <v>1.6318833722018755E-2</v>
      </c>
      <c r="Y29" s="135">
        <f t="shared" si="18"/>
        <v>6.2861996412694188E-4</v>
      </c>
      <c r="Z29" s="201">
        <f t="shared" si="19"/>
        <v>286.42426241394998</v>
      </c>
      <c r="AA29" s="201">
        <f t="shared" si="20"/>
        <v>51.330587697051577</v>
      </c>
      <c r="AB29" s="201">
        <f t="shared" si="21"/>
        <v>29.822981990448472</v>
      </c>
      <c r="AC29" s="201">
        <f t="shared" si="22"/>
        <v>19.237130551380901</v>
      </c>
      <c r="AD29" s="201">
        <f t="shared" si="23"/>
        <v>386.8149626528309</v>
      </c>
      <c r="AE29">
        <f t="shared" si="24"/>
        <v>96.20088121175904</v>
      </c>
      <c r="AF29" s="201">
        <f t="shared" si="25"/>
        <v>483.01584386458995</v>
      </c>
    </row>
    <row r="30" spans="2:36" x14ac:dyDescent="0.3">
      <c r="B30" s="22">
        <v>62</v>
      </c>
      <c r="C30" s="19"/>
      <c r="D30" s="24">
        <v>28.15</v>
      </c>
      <c r="E30" s="7">
        <f t="shared" si="6"/>
        <v>6.2236717613481436E-2</v>
      </c>
      <c r="F30" s="55">
        <f t="shared" si="7"/>
        <v>1</v>
      </c>
      <c r="G30" s="6">
        <v>9</v>
      </c>
      <c r="H30" s="6" t="str">
        <f t="shared" si="2"/>
        <v/>
      </c>
      <c r="I30" s="27">
        <f t="shared" si="3"/>
        <v>28.15</v>
      </c>
      <c r="J30" s="72">
        <f>$G$12*EXP(($I$15+$J$15*$G$12+$K$15*$G$7/1000+$L$15*$G$10)*(1/D30-1/$G$11))</f>
        <v>23.352954164741142</v>
      </c>
      <c r="K30" s="1">
        <f t="shared" si="26"/>
        <v>23.352954164741142</v>
      </c>
      <c r="L30" s="121">
        <f t="shared" si="4"/>
        <v>0.61141278170086055</v>
      </c>
      <c r="M30" s="121">
        <f t="shared" si="5"/>
        <v>0.49499100623496589</v>
      </c>
      <c r="N30" s="7">
        <f t="shared" si="8"/>
        <v>0.15641717888980952</v>
      </c>
      <c r="O30" s="7">
        <f t="shared" si="9"/>
        <v>0.47816612262882441</v>
      </c>
      <c r="P30" s="7">
        <f t="shared" si="10"/>
        <v>0.49436693267649506</v>
      </c>
      <c r="Q30" s="120">
        <f t="shared" si="11"/>
        <v>0.15641717888980952</v>
      </c>
      <c r="R30" s="120">
        <f t="shared" si="12"/>
        <v>0.32174894373901486</v>
      </c>
      <c r="S30" s="120">
        <f t="shared" si="13"/>
        <v>1.6200810047670655E-2</v>
      </c>
      <c r="T30" s="121">
        <f t="shared" si="14"/>
        <v>6.240735584708279E-4</v>
      </c>
      <c r="U30" s="7">
        <f t="shared" si="27"/>
        <v>24.156490217548402</v>
      </c>
      <c r="V30" s="118">
        <f t="shared" si="15"/>
        <v>0</v>
      </c>
      <c r="W30" s="119">
        <f t="shared" si="16"/>
        <v>0.47816612262882441</v>
      </c>
      <c r="X30" s="134">
        <f t="shared" si="17"/>
        <v>1.6200810047670655E-2</v>
      </c>
      <c r="Y30" s="135">
        <f t="shared" si="18"/>
        <v>6.240735584708279E-4</v>
      </c>
      <c r="Z30" s="201">
        <f t="shared" si="19"/>
        <v>283.97242903412524</v>
      </c>
      <c r="AA30" s="201">
        <f t="shared" si="20"/>
        <v>50.982193972182202</v>
      </c>
      <c r="AB30" s="201">
        <f t="shared" si="21"/>
        <v>29.982661820340542</v>
      </c>
      <c r="AC30" s="201">
        <f t="shared" si="22"/>
        <v>19.323309147607787</v>
      </c>
      <c r="AD30" s="201">
        <f t="shared" si="23"/>
        <v>384.26059397425576</v>
      </c>
      <c r="AE30">
        <f t="shared" si="24"/>
        <v>95.565609721397408</v>
      </c>
      <c r="AF30" s="201">
        <f t="shared" si="25"/>
        <v>479.82620369565313</v>
      </c>
    </row>
    <row r="31" spans="2:36" x14ac:dyDescent="0.3">
      <c r="B31" s="22">
        <v>64</v>
      </c>
      <c r="C31" s="18">
        <v>23.3</v>
      </c>
      <c r="D31" s="24">
        <v>28</v>
      </c>
      <c r="E31" s="7">
        <f t="shared" si="6"/>
        <v>6.1575216010359944E-2</v>
      </c>
      <c r="F31" s="55">
        <f t="shared" si="7"/>
        <v>1</v>
      </c>
      <c r="G31" s="6">
        <v>10</v>
      </c>
      <c r="H31" s="6">
        <f t="shared" si="2"/>
        <v>23.3</v>
      </c>
      <c r="I31" s="27">
        <f t="shared" si="3"/>
        <v>28</v>
      </c>
      <c r="J31" s="72">
        <f>$G$12*EXP(($I$15+$J$15*$G$12+$K$15*$G$7/1000+$L$15*$G$10)*(1/D31-1/$G$11))</f>
        <v>23.316324366256133</v>
      </c>
      <c r="K31" s="122">
        <f t="shared" si="26"/>
        <v>23.3</v>
      </c>
      <c r="L31" s="121">
        <f t="shared" si="4"/>
        <v>0.60402973331811127</v>
      </c>
      <c r="M31" s="121">
        <f t="shared" si="5"/>
        <v>0.48901279509393814</v>
      </c>
      <c r="N31" s="7">
        <f t="shared" si="8"/>
        <v>0.15033918874891228</v>
      </c>
      <c r="O31" s="7">
        <f t="shared" si="9"/>
        <v>0.4720015729957619</v>
      </c>
      <c r="P31" s="7">
        <f t="shared" si="10"/>
        <v>0.48838156050806303</v>
      </c>
      <c r="Q31" s="120">
        <f t="shared" si="11"/>
        <v>0.15033918874891228</v>
      </c>
      <c r="R31" s="120">
        <f t="shared" si="12"/>
        <v>0.32166238424684962</v>
      </c>
      <c r="S31" s="120">
        <f t="shared" si="13"/>
        <v>1.6379987512301131E-2</v>
      </c>
      <c r="T31" s="121">
        <f t="shared" si="14"/>
        <v>6.3123458587510672E-4</v>
      </c>
      <c r="U31" s="7">
        <f t="shared" si="27"/>
        <v>24.02030986699932</v>
      </c>
      <c r="V31" s="118">
        <f t="shared" si="15"/>
        <v>0</v>
      </c>
      <c r="W31" s="119">
        <f t="shared" si="16"/>
        <v>0.4720015729957619</v>
      </c>
      <c r="X31" s="134">
        <f t="shared" si="17"/>
        <v>1.6379987512301131E-2</v>
      </c>
      <c r="Y31" s="135">
        <f t="shared" si="18"/>
        <v>6.3123458587510672E-4</v>
      </c>
      <c r="Z31" s="201">
        <f t="shared" si="19"/>
        <v>280.4106744812633</v>
      </c>
      <c r="AA31" s="201">
        <f t="shared" si="20"/>
        <v>50.214317893218457</v>
      </c>
      <c r="AB31" s="201">
        <f t="shared" si="21"/>
        <v>29.63801466040081</v>
      </c>
      <c r="AC31" s="201">
        <f t="shared" si="22"/>
        <v>19.151297828595514</v>
      </c>
      <c r="AD31" s="201">
        <f t="shared" si="23"/>
        <v>379.41430486347804</v>
      </c>
      <c r="AE31">
        <f t="shared" si="24"/>
        <v>94.360337619546996</v>
      </c>
      <c r="AF31" s="201">
        <f t="shared" si="25"/>
        <v>473.77464248302505</v>
      </c>
    </row>
    <row r="32" spans="2:36" x14ac:dyDescent="0.3">
      <c r="B32" s="22">
        <v>2</v>
      </c>
      <c r="C32" s="19"/>
      <c r="D32" s="24">
        <v>27.2</v>
      </c>
      <c r="E32" s="7">
        <f t="shared" si="6"/>
        <v>5.8106897720796809E-2</v>
      </c>
      <c r="F32" s="55">
        <f t="shared" si="7"/>
        <v>1</v>
      </c>
      <c r="G32" s="6">
        <v>11</v>
      </c>
      <c r="H32" s="6" t="str">
        <f t="shared" si="2"/>
        <v/>
      </c>
      <c r="I32" s="27">
        <f t="shared" si="3"/>
        <v>27.2</v>
      </c>
      <c r="J32" s="72">
        <f>$G$12*EXP(($I$15+$J$15*$G$12+$K$15*$G$7/1000+$L$15*$G$10)*(1/D32-1/$G$11))</f>
        <v>23.115173580911879</v>
      </c>
      <c r="K32" s="1">
        <f t="shared" si="26"/>
        <v>23.115173580911879</v>
      </c>
      <c r="L32" s="121">
        <f t="shared" si="4"/>
        <v>0.56814020397528164</v>
      </c>
      <c r="M32" s="121">
        <f t="shared" si="5"/>
        <v>0.46012449653666443</v>
      </c>
      <c r="N32" s="7">
        <f t="shared" si="8"/>
        <v>0.1204293040719682</v>
      </c>
      <c r="O32" s="7">
        <f t="shared" si="9"/>
        <v>0.44197779400872361</v>
      </c>
      <c r="P32" s="7">
        <f t="shared" si="10"/>
        <v>0.45944956894842898</v>
      </c>
      <c r="Q32" s="120">
        <f t="shared" si="11"/>
        <v>0.1204293040719682</v>
      </c>
      <c r="R32" s="120">
        <f t="shared" si="12"/>
        <v>0.32154848993675544</v>
      </c>
      <c r="S32" s="120">
        <f t="shared" si="13"/>
        <v>1.7471774939705365E-2</v>
      </c>
      <c r="T32" s="121">
        <f t="shared" si="14"/>
        <v>6.7492758823545218E-4</v>
      </c>
      <c r="U32" s="7">
        <f t="shared" si="27"/>
        <v>23.308505876042577</v>
      </c>
      <c r="V32" s="118">
        <f t="shared" si="15"/>
        <v>0</v>
      </c>
      <c r="W32" s="119">
        <f t="shared" si="16"/>
        <v>0.44197779400872361</v>
      </c>
      <c r="X32" s="134">
        <f t="shared" si="17"/>
        <v>1.7471774939705365E-2</v>
      </c>
      <c r="Y32" s="135">
        <f t="shared" si="18"/>
        <v>6.7492758823545218E-4</v>
      </c>
      <c r="Z32" s="201">
        <f t="shared" si="19"/>
        <v>263.41647536246654</v>
      </c>
      <c r="AA32" s="201">
        <f t="shared" si="20"/>
        <v>46.464293579836045</v>
      </c>
      <c r="AB32" s="201">
        <f t="shared" si="21"/>
        <v>27.733150789488594</v>
      </c>
      <c r="AC32" s="201">
        <f t="shared" si="22"/>
        <v>18.187935469512105</v>
      </c>
      <c r="AD32" s="201">
        <f t="shared" si="23"/>
        <v>355.80185520130334</v>
      </c>
      <c r="AE32">
        <f t="shared" si="24"/>
        <v>88.487921388564146</v>
      </c>
      <c r="AF32" s="201">
        <f t="shared" si="25"/>
        <v>444.28977658986747</v>
      </c>
    </row>
    <row r="33" spans="2:32" x14ac:dyDescent="0.3">
      <c r="B33" s="22">
        <v>67</v>
      </c>
      <c r="C33" s="19"/>
      <c r="D33" s="24">
        <v>27.2</v>
      </c>
      <c r="E33" s="7">
        <f t="shared" si="6"/>
        <v>5.8106897720796809E-2</v>
      </c>
      <c r="F33" s="55">
        <f t="shared" si="7"/>
        <v>1</v>
      </c>
      <c r="G33" s="6">
        <v>12</v>
      </c>
      <c r="H33" s="6" t="str">
        <f t="shared" si="2"/>
        <v/>
      </c>
      <c r="I33" s="27">
        <f t="shared" si="3"/>
        <v>27.2</v>
      </c>
      <c r="J33" s="72">
        <f>$G$12*EXP(($I$15+$J$15*$G$12+$K$15*$G$7/1000+$L$15*$G$10)*(1/D33-1/$G$11))</f>
        <v>23.115173580911879</v>
      </c>
      <c r="K33" s="1">
        <f t="shared" si="26"/>
        <v>23.115173580911879</v>
      </c>
      <c r="L33" s="121">
        <f t="shared" si="4"/>
        <v>0.56814020397528164</v>
      </c>
      <c r="M33" s="121">
        <f t="shared" si="5"/>
        <v>0.46012449653666443</v>
      </c>
      <c r="N33" s="7">
        <f t="shared" si="8"/>
        <v>0.1204293040719682</v>
      </c>
      <c r="O33" s="7">
        <f t="shared" si="9"/>
        <v>0.44197779400872361</v>
      </c>
      <c r="P33" s="7">
        <f t="shared" si="10"/>
        <v>0.45944956894842898</v>
      </c>
      <c r="Q33" s="120">
        <f t="shared" si="11"/>
        <v>0.1204293040719682</v>
      </c>
      <c r="R33" s="120">
        <f t="shared" si="12"/>
        <v>0.32154848993675544</v>
      </c>
      <c r="S33" s="120">
        <f t="shared" si="13"/>
        <v>1.7471774939705365E-2</v>
      </c>
      <c r="T33" s="121">
        <f t="shared" si="14"/>
        <v>6.7492758823545218E-4</v>
      </c>
      <c r="U33" s="7">
        <f t="shared" si="27"/>
        <v>23.308505876042577</v>
      </c>
      <c r="V33" s="118">
        <f t="shared" si="15"/>
        <v>0</v>
      </c>
      <c r="W33" s="119">
        <f t="shared" si="16"/>
        <v>0.44197779400872361</v>
      </c>
      <c r="X33" s="134">
        <f t="shared" si="17"/>
        <v>1.7471774939705365E-2</v>
      </c>
      <c r="Y33" s="135">
        <f t="shared" si="18"/>
        <v>6.7492758823545218E-4</v>
      </c>
      <c r="Z33" s="201">
        <f t="shared" si="19"/>
        <v>263.41647536246654</v>
      </c>
      <c r="AA33" s="201">
        <f t="shared" si="20"/>
        <v>46.464293579836045</v>
      </c>
      <c r="AB33" s="201">
        <f t="shared" si="21"/>
        <v>27.733150789488594</v>
      </c>
      <c r="AC33" s="201">
        <f t="shared" si="22"/>
        <v>18.187935469512105</v>
      </c>
      <c r="AD33" s="201">
        <f t="shared" si="23"/>
        <v>355.80185520130334</v>
      </c>
      <c r="AE33">
        <f t="shared" si="24"/>
        <v>88.487921388564146</v>
      </c>
      <c r="AF33" s="201">
        <f t="shared" si="25"/>
        <v>444.28977658986747</v>
      </c>
    </row>
    <row r="34" spans="2:32" x14ac:dyDescent="0.3">
      <c r="B34" s="22">
        <v>73</v>
      </c>
      <c r="C34" s="18">
        <v>22.5</v>
      </c>
      <c r="D34" s="24">
        <v>27.1</v>
      </c>
      <c r="E34" s="7">
        <f t="shared" si="6"/>
        <v>5.7680426518072002E-2</v>
      </c>
      <c r="F34" s="55">
        <f t="shared" si="7"/>
        <v>1</v>
      </c>
      <c r="G34" s="6">
        <v>13</v>
      </c>
      <c r="H34" s="6">
        <f t="shared" si="2"/>
        <v>22.5</v>
      </c>
      <c r="I34" s="27">
        <f t="shared" si="3"/>
        <v>27.1</v>
      </c>
      <c r="J34" s="72">
        <f>$G$12*EXP(($I$15+$J$15*$G$12+$K$15*$G$7/1000+$L$15*$G$10)*(1/D34-1/$G$11))</f>
        <v>23.089321548490844</v>
      </c>
      <c r="K34" s="122">
        <f t="shared" si="26"/>
        <v>22.5</v>
      </c>
      <c r="L34" s="121">
        <f t="shared" si="4"/>
        <v>0.54828641615977003</v>
      </c>
      <c r="M34" s="121">
        <f t="shared" si="5"/>
        <v>0.44307433480730629</v>
      </c>
      <c r="N34" s="7">
        <f t="shared" si="8"/>
        <v>0.11344750181038626</v>
      </c>
      <c r="O34" s="7">
        <f t="shared" si="9"/>
        <v>0.42531956459733566</v>
      </c>
      <c r="P34" s="7">
        <f t="shared" si="10"/>
        <v>0.44241377599443465</v>
      </c>
      <c r="Q34" s="120">
        <f t="shared" si="11"/>
        <v>0.11344750181038626</v>
      </c>
      <c r="R34" s="120">
        <f t="shared" si="12"/>
        <v>0.3118720627869494</v>
      </c>
      <c r="S34" s="120">
        <f t="shared" si="13"/>
        <v>1.7094211397098991E-2</v>
      </c>
      <c r="T34" s="121">
        <f t="shared" si="14"/>
        <v>6.6055881287163665E-4</v>
      </c>
      <c r="U34" s="7">
        <f t="shared" si="27"/>
        <v>23.135735512494055</v>
      </c>
      <c r="V34" s="118">
        <f t="shared" si="15"/>
        <v>0</v>
      </c>
      <c r="W34" s="119">
        <f t="shared" si="16"/>
        <v>0.42531956459733566</v>
      </c>
      <c r="X34" s="134">
        <f t="shared" si="17"/>
        <v>1.7094211397098991E-2</v>
      </c>
      <c r="Y34" s="135">
        <f t="shared" si="18"/>
        <v>6.6055881287163665E-4</v>
      </c>
      <c r="Z34" s="201">
        <f t="shared" si="19"/>
        <v>252.20303329690478</v>
      </c>
      <c r="AA34" s="201">
        <f t="shared" si="20"/>
        <v>44.730407466385991</v>
      </c>
      <c r="AB34" s="201">
        <f t="shared" si="21"/>
        <v>28.114189875594949</v>
      </c>
      <c r="AC34" s="201">
        <f t="shared" si="22"/>
        <v>18.406209130123067</v>
      </c>
      <c r="AD34" s="201">
        <f t="shared" si="23"/>
        <v>343.45383976900877</v>
      </c>
      <c r="AE34">
        <f t="shared" si="24"/>
        <v>85.416969950552485</v>
      </c>
      <c r="AF34" s="201">
        <f t="shared" si="25"/>
        <v>428.87080971956124</v>
      </c>
    </row>
    <row r="35" spans="2:32" x14ac:dyDescent="0.3">
      <c r="B35" s="22">
        <v>31</v>
      </c>
      <c r="C35" s="18">
        <v>23</v>
      </c>
      <c r="D35" s="24">
        <v>26.9</v>
      </c>
      <c r="E35" s="7">
        <f t="shared" si="6"/>
        <v>5.6832196501602747E-2</v>
      </c>
      <c r="F35" s="55">
        <f t="shared" si="7"/>
        <v>1</v>
      </c>
      <c r="G35" s="6">
        <v>14</v>
      </c>
      <c r="H35" s="6">
        <f t="shared" si="2"/>
        <v>23</v>
      </c>
      <c r="I35" s="27">
        <f t="shared" si="3"/>
        <v>26.9</v>
      </c>
      <c r="J35" s="72">
        <f>$G$12*EXP(($I$15+$J$15*$G$12+$K$15*$G$7/1000+$L$15*$G$10)*(1/D35-1/$G$11))</f>
        <v>23.037129182967558</v>
      </c>
      <c r="K35" s="122">
        <f t="shared" si="26"/>
        <v>23</v>
      </c>
      <c r="L35" s="121">
        <f t="shared" si="4"/>
        <v>0.55382400461120296</v>
      </c>
      <c r="M35" s="121">
        <f t="shared" si="5"/>
        <v>0.44851729171578875</v>
      </c>
      <c r="N35" s="7">
        <f t="shared" si="8"/>
        <v>0.10975863392766272</v>
      </c>
      <c r="O35" s="7">
        <f t="shared" si="9"/>
        <v>0.42995978202429069</v>
      </c>
      <c r="P35" s="7">
        <f t="shared" si="10"/>
        <v>0.44782641845069465</v>
      </c>
      <c r="Q35" s="120">
        <f t="shared" si="11"/>
        <v>0.10975863392766272</v>
      </c>
      <c r="R35" s="120">
        <f t="shared" si="12"/>
        <v>0.32020114809662797</v>
      </c>
      <c r="S35" s="120">
        <f t="shared" si="13"/>
        <v>1.7866636426403959E-2</v>
      </c>
      <c r="T35" s="121">
        <f t="shared" si="14"/>
        <v>6.9087326509409408E-4</v>
      </c>
      <c r="U35" s="7">
        <f t="shared" si="27"/>
        <v>23.035536390250137</v>
      </c>
      <c r="V35" s="118">
        <f t="shared" si="15"/>
        <v>0</v>
      </c>
      <c r="W35" s="119">
        <f t="shared" si="16"/>
        <v>0.42995978202429069</v>
      </c>
      <c r="X35" s="134">
        <f t="shared" si="17"/>
        <v>1.7866636426403959E-2</v>
      </c>
      <c r="Y35" s="135">
        <f t="shared" si="18"/>
        <v>6.9087326509409408E-4</v>
      </c>
      <c r="Z35" s="201">
        <f t="shared" si="19"/>
        <v>256.50509079751464</v>
      </c>
      <c r="AA35" s="201">
        <f t="shared" si="20"/>
        <v>45.009543973239367</v>
      </c>
      <c r="AB35" s="201">
        <f t="shared" si="21"/>
        <v>27.082010413312705</v>
      </c>
      <c r="AC35" s="201">
        <f t="shared" si="22"/>
        <v>17.857057206249731</v>
      </c>
      <c r="AD35" s="201">
        <f t="shared" si="23"/>
        <v>346.45370239031649</v>
      </c>
      <c r="AE35">
        <f t="shared" si="24"/>
        <v>86.163035784471717</v>
      </c>
      <c r="AF35" s="201">
        <f t="shared" si="25"/>
        <v>432.61673817478822</v>
      </c>
    </row>
    <row r="36" spans="2:32" x14ac:dyDescent="0.3">
      <c r="B36" s="22">
        <v>52</v>
      </c>
      <c r="C36" s="18">
        <v>22</v>
      </c>
      <c r="D36" s="24">
        <v>26.9</v>
      </c>
      <c r="E36" s="7">
        <f t="shared" si="6"/>
        <v>5.6832196501602747E-2</v>
      </c>
      <c r="F36" s="55">
        <f t="shared" si="7"/>
        <v>1</v>
      </c>
      <c r="G36" s="6">
        <v>15</v>
      </c>
      <c r="H36" s="6">
        <f t="shared" si="2"/>
        <v>22</v>
      </c>
      <c r="I36" s="27">
        <f t="shared" si="3"/>
        <v>26.9</v>
      </c>
      <c r="J36" s="72">
        <f>$G$12*EXP(($I$15+$J$15*$G$12+$K$15*$G$7/1000+$L$15*$G$10)*(1/D36-1/$G$11))</f>
        <v>23.037129182967558</v>
      </c>
      <c r="K36" s="122">
        <f t="shared" si="26"/>
        <v>22</v>
      </c>
      <c r="L36" s="121">
        <f t="shared" si="4"/>
        <v>0.52809185352688404</v>
      </c>
      <c r="M36" s="121">
        <f t="shared" si="5"/>
        <v>0.42604425125880291</v>
      </c>
      <c r="N36" s="7">
        <f t="shared" si="8"/>
        <v>0.1042591576168968</v>
      </c>
      <c r="O36" s="7">
        <f t="shared" si="9"/>
        <v>0.40841656896477835</v>
      </c>
      <c r="P36" s="7">
        <f t="shared" si="10"/>
        <v>0.42538799432428037</v>
      </c>
      <c r="Q36" s="120">
        <f t="shared" si="11"/>
        <v>0.1042591576168968</v>
      </c>
      <c r="R36" s="120">
        <f t="shared" si="12"/>
        <v>0.30415741134788155</v>
      </c>
      <c r="S36" s="120">
        <f t="shared" si="13"/>
        <v>1.6971425359502024E-2</v>
      </c>
      <c r="T36" s="121">
        <f t="shared" si="14"/>
        <v>6.5625693452253664E-4</v>
      </c>
      <c r="U36" s="7">
        <f t="shared" si="27"/>
        <v>22.891793138196181</v>
      </c>
      <c r="V36" s="118">
        <f t="shared" si="15"/>
        <v>0</v>
      </c>
      <c r="W36" s="119">
        <f t="shared" si="16"/>
        <v>0.40841656896477835</v>
      </c>
      <c r="X36" s="134">
        <f t="shared" si="17"/>
        <v>1.6971425359502024E-2</v>
      </c>
      <c r="Y36" s="135">
        <f t="shared" si="18"/>
        <v>6.5625693452253664E-4</v>
      </c>
      <c r="Z36" s="201">
        <f t="shared" si="19"/>
        <v>241.35444457899251</v>
      </c>
      <c r="AA36" s="201">
        <f t="shared" si="20"/>
        <v>42.890267123182717</v>
      </c>
      <c r="AB36" s="201">
        <f t="shared" si="21"/>
        <v>28.125767050037833</v>
      </c>
      <c r="AC36" s="201">
        <f t="shared" si="22"/>
        <v>18.431347655116625</v>
      </c>
      <c r="AD36" s="201">
        <f t="shared" si="23"/>
        <v>330.80182640732966</v>
      </c>
      <c r="AE36">
        <f t="shared" si="24"/>
        <v>82.270414227502883</v>
      </c>
      <c r="AF36" s="201">
        <f t="shared" si="25"/>
        <v>413.07224063483255</v>
      </c>
    </row>
    <row r="37" spans="2:32" x14ac:dyDescent="0.3">
      <c r="B37" s="22">
        <v>6</v>
      </c>
      <c r="C37" s="19"/>
      <c r="D37" s="24">
        <v>26.85</v>
      </c>
      <c r="E37" s="7">
        <f t="shared" si="6"/>
        <v>5.6621120745189699E-2</v>
      </c>
      <c r="F37" s="55">
        <f t="shared" si="7"/>
        <v>1</v>
      </c>
      <c r="G37" s="6">
        <v>16</v>
      </c>
      <c r="H37" s="6" t="str">
        <f t="shared" si="2"/>
        <v/>
      </c>
      <c r="I37" s="27">
        <f t="shared" si="3"/>
        <v>26.85</v>
      </c>
      <c r="J37" s="72">
        <f>$G$12*EXP(($I$15+$J$15*$G$12+$K$15*$G$7/1000+$L$15*$G$10)*(1/D37-1/$G$11))</f>
        <v>23.023978251914489</v>
      </c>
      <c r="K37" s="1">
        <f t="shared" si="26"/>
        <v>23.023978251914489</v>
      </c>
      <c r="L37" s="121">
        <f t="shared" si="4"/>
        <v>0.55256872981080662</v>
      </c>
      <c r="M37" s="121">
        <f t="shared" si="5"/>
        <v>0.44757099264021477</v>
      </c>
      <c r="N37" s="7">
        <f t="shared" si="8"/>
        <v>0.10826350846457265</v>
      </c>
      <c r="O37" s="7">
        <f t="shared" si="9"/>
        <v>0.42890321619322208</v>
      </c>
      <c r="P37" s="7">
        <f t="shared" si="10"/>
        <v>0.4468758985038544</v>
      </c>
      <c r="Q37" s="120">
        <f t="shared" si="11"/>
        <v>0.10826350846457265</v>
      </c>
      <c r="R37" s="120">
        <f t="shared" si="12"/>
        <v>0.32063970772864941</v>
      </c>
      <c r="S37" s="120">
        <f t="shared" si="13"/>
        <v>1.7972682310632315E-2</v>
      </c>
      <c r="T37" s="121">
        <f t="shared" si="14"/>
        <v>6.9509413636037465E-4</v>
      </c>
      <c r="U37" s="7">
        <f t="shared" si="27"/>
        <v>22.996032348078081</v>
      </c>
      <c r="V37" s="118">
        <f t="shared" si="15"/>
        <v>0</v>
      </c>
      <c r="W37" s="119">
        <f t="shared" si="16"/>
        <v>0.42890321619322208</v>
      </c>
      <c r="X37" s="134">
        <f t="shared" si="17"/>
        <v>1.7972682310632315E-2</v>
      </c>
      <c r="Y37" s="135">
        <f t="shared" si="18"/>
        <v>6.9509413636037465E-4</v>
      </c>
      <c r="Z37" s="201">
        <f t="shared" si="19"/>
        <v>256.02194322215468</v>
      </c>
      <c r="AA37" s="201">
        <f t="shared" si="20"/>
        <v>44.861419447694672</v>
      </c>
      <c r="AB37" s="201">
        <f t="shared" si="21"/>
        <v>26.931183278376999</v>
      </c>
      <c r="AC37" s="201">
        <f t="shared" si="22"/>
        <v>17.778329350755829</v>
      </c>
      <c r="AD37" s="201">
        <f t="shared" si="23"/>
        <v>345.59287529898216</v>
      </c>
      <c r="AE37">
        <f t="shared" si="24"/>
        <v>85.948948086856859</v>
      </c>
      <c r="AF37" s="201">
        <f t="shared" si="25"/>
        <v>431.54182338583905</v>
      </c>
    </row>
    <row r="38" spans="2:32" x14ac:dyDescent="0.3">
      <c r="B38" s="22">
        <v>55</v>
      </c>
      <c r="C38" s="20"/>
      <c r="D38" s="25">
        <v>26.5</v>
      </c>
      <c r="E38" s="7">
        <f t="shared" si="6"/>
        <v>5.5154586024585804E-2</v>
      </c>
      <c r="F38" s="55">
        <f t="shared" si="7"/>
        <v>1</v>
      </c>
      <c r="G38" s="6">
        <v>17</v>
      </c>
      <c r="H38" s="1" t="str">
        <f t="shared" si="2"/>
        <v/>
      </c>
      <c r="I38" s="27" t="str">
        <f t="shared" si="3"/>
        <v/>
      </c>
      <c r="J38" s="72">
        <f>$G$12*EXP(($I$15+$J$15*$G$12+$K$15*$G$7/1000+$L$15*$G$10)*(1/D38-1/$G$11))</f>
        <v>22.930748147128995</v>
      </c>
      <c r="K38" s="1">
        <f t="shared" si="26"/>
        <v>22.930748147128995</v>
      </c>
      <c r="L38" s="121">
        <f t="shared" si="4"/>
        <v>0.53719788611373553</v>
      </c>
      <c r="M38" s="121">
        <f t="shared" si="5"/>
        <v>0.43517554797191754</v>
      </c>
      <c r="N38" s="7">
        <f t="shared" si="8"/>
        <v>9.6726380288645053E-2</v>
      </c>
      <c r="O38" s="7">
        <f t="shared" si="9"/>
        <v>0.41596711188043806</v>
      </c>
      <c r="P38" s="7">
        <f t="shared" si="10"/>
        <v>0.43445945348954929</v>
      </c>
      <c r="Q38" s="120">
        <f t="shared" si="11"/>
        <v>9.6726380288645053E-2</v>
      </c>
      <c r="R38" s="120">
        <f t="shared" si="12"/>
        <v>0.319240731591793</v>
      </c>
      <c r="S38" s="120">
        <f t="shared" si="13"/>
        <v>1.8492341609111229E-2</v>
      </c>
      <c r="T38" s="121">
        <f t="shared" si="14"/>
        <v>7.160944823682569E-4</v>
      </c>
      <c r="U38" s="7">
        <f t="shared" si="27"/>
        <v>22.683525309722899</v>
      </c>
      <c r="V38" s="118">
        <f t="shared" si="15"/>
        <v>0</v>
      </c>
      <c r="W38" s="119">
        <f t="shared" si="16"/>
        <v>0.41596711188043806</v>
      </c>
      <c r="X38" s="134">
        <f t="shared" si="17"/>
        <v>1.8492341609111229E-2</v>
      </c>
      <c r="Y38" s="135">
        <f t="shared" si="18"/>
        <v>7.160944823682569E-4</v>
      </c>
      <c r="Z38" s="201">
        <f t="shared" si="19"/>
        <v>248.72413662714385</v>
      </c>
      <c r="AA38" s="201">
        <f t="shared" si="20"/>
        <v>43.291423789594603</v>
      </c>
      <c r="AB38" s="201">
        <f t="shared" si="21"/>
        <v>26.143507849576416</v>
      </c>
      <c r="AC38" s="201">
        <f t="shared" si="22"/>
        <v>17.373404871119849</v>
      </c>
      <c r="AD38" s="201">
        <f t="shared" si="23"/>
        <v>335.53247313743475</v>
      </c>
      <c r="AE38">
        <f t="shared" si="24"/>
        <v>83.446926069280025</v>
      </c>
      <c r="AF38" s="201">
        <f t="shared" si="25"/>
        <v>418.97939920671479</v>
      </c>
    </row>
    <row r="39" spans="2:32" x14ac:dyDescent="0.3">
      <c r="B39" s="22">
        <v>8</v>
      </c>
      <c r="C39" s="21">
        <v>23</v>
      </c>
      <c r="D39" s="25">
        <v>26.45</v>
      </c>
      <c r="E39" s="7">
        <f t="shared" si="6"/>
        <v>5.4946651860826326E-2</v>
      </c>
      <c r="F39" s="55">
        <f t="shared" si="7"/>
        <v>1</v>
      </c>
      <c r="G39" s="6">
        <v>18</v>
      </c>
      <c r="H39" s="1" t="str">
        <f t="shared" si="2"/>
        <v/>
      </c>
      <c r="I39" s="27" t="str">
        <f t="shared" si="3"/>
        <v/>
      </c>
      <c r="J39" s="72">
        <f>$G$12*EXP(($I$15+$J$15*$G$12+$K$15*$G$7/1000+$L$15*$G$10)*(1/D39-1/$G$11))</f>
        <v>22.917259524250685</v>
      </c>
      <c r="K39" s="122">
        <f t="shared" si="26"/>
        <v>23</v>
      </c>
      <c r="L39" s="121">
        <f t="shared" si="4"/>
        <v>0.53708614716677139</v>
      </c>
      <c r="M39" s="121">
        <f t="shared" si="5"/>
        <v>0.43522776142818442</v>
      </c>
      <c r="N39" s="7">
        <f t="shared" si="8"/>
        <v>9.5528208895455075E-2</v>
      </c>
      <c r="O39" s="7">
        <f t="shared" si="9"/>
        <v>0.41585989317419525</v>
      </c>
      <c r="P39" s="7">
        <f t="shared" si="10"/>
        <v>0.43450559289349572</v>
      </c>
      <c r="Q39" s="120">
        <f t="shared" si="11"/>
        <v>9.5528208895455075E-2</v>
      </c>
      <c r="R39" s="120">
        <f t="shared" si="12"/>
        <v>0.32033168427874015</v>
      </c>
      <c r="S39" s="120">
        <f t="shared" si="13"/>
        <v>1.8645699719300468E-2</v>
      </c>
      <c r="T39" s="121">
        <f t="shared" si="14"/>
        <v>7.2216853468870523E-4</v>
      </c>
      <c r="U39" s="7">
        <f t="shared" si="27"/>
        <v>22.650183551008034</v>
      </c>
      <c r="V39" s="118">
        <f t="shared" si="15"/>
        <v>0</v>
      </c>
      <c r="W39" s="119">
        <f t="shared" si="16"/>
        <v>0.41585989317419525</v>
      </c>
      <c r="X39" s="134">
        <f t="shared" si="17"/>
        <v>1.8645699719300468E-2</v>
      </c>
      <c r="Y39" s="135">
        <f t="shared" si="18"/>
        <v>7.2216853468870523E-4</v>
      </c>
      <c r="Z39" s="201">
        <f t="shared" si="19"/>
        <v>248.91511626428345</v>
      </c>
      <c r="AA39" s="201">
        <f t="shared" si="20"/>
        <v>43.238552100889621</v>
      </c>
      <c r="AB39" s="201">
        <f t="shared" si="21"/>
        <v>25.95245343503678</v>
      </c>
      <c r="AC39" s="201">
        <f t="shared" si="22"/>
        <v>17.271559246951927</v>
      </c>
      <c r="AD39" s="201">
        <f t="shared" si="23"/>
        <v>335.37768104716179</v>
      </c>
      <c r="AE39">
        <f t="shared" si="24"/>
        <v>83.408429276429132</v>
      </c>
      <c r="AF39" s="201">
        <f t="shared" si="25"/>
        <v>418.78611032359095</v>
      </c>
    </row>
    <row r="40" spans="2:32" x14ac:dyDescent="0.3">
      <c r="B40" s="22">
        <v>45</v>
      </c>
      <c r="C40" s="20"/>
      <c r="D40" s="25">
        <v>25.85</v>
      </c>
      <c r="E40" s="7">
        <f t="shared" si="6"/>
        <v>5.2482072424085147E-2</v>
      </c>
      <c r="F40" s="55">
        <f t="shared" si="7"/>
        <v>1</v>
      </c>
      <c r="G40" s="6">
        <v>19</v>
      </c>
      <c r="H40" s="1" t="str">
        <f t="shared" si="2"/>
        <v/>
      </c>
      <c r="I40" s="27" t="str">
        <f t="shared" si="3"/>
        <v/>
      </c>
      <c r="J40" s="72">
        <f>$G$12*EXP(($I$15+$J$15*$G$12+$K$15*$G$7/1000+$L$15*$G$10)*(1/D40-1/$G$11))</f>
        <v>22.75197372068488</v>
      </c>
      <c r="K40" s="1">
        <f t="shared" si="26"/>
        <v>22.75197372068488</v>
      </c>
      <c r="L40" s="121">
        <f t="shared" si="4"/>
        <v>0.50918617151855905</v>
      </c>
      <c r="M40" s="121">
        <f t="shared" si="5"/>
        <v>0.41257656207396148</v>
      </c>
      <c r="N40" s="7">
        <f t="shared" si="8"/>
        <v>7.7045490087163535E-2</v>
      </c>
      <c r="O40" s="7">
        <f t="shared" si="9"/>
        <v>0.39230925219213075</v>
      </c>
      <c r="P40" s="7">
        <f t="shared" si="10"/>
        <v>0.41181910287391654</v>
      </c>
      <c r="Q40" s="120">
        <f t="shared" si="11"/>
        <v>7.7045490087163535E-2</v>
      </c>
      <c r="R40" s="120">
        <f t="shared" si="12"/>
        <v>0.3152637621049672</v>
      </c>
      <c r="S40" s="120">
        <f t="shared" si="13"/>
        <v>1.950985068178579E-2</v>
      </c>
      <c r="T40" s="121">
        <f t="shared" si="14"/>
        <v>7.5745920004494094E-4</v>
      </c>
      <c r="U40" s="7">
        <f t="shared" si="27"/>
        <v>22.103061069828634</v>
      </c>
      <c r="V40" s="118">
        <f t="shared" si="15"/>
        <v>0</v>
      </c>
      <c r="W40" s="119">
        <f t="shared" si="16"/>
        <v>0.39230925219213075</v>
      </c>
      <c r="X40" s="134">
        <f t="shared" si="17"/>
        <v>1.950985068178579E-2</v>
      </c>
      <c r="Y40" s="135">
        <f t="shared" si="18"/>
        <v>7.5745920004494094E-4</v>
      </c>
      <c r="Z40" s="201">
        <f t="shared" si="19"/>
        <v>235.42878833073888</v>
      </c>
      <c r="AA40" s="201">
        <f t="shared" si="20"/>
        <v>40.46228650002638</v>
      </c>
      <c r="AB40" s="201">
        <f t="shared" si="21"/>
        <v>24.718296391698061</v>
      </c>
      <c r="AC40" s="201">
        <f t="shared" si="22"/>
        <v>16.633829039639242</v>
      </c>
      <c r="AD40" s="201">
        <f t="shared" si="23"/>
        <v>317.24320026210256</v>
      </c>
      <c r="AE40">
        <f t="shared" si="24"/>
        <v>78.898383905184915</v>
      </c>
      <c r="AF40" s="201">
        <f t="shared" si="25"/>
        <v>396.14158416728748</v>
      </c>
    </row>
    <row r="41" spans="2:32" x14ac:dyDescent="0.3">
      <c r="B41" s="22">
        <v>5</v>
      </c>
      <c r="C41" s="20"/>
      <c r="D41" s="25">
        <v>25.8</v>
      </c>
      <c r="E41" s="7">
        <f t="shared" si="6"/>
        <v>5.2279243348387745E-2</v>
      </c>
      <c r="F41" s="55">
        <f t="shared" si="7"/>
        <v>1</v>
      </c>
      <c r="G41" s="6">
        <v>20</v>
      </c>
      <c r="H41" s="1" t="str">
        <f t="shared" si="2"/>
        <v/>
      </c>
      <c r="I41" s="27" t="str">
        <f t="shared" si="3"/>
        <v/>
      </c>
      <c r="J41" s="72">
        <f>$G$12*EXP(($I$15+$J$15*$G$12+$K$15*$G$7/1000+$L$15*$G$10)*(1/D41-1/$G$11))</f>
        <v>22.737908283018246</v>
      </c>
      <c r="K41" s="1">
        <f t="shared" si="26"/>
        <v>22.737908283018246</v>
      </c>
      <c r="L41" s="121">
        <f t="shared" si="4"/>
        <v>0.50706026437195495</v>
      </c>
      <c r="M41" s="121">
        <f t="shared" si="5"/>
        <v>0.41086093054547335</v>
      </c>
      <c r="N41" s="7">
        <f t="shared" si="8"/>
        <v>7.5628417338828149E-2</v>
      </c>
      <c r="O41" s="7">
        <f t="shared" si="9"/>
        <v>0.39050909614366125</v>
      </c>
      <c r="P41" s="7">
        <f t="shared" si="10"/>
        <v>0.41010015537835709</v>
      </c>
      <c r="Q41" s="120">
        <f t="shared" si="11"/>
        <v>7.5628417338828149E-2</v>
      </c>
      <c r="R41" s="120">
        <f t="shared" si="12"/>
        <v>0.31488067880483311</v>
      </c>
      <c r="S41" s="120">
        <f t="shared" si="13"/>
        <v>1.959105923469584E-2</v>
      </c>
      <c r="T41" s="121">
        <f t="shared" si="14"/>
        <v>7.6077516711625659E-4</v>
      </c>
      <c r="U41" s="7">
        <f t="shared" si="27"/>
        <v>22.058404684222534</v>
      </c>
      <c r="V41" s="118">
        <f t="shared" si="15"/>
        <v>0</v>
      </c>
      <c r="W41" s="119">
        <f t="shared" si="16"/>
        <v>0.39050909614366125</v>
      </c>
      <c r="X41" s="134">
        <f t="shared" si="17"/>
        <v>1.959105923469584E-2</v>
      </c>
      <c r="Y41" s="135">
        <f t="shared" si="18"/>
        <v>7.6077516711625659E-4</v>
      </c>
      <c r="Z41" s="201">
        <f t="shared" si="19"/>
        <v>234.41999341856422</v>
      </c>
      <c r="AA41" s="201">
        <f t="shared" si="20"/>
        <v>40.249294056261995</v>
      </c>
      <c r="AB41" s="201">
        <f t="shared" si="21"/>
        <v>24.610677349818982</v>
      </c>
      <c r="AC41" s="201">
        <f t="shared" si="22"/>
        <v>16.577607986541924</v>
      </c>
      <c r="AD41" s="201">
        <f t="shared" si="23"/>
        <v>315.85757281118708</v>
      </c>
      <c r="AE41">
        <f t="shared" si="24"/>
        <v>78.553778358142225</v>
      </c>
      <c r="AF41" s="201">
        <f t="shared" si="25"/>
        <v>394.41135116932929</v>
      </c>
    </row>
    <row r="42" spans="2:32" x14ac:dyDescent="0.3">
      <c r="B42" s="22">
        <v>60</v>
      </c>
      <c r="C42" s="20"/>
      <c r="D42" s="25">
        <v>25.55</v>
      </c>
      <c r="E42" s="7">
        <f t="shared" si="6"/>
        <v>5.1270988456126272E-2</v>
      </c>
      <c r="F42" s="55">
        <f t="shared" si="7"/>
        <v>1</v>
      </c>
      <c r="G42" s="6">
        <v>21</v>
      </c>
      <c r="H42" s="1" t="str">
        <f t="shared" si="2"/>
        <v/>
      </c>
      <c r="I42" s="27" t="str">
        <f t="shared" si="3"/>
        <v/>
      </c>
      <c r="J42" s="72">
        <f>$G$12*EXP(($I$15+$J$15*$G$12+$K$15*$G$7/1000+$L$15*$G$10)*(1/D42-1/$G$11))</f>
        <v>22.666888476778787</v>
      </c>
      <c r="K42" s="1">
        <f t="shared" si="26"/>
        <v>22.666888476778787</v>
      </c>
      <c r="L42" s="121">
        <f t="shared" si="4"/>
        <v>0.49649268409601849</v>
      </c>
      <c r="M42" s="121">
        <f t="shared" si="5"/>
        <v>0.40233167687498439</v>
      </c>
      <c r="N42" s="7">
        <f t="shared" si="8"/>
        <v>6.8755310079005857E-2</v>
      </c>
      <c r="O42" s="7">
        <f t="shared" si="9"/>
        <v>0.38155039165252302</v>
      </c>
      <c r="P42" s="7">
        <f t="shared" si="10"/>
        <v>0.40155402068419449</v>
      </c>
      <c r="Q42" s="120">
        <f t="shared" si="11"/>
        <v>6.8755310079005857E-2</v>
      </c>
      <c r="R42" s="120">
        <f t="shared" si="12"/>
        <v>0.31279508157351715</v>
      </c>
      <c r="S42" s="120">
        <f t="shared" si="13"/>
        <v>2.0003629031671466E-2</v>
      </c>
      <c r="T42" s="121">
        <f t="shared" si="14"/>
        <v>7.7765619078989934E-4</v>
      </c>
      <c r="U42" s="7">
        <f t="shared" si="27"/>
        <v>21.835110954522129</v>
      </c>
      <c r="V42" s="118">
        <f t="shared" si="15"/>
        <v>0</v>
      </c>
      <c r="W42" s="119">
        <f t="shared" si="16"/>
        <v>0.38155039165252302</v>
      </c>
      <c r="X42" s="134">
        <f t="shared" si="17"/>
        <v>2.0003629031671466E-2</v>
      </c>
      <c r="Y42" s="135">
        <f t="shared" si="18"/>
        <v>7.7765619078989934E-4</v>
      </c>
      <c r="Z42" s="201">
        <f t="shared" si="19"/>
        <v>229.40594867481877</v>
      </c>
      <c r="AA42" s="201">
        <f t="shared" si="20"/>
        <v>39.194206164962239</v>
      </c>
      <c r="AB42" s="201">
        <f t="shared" si="21"/>
        <v>24.076869968640857</v>
      </c>
      <c r="AC42" s="201">
        <f t="shared" si="22"/>
        <v>16.297937658534231</v>
      </c>
      <c r="AD42" s="201">
        <f t="shared" si="23"/>
        <v>308.97496246695607</v>
      </c>
      <c r="AE42">
        <f t="shared" si="24"/>
        <v>76.842073165531971</v>
      </c>
      <c r="AF42" s="201">
        <f t="shared" si="25"/>
        <v>385.81703563248806</v>
      </c>
    </row>
    <row r="43" spans="2:32" x14ac:dyDescent="0.3">
      <c r="B43" s="22">
        <v>19</v>
      </c>
      <c r="C43" s="20"/>
      <c r="D43" s="25">
        <v>25.2</v>
      </c>
      <c r="E43" s="7">
        <f t="shared" si="6"/>
        <v>4.987592496839155E-2</v>
      </c>
      <c r="F43" s="55">
        <f t="shared" si="7"/>
        <v>1</v>
      </c>
      <c r="G43" s="6">
        <v>22</v>
      </c>
      <c r="H43" s="1" t="str">
        <f t="shared" si="2"/>
        <v/>
      </c>
      <c r="I43" s="27" t="str">
        <f t="shared" si="3"/>
        <v/>
      </c>
      <c r="J43" s="72">
        <f>$G$12*EXP(($I$15+$J$15*$G$12+$K$15*$G$7/1000+$L$15*$G$10)*(1/D43-1/$G$11))</f>
        <v>22.565480082907552</v>
      </c>
      <c r="K43" s="1">
        <f t="shared" si="26"/>
        <v>22.565480082907552</v>
      </c>
      <c r="L43" s="121">
        <f t="shared" si="4"/>
        <v>0.48187184879050138</v>
      </c>
      <c r="M43" s="121">
        <f t="shared" si="5"/>
        <v>0.39052794417700032</v>
      </c>
      <c r="N43" s="7">
        <f t="shared" si="8"/>
        <v>5.9734450710263627E-2</v>
      </c>
      <c r="O43" s="7">
        <f t="shared" si="9"/>
        <v>0.36912582978848352</v>
      </c>
      <c r="P43" s="7">
        <f t="shared" si="10"/>
        <v>0.38972578298752791</v>
      </c>
      <c r="Q43" s="120">
        <f t="shared" si="11"/>
        <v>5.9734450710263627E-2</v>
      </c>
      <c r="R43" s="120">
        <f t="shared" si="12"/>
        <v>0.3093913790782199</v>
      </c>
      <c r="S43" s="120">
        <f t="shared" si="13"/>
        <v>2.0599953199044396E-2</v>
      </c>
      <c r="T43" s="121">
        <f t="shared" si="14"/>
        <v>8.0216118947240567E-4</v>
      </c>
      <c r="U43" s="7">
        <f t="shared" si="27"/>
        <v>21.522465745626636</v>
      </c>
      <c r="V43" s="118">
        <f t="shared" si="15"/>
        <v>0</v>
      </c>
      <c r="W43" s="119">
        <f t="shared" si="16"/>
        <v>0.36912582978848352</v>
      </c>
      <c r="X43" s="134">
        <f t="shared" si="17"/>
        <v>2.0599953199044396E-2</v>
      </c>
      <c r="Y43" s="135">
        <f t="shared" si="18"/>
        <v>8.0216118947240567E-4</v>
      </c>
      <c r="Z43" s="201">
        <f t="shared" si="19"/>
        <v>222.47026893308831</v>
      </c>
      <c r="AA43" s="201">
        <f t="shared" si="20"/>
        <v>37.744625625999667</v>
      </c>
      <c r="AB43" s="201">
        <f t="shared" si="21"/>
        <v>23.341497589397697</v>
      </c>
      <c r="AC43" s="201">
        <f t="shared" si="22"/>
        <v>15.910418041117897</v>
      </c>
      <c r="AD43" s="201">
        <f t="shared" si="23"/>
        <v>299.46681018960356</v>
      </c>
      <c r="AE43">
        <f t="shared" si="24"/>
        <v>74.47739569415441</v>
      </c>
      <c r="AF43" s="201">
        <f t="shared" si="25"/>
        <v>373.94420588375795</v>
      </c>
    </row>
    <row r="44" spans="2:32" x14ac:dyDescent="0.3">
      <c r="B44" s="22">
        <v>46</v>
      </c>
      <c r="C44" s="20"/>
      <c r="D44" s="25">
        <v>25.2</v>
      </c>
      <c r="E44" s="7">
        <f t="shared" si="6"/>
        <v>4.987592496839155E-2</v>
      </c>
      <c r="F44" s="55">
        <f t="shared" si="7"/>
        <v>1</v>
      </c>
      <c r="G44" s="6">
        <v>23</v>
      </c>
      <c r="H44" s="1" t="str">
        <f t="shared" si="2"/>
        <v/>
      </c>
      <c r="I44" s="27" t="str">
        <f t="shared" si="3"/>
        <v/>
      </c>
      <c r="J44" s="72">
        <f>$G$12*EXP(($I$15+$J$15*$G$12+$K$15*$G$7/1000+$L$15*$G$10)*(1/D44-1/$G$11))</f>
        <v>22.565480082907552</v>
      </c>
      <c r="K44" s="1">
        <f t="shared" si="26"/>
        <v>22.565480082907552</v>
      </c>
      <c r="L44" s="121">
        <f t="shared" si="4"/>
        <v>0.48187184879050138</v>
      </c>
      <c r="M44" s="121">
        <f t="shared" si="5"/>
        <v>0.39052794417700032</v>
      </c>
      <c r="N44" s="7">
        <f t="shared" si="8"/>
        <v>5.9734450710263627E-2</v>
      </c>
      <c r="O44" s="7">
        <f t="shared" si="9"/>
        <v>0.36912582978848352</v>
      </c>
      <c r="P44" s="7">
        <f t="shared" si="10"/>
        <v>0.38972578298752791</v>
      </c>
      <c r="Q44" s="120">
        <f t="shared" si="11"/>
        <v>5.9734450710263627E-2</v>
      </c>
      <c r="R44" s="120">
        <f t="shared" si="12"/>
        <v>0.3093913790782199</v>
      </c>
      <c r="S44" s="120">
        <f t="shared" si="13"/>
        <v>2.0599953199044396E-2</v>
      </c>
      <c r="T44" s="121">
        <f t="shared" si="14"/>
        <v>8.0216118947240567E-4</v>
      </c>
      <c r="U44" s="7">
        <f t="shared" si="27"/>
        <v>21.522465745626636</v>
      </c>
      <c r="V44" s="118">
        <f t="shared" si="15"/>
        <v>0</v>
      </c>
      <c r="W44" s="119">
        <f t="shared" si="16"/>
        <v>0.36912582978848352</v>
      </c>
      <c r="X44" s="134">
        <f t="shared" si="17"/>
        <v>2.0599953199044396E-2</v>
      </c>
      <c r="Y44" s="135">
        <f t="shared" si="18"/>
        <v>8.0216118947240567E-4</v>
      </c>
      <c r="Z44" s="201">
        <f t="shared" si="19"/>
        <v>222.47026893308831</v>
      </c>
      <c r="AA44" s="201">
        <f t="shared" si="20"/>
        <v>37.744625625999667</v>
      </c>
      <c r="AB44" s="201">
        <f t="shared" si="21"/>
        <v>23.341497589397697</v>
      </c>
      <c r="AC44" s="201">
        <f t="shared" si="22"/>
        <v>15.910418041117897</v>
      </c>
      <c r="AD44" s="201">
        <f t="shared" si="23"/>
        <v>299.46681018960356</v>
      </c>
      <c r="AE44">
        <f t="shared" si="24"/>
        <v>74.47739569415441</v>
      </c>
      <c r="AF44" s="201">
        <f t="shared" si="25"/>
        <v>373.94420588375795</v>
      </c>
    </row>
    <row r="45" spans="2:32" x14ac:dyDescent="0.3">
      <c r="B45" s="22">
        <v>15</v>
      </c>
      <c r="C45" s="20"/>
      <c r="D45" s="25">
        <v>25</v>
      </c>
      <c r="E45" s="7">
        <f t="shared" si="6"/>
        <v>4.9087385212340517E-2</v>
      </c>
      <c r="F45" s="55">
        <f t="shared" si="7"/>
        <v>1</v>
      </c>
      <c r="G45" s="6">
        <v>24</v>
      </c>
      <c r="H45" s="1" t="str">
        <f t="shared" si="2"/>
        <v/>
      </c>
      <c r="I45" s="27" t="str">
        <f t="shared" si="3"/>
        <v/>
      </c>
      <c r="J45" s="72">
        <f>$G$12*EXP(($I$15+$J$15*$G$12+$K$15*$G$7/1000+$L$15*$G$10)*(1/D45-1/$G$11))</f>
        <v>22.506467554005358</v>
      </c>
      <c r="K45" s="1">
        <f t="shared" si="26"/>
        <v>22.506467554005358</v>
      </c>
      <c r="L45" s="121">
        <f t="shared" si="4"/>
        <v>0.47360830836024659</v>
      </c>
      <c r="M45" s="121">
        <f t="shared" si="5"/>
        <v>0.38385502226217122</v>
      </c>
      <c r="N45" s="7">
        <f t="shared" si="8"/>
        <v>5.4898434536927297E-2</v>
      </c>
      <c r="O45" s="7">
        <f t="shared" si="9"/>
        <v>0.36208756943307463</v>
      </c>
      <c r="P45" s="7">
        <f t="shared" si="10"/>
        <v>0.38303838275961355</v>
      </c>
      <c r="Q45" s="120">
        <f t="shared" si="11"/>
        <v>5.4898434536927297E-2</v>
      </c>
      <c r="R45" s="120">
        <f t="shared" si="12"/>
        <v>0.30718913489614735</v>
      </c>
      <c r="S45" s="120">
        <f t="shared" si="13"/>
        <v>2.095081332653892E-2</v>
      </c>
      <c r="T45" s="121">
        <f t="shared" si="14"/>
        <v>8.1663950255767004E-4</v>
      </c>
      <c r="U45" s="7">
        <f t="shared" si="27"/>
        <v>21.34379290706886</v>
      </c>
      <c r="V45" s="118">
        <f t="shared" si="15"/>
        <v>0</v>
      </c>
      <c r="W45" s="119">
        <f t="shared" si="16"/>
        <v>0.36208756943307463</v>
      </c>
      <c r="X45" s="134">
        <f t="shared" si="17"/>
        <v>2.095081332653892E-2</v>
      </c>
      <c r="Y45" s="135">
        <f t="shared" si="18"/>
        <v>8.1663950255767004E-4</v>
      </c>
      <c r="Z45" s="201">
        <f t="shared" si="19"/>
        <v>218.55113120639044</v>
      </c>
      <c r="AA45" s="201">
        <f t="shared" si="20"/>
        <v>36.930652403146205</v>
      </c>
      <c r="AB45" s="201">
        <f t="shared" si="21"/>
        <v>22.927517461562747</v>
      </c>
      <c r="AC45" s="201">
        <f t="shared" si="22"/>
        <v>15.691084033207224</v>
      </c>
      <c r="AD45" s="201">
        <f t="shared" si="23"/>
        <v>294.10038510430661</v>
      </c>
      <c r="AE45">
        <f t="shared" si="24"/>
        <v>73.142765775441049</v>
      </c>
      <c r="AF45" s="201">
        <f t="shared" si="25"/>
        <v>367.24315087974765</v>
      </c>
    </row>
    <row r="46" spans="2:32" x14ac:dyDescent="0.3">
      <c r="B46" s="22">
        <v>39</v>
      </c>
      <c r="C46" s="21">
        <v>22</v>
      </c>
      <c r="D46" s="25">
        <v>24.9</v>
      </c>
      <c r="E46" s="7">
        <f t="shared" si="6"/>
        <v>4.8695471528805177E-2</v>
      </c>
      <c r="F46" s="55">
        <f t="shared" si="7"/>
        <v>1</v>
      </c>
      <c r="G46" s="6">
        <v>25</v>
      </c>
      <c r="H46" s="1" t="str">
        <f t="shared" si="2"/>
        <v/>
      </c>
      <c r="I46" s="27" t="str">
        <f t="shared" si="3"/>
        <v/>
      </c>
      <c r="J46" s="72">
        <f>$G$12*EXP(($I$15+$J$15*$G$12+$K$15*$G$7/1000+$L$15*$G$10)*(1/D46-1/$G$11))</f>
        <v>22.476664623110608</v>
      </c>
      <c r="K46" s="122">
        <f t="shared" si="26"/>
        <v>22</v>
      </c>
      <c r="L46" s="121">
        <f t="shared" si="4"/>
        <v>0.45885273826408113</v>
      </c>
      <c r="M46" s="121">
        <f t="shared" si="5"/>
        <v>0.37122155493723757</v>
      </c>
      <c r="N46" s="7">
        <f t="shared" si="8"/>
        <v>5.1280923637985781E-2</v>
      </c>
      <c r="O46" s="7">
        <f t="shared" si="9"/>
        <v>0.34980595371454243</v>
      </c>
      <c r="P46" s="7">
        <f t="shared" si="10"/>
        <v>0.37041771651177879</v>
      </c>
      <c r="Q46" s="120">
        <f t="shared" si="11"/>
        <v>5.1280923637985781E-2</v>
      </c>
      <c r="R46" s="120">
        <f t="shared" si="12"/>
        <v>0.29852503007655662</v>
      </c>
      <c r="S46" s="120">
        <f t="shared" si="13"/>
        <v>2.0611762797236366E-2</v>
      </c>
      <c r="T46" s="121">
        <f t="shared" si="14"/>
        <v>8.0383842545878048E-4</v>
      </c>
      <c r="U46" s="7">
        <f t="shared" si="27"/>
        <v>21.189801083311707</v>
      </c>
      <c r="V46" s="118">
        <f t="shared" si="15"/>
        <v>0</v>
      </c>
      <c r="W46" s="119">
        <f t="shared" si="16"/>
        <v>0.34980595371454243</v>
      </c>
      <c r="X46" s="134">
        <f t="shared" si="17"/>
        <v>2.0611762797236366E-2</v>
      </c>
      <c r="Y46" s="135">
        <f t="shared" si="18"/>
        <v>8.0383842545878048E-4</v>
      </c>
      <c r="Z46" s="201">
        <f t="shared" si="19"/>
        <v>210.33700198417816</v>
      </c>
      <c r="AA46" s="201">
        <f t="shared" si="20"/>
        <v>35.687850097156691</v>
      </c>
      <c r="AB46" s="201">
        <f t="shared" si="21"/>
        <v>23.140373745421314</v>
      </c>
      <c r="AC46" s="201">
        <f t="shared" si="22"/>
        <v>15.8216594708047</v>
      </c>
      <c r="AD46" s="201">
        <f t="shared" si="23"/>
        <v>284.98688529756089</v>
      </c>
      <c r="AE46">
        <f t="shared" si="24"/>
        <v>70.876238373503398</v>
      </c>
      <c r="AF46" s="201">
        <f t="shared" si="25"/>
        <v>355.86312367106427</v>
      </c>
    </row>
    <row r="47" spans="2:32" x14ac:dyDescent="0.3">
      <c r="B47" s="22">
        <v>7</v>
      </c>
      <c r="C47" s="20"/>
      <c r="D47" s="25">
        <v>24.75</v>
      </c>
      <c r="E47" s="7">
        <f t="shared" si="6"/>
        <v>4.8110546246614941E-2</v>
      </c>
      <c r="F47" s="55">
        <f t="shared" si="7"/>
        <v>1</v>
      </c>
      <c r="G47" s="6">
        <v>26</v>
      </c>
      <c r="H47" s="1" t="str">
        <f t="shared" si="2"/>
        <v/>
      </c>
      <c r="I47" s="27" t="str">
        <f t="shared" si="3"/>
        <v/>
      </c>
      <c r="J47" s="72">
        <f>$G$12*EXP(($I$15+$J$15*$G$12+$K$15*$G$7/1000+$L$15*$G$10)*(1/D47-1/$G$11))</f>
        <v>22.431583847163566</v>
      </c>
      <c r="K47" s="1">
        <f t="shared" si="26"/>
        <v>22.431583847163566</v>
      </c>
      <c r="L47" s="121">
        <f t="shared" si="4"/>
        <v>0.463372382138385</v>
      </c>
      <c r="M47" s="121">
        <f t="shared" si="5"/>
        <v>0.37558777259750781</v>
      </c>
      <c r="N47" s="7">
        <f t="shared" si="8"/>
        <v>4.9181904819666687E-2</v>
      </c>
      <c r="O47" s="7">
        <f t="shared" si="9"/>
        <v>0.35335250185937128</v>
      </c>
      <c r="P47" s="7">
        <f t="shared" si="10"/>
        <v>0.37475252863951369</v>
      </c>
      <c r="Q47" s="120">
        <f t="shared" si="11"/>
        <v>4.9181904819666687E-2</v>
      </c>
      <c r="R47" s="120">
        <f t="shared" si="12"/>
        <v>0.30417059703970462</v>
      </c>
      <c r="S47" s="120">
        <f t="shared" si="13"/>
        <v>2.1400026780142412E-2</v>
      </c>
      <c r="T47" s="121">
        <f t="shared" si="14"/>
        <v>8.3524395799411399E-4</v>
      </c>
      <c r="U47" s="7">
        <f t="shared" si="27"/>
        <v>21.120432331187004</v>
      </c>
      <c r="V47" s="118">
        <f t="shared" si="15"/>
        <v>0</v>
      </c>
      <c r="W47" s="119">
        <f t="shared" si="16"/>
        <v>0.35335250185937128</v>
      </c>
      <c r="X47" s="134">
        <f t="shared" si="17"/>
        <v>2.1400026780142412E-2</v>
      </c>
      <c r="Y47" s="135">
        <f t="shared" si="18"/>
        <v>8.3524395799411399E-4</v>
      </c>
      <c r="Z47" s="201">
        <f t="shared" si="19"/>
        <v>213.69744024181381</v>
      </c>
      <c r="AA47" s="201">
        <f t="shared" si="20"/>
        <v>35.927800093096266</v>
      </c>
      <c r="AB47" s="201">
        <f t="shared" si="21"/>
        <v>22.416384740416529</v>
      </c>
      <c r="AC47" s="201">
        <f t="shared" si="22"/>
        <v>15.419070849768184</v>
      </c>
      <c r="AD47" s="201">
        <f t="shared" si="23"/>
        <v>287.46069592509474</v>
      </c>
      <c r="AE47">
        <f t="shared" si="24"/>
        <v>71.491475076571064</v>
      </c>
      <c r="AF47" s="201">
        <f t="shared" si="25"/>
        <v>358.95217100166582</v>
      </c>
    </row>
    <row r="48" spans="2:32" x14ac:dyDescent="0.3">
      <c r="B48" s="22">
        <v>44</v>
      </c>
      <c r="C48" s="20"/>
      <c r="D48" s="25">
        <v>24.75</v>
      </c>
      <c r="E48" s="7">
        <f t="shared" si="6"/>
        <v>4.8110546246614941E-2</v>
      </c>
      <c r="F48" s="55">
        <f t="shared" si="7"/>
        <v>1</v>
      </c>
      <c r="G48" s="6">
        <v>27</v>
      </c>
      <c r="H48" s="1" t="str">
        <f t="shared" si="2"/>
        <v/>
      </c>
      <c r="I48" s="27" t="str">
        <f t="shared" si="3"/>
        <v/>
      </c>
      <c r="J48" s="72">
        <f>$G$12*EXP(($I$15+$J$15*$G$12+$K$15*$G$7/1000+$L$15*$G$10)*(1/D48-1/$G$11))</f>
        <v>22.431583847163566</v>
      </c>
      <c r="K48" s="1">
        <f t="shared" si="26"/>
        <v>22.431583847163566</v>
      </c>
      <c r="L48" s="121">
        <f t="shared" si="4"/>
        <v>0.463372382138385</v>
      </c>
      <c r="M48" s="121">
        <f t="shared" si="5"/>
        <v>0.37558777259750781</v>
      </c>
      <c r="N48" s="7">
        <f t="shared" si="8"/>
        <v>4.9181904819666687E-2</v>
      </c>
      <c r="O48" s="7">
        <f t="shared" si="9"/>
        <v>0.35335250185937128</v>
      </c>
      <c r="P48" s="7">
        <f t="shared" si="10"/>
        <v>0.37475252863951369</v>
      </c>
      <c r="Q48" s="120">
        <f t="shared" si="11"/>
        <v>4.9181904819666687E-2</v>
      </c>
      <c r="R48" s="120">
        <f t="shared" si="12"/>
        <v>0.30417059703970462</v>
      </c>
      <c r="S48" s="120">
        <f t="shared" si="13"/>
        <v>2.1400026780142412E-2</v>
      </c>
      <c r="T48" s="121">
        <f t="shared" si="14"/>
        <v>8.3524395799411399E-4</v>
      </c>
      <c r="U48" s="7">
        <f t="shared" si="27"/>
        <v>21.120432331187004</v>
      </c>
      <c r="V48" s="118">
        <f t="shared" si="15"/>
        <v>0</v>
      </c>
      <c r="W48" s="119">
        <f t="shared" si="16"/>
        <v>0.35335250185937128</v>
      </c>
      <c r="X48" s="134">
        <f t="shared" si="17"/>
        <v>2.1400026780142412E-2</v>
      </c>
      <c r="Y48" s="135">
        <f t="shared" si="18"/>
        <v>8.3524395799411399E-4</v>
      </c>
      <c r="Z48" s="201">
        <f t="shared" si="19"/>
        <v>213.69744024181381</v>
      </c>
      <c r="AA48" s="201">
        <f t="shared" si="20"/>
        <v>35.927800093096266</v>
      </c>
      <c r="AB48" s="201">
        <f t="shared" si="21"/>
        <v>22.416384740416529</v>
      </c>
      <c r="AC48" s="201">
        <f t="shared" si="22"/>
        <v>15.419070849768184</v>
      </c>
      <c r="AD48" s="201">
        <f t="shared" si="23"/>
        <v>287.46069592509474</v>
      </c>
      <c r="AE48">
        <f t="shared" si="24"/>
        <v>71.491475076571064</v>
      </c>
      <c r="AF48" s="201">
        <f t="shared" si="25"/>
        <v>358.95217100166582</v>
      </c>
    </row>
    <row r="49" spans="2:32" x14ac:dyDescent="0.3">
      <c r="B49" s="22">
        <v>18</v>
      </c>
      <c r="C49" s="20"/>
      <c r="D49" s="25">
        <v>24.7</v>
      </c>
      <c r="E49" s="7">
        <f t="shared" si="6"/>
        <v>4.7916356550714918E-2</v>
      </c>
      <c r="F49" s="55">
        <f t="shared" si="7"/>
        <v>1</v>
      </c>
      <c r="G49" s="6">
        <v>28</v>
      </c>
      <c r="H49" s="1" t="str">
        <f t="shared" si="2"/>
        <v/>
      </c>
      <c r="I49" s="27" t="str">
        <f t="shared" si="3"/>
        <v/>
      </c>
      <c r="J49" s="72">
        <f>$G$12*EXP(($I$15+$J$15*$G$12+$K$15*$G$7/1000+$L$15*$G$10)*(1/D49-1/$G$11))</f>
        <v>22.416455551757128</v>
      </c>
      <c r="K49" s="1">
        <f t="shared" si="26"/>
        <v>22.416455551757128</v>
      </c>
      <c r="L49" s="121">
        <f t="shared" si="4"/>
        <v>0.46133768059671221</v>
      </c>
      <c r="M49" s="121">
        <f t="shared" si="5"/>
        <v>0.37394419291985509</v>
      </c>
      <c r="N49" s="7">
        <f t="shared" si="8"/>
        <v>4.8082509738568965E-2</v>
      </c>
      <c r="O49" s="7">
        <f t="shared" si="9"/>
        <v>0.35161384519286826</v>
      </c>
      <c r="P49" s="7">
        <f t="shared" si="10"/>
        <v>0.3731051587700624</v>
      </c>
      <c r="Q49" s="120">
        <f t="shared" si="11"/>
        <v>4.8082509738568965E-2</v>
      </c>
      <c r="R49" s="120">
        <f t="shared" si="12"/>
        <v>0.30353133545429928</v>
      </c>
      <c r="S49" s="120">
        <f t="shared" si="13"/>
        <v>2.1491313577194138E-2</v>
      </c>
      <c r="T49" s="121">
        <f t="shared" si="14"/>
        <v>8.3903414979269453E-4</v>
      </c>
      <c r="U49" s="7">
        <f t="shared" si="27"/>
        <v>21.075757553899123</v>
      </c>
      <c r="V49" s="118">
        <f t="shared" si="15"/>
        <v>0</v>
      </c>
      <c r="W49" s="119">
        <f t="shared" si="16"/>
        <v>0.35161384519286826</v>
      </c>
      <c r="X49" s="134">
        <f t="shared" si="17"/>
        <v>2.1491313577194138E-2</v>
      </c>
      <c r="Y49" s="135">
        <f t="shared" si="18"/>
        <v>8.3903414979269453E-4</v>
      </c>
      <c r="Z49" s="201">
        <f t="shared" si="19"/>
        <v>212.73274304920807</v>
      </c>
      <c r="AA49" s="201">
        <f t="shared" si="20"/>
        <v>35.729172270167972</v>
      </c>
      <c r="AB49" s="201">
        <f t="shared" si="21"/>
        <v>22.315001189201531</v>
      </c>
      <c r="AC49" s="201">
        <f t="shared" si="22"/>
        <v>15.36495551542469</v>
      </c>
      <c r="AD49" s="201">
        <f t="shared" si="23"/>
        <v>286.14187202400228</v>
      </c>
      <c r="AE49">
        <f t="shared" si="24"/>
        <v>71.163483572369373</v>
      </c>
      <c r="AF49" s="201">
        <f t="shared" si="25"/>
        <v>357.30535559637167</v>
      </c>
    </row>
    <row r="50" spans="2:32" x14ac:dyDescent="0.3">
      <c r="B50" s="22">
        <v>30</v>
      </c>
      <c r="C50" s="20"/>
      <c r="D50" s="25">
        <v>24.5</v>
      </c>
      <c r="E50" s="7">
        <f t="shared" si="6"/>
        <v>4.7143524757931835E-2</v>
      </c>
      <c r="F50" s="55">
        <f t="shared" si="7"/>
        <v>1</v>
      </c>
      <c r="G50" s="6">
        <v>29</v>
      </c>
      <c r="H50" s="1" t="str">
        <f t="shared" si="2"/>
        <v/>
      </c>
      <c r="I50" s="27" t="str">
        <f t="shared" si="3"/>
        <v/>
      </c>
      <c r="J50" s="72">
        <f>$G$12*EXP(($I$15+$J$15*$G$12+$K$15*$G$7/1000+$L$15*$G$10)*(1/D50-1/$G$11))</f>
        <v>22.355428728322956</v>
      </c>
      <c r="K50" s="1">
        <f t="shared" si="26"/>
        <v>22.355428728322956</v>
      </c>
      <c r="L50" s="121">
        <f t="shared" si="4"/>
        <v>0.45324054434015826</v>
      </c>
      <c r="M50" s="121">
        <f t="shared" si="5"/>
        <v>0.36740283073739111</v>
      </c>
      <c r="N50" s="7">
        <f t="shared" si="8"/>
        <v>4.3831392379550541E-2</v>
      </c>
      <c r="O50" s="7">
        <f t="shared" si="9"/>
        <v>0.34468703825785463</v>
      </c>
      <c r="P50" s="7">
        <f t="shared" si="10"/>
        <v>0.36654839876293699</v>
      </c>
      <c r="Q50" s="120">
        <f t="shared" si="11"/>
        <v>4.3831392379550541E-2</v>
      </c>
      <c r="R50" s="120">
        <f t="shared" si="12"/>
        <v>0.3008556458783041</v>
      </c>
      <c r="S50" s="120">
        <f t="shared" si="13"/>
        <v>2.1861360505082361E-2</v>
      </c>
      <c r="T50" s="121">
        <f t="shared" si="14"/>
        <v>8.5443197445411734E-4</v>
      </c>
      <c r="U50" s="7">
        <f t="shared" si="27"/>
        <v>20.897049370131452</v>
      </c>
      <c r="V50" s="118">
        <f t="shared" si="15"/>
        <v>0</v>
      </c>
      <c r="W50" s="119">
        <f t="shared" si="16"/>
        <v>0.34468703825785463</v>
      </c>
      <c r="X50" s="134">
        <f t="shared" si="17"/>
        <v>2.1861360505082361E-2</v>
      </c>
      <c r="Y50" s="135">
        <f t="shared" si="18"/>
        <v>8.5443197445411734E-4</v>
      </c>
      <c r="Z50" s="201">
        <f t="shared" si="19"/>
        <v>208.89412513732208</v>
      </c>
      <c r="AA50" s="201">
        <f t="shared" si="20"/>
        <v>34.941116591453067</v>
      </c>
      <c r="AB50" s="201">
        <f t="shared" si="21"/>
        <v>21.912268050123405</v>
      </c>
      <c r="AC50" s="201">
        <f t="shared" si="22"/>
        <v>15.149452051272021</v>
      </c>
      <c r="AD50" s="201">
        <f t="shared" si="23"/>
        <v>280.8969618301706</v>
      </c>
      <c r="AE50">
        <f t="shared" si="24"/>
        <v>69.859074407163433</v>
      </c>
      <c r="AF50" s="201">
        <f t="shared" si="25"/>
        <v>350.756036237334</v>
      </c>
    </row>
    <row r="51" spans="2:32" x14ac:dyDescent="0.3">
      <c r="B51" s="22">
        <v>80</v>
      </c>
      <c r="C51" s="21">
        <v>22</v>
      </c>
      <c r="D51" s="25">
        <v>24.35</v>
      </c>
      <c r="E51" s="7">
        <f t="shared" si="6"/>
        <v>4.656802425370235E-2</v>
      </c>
      <c r="F51" s="55">
        <f t="shared" si="7"/>
        <v>1</v>
      </c>
      <c r="G51" s="6">
        <v>30</v>
      </c>
      <c r="H51" s="1" t="str">
        <f t="shared" si="2"/>
        <v/>
      </c>
      <c r="I51" s="27" t="str">
        <f t="shared" si="3"/>
        <v/>
      </c>
      <c r="J51" s="72">
        <f>$G$12*EXP(($I$15+$J$15*$G$12+$K$15*$G$7/1000+$L$15*$G$10)*(1/D51-1/$G$11))</f>
        <v>22.309112026146554</v>
      </c>
      <c r="K51" s="1">
        <f t="shared" si="26"/>
        <v>22</v>
      </c>
      <c r="L51" s="121">
        <f t="shared" si="4"/>
        <v>0.44058262251919517</v>
      </c>
      <c r="M51" s="121">
        <f t="shared" si="5"/>
        <v>0.35672896622752814</v>
      </c>
      <c r="N51" s="7">
        <f t="shared" si="8"/>
        <v>4.0143717530261296E-2</v>
      </c>
      <c r="O51" s="7">
        <f t="shared" si="9"/>
        <v>0.33408691067183871</v>
      </c>
      <c r="P51" s="7">
        <f t="shared" si="10"/>
        <v>0.35587659624171747</v>
      </c>
      <c r="Q51" s="120">
        <f t="shared" si="11"/>
        <v>4.0143717530261296E-2</v>
      </c>
      <c r="R51" s="120">
        <f t="shared" si="12"/>
        <v>0.29394319314157741</v>
      </c>
      <c r="S51" s="120">
        <f t="shared" si="13"/>
        <v>2.1789685569878758E-2</v>
      </c>
      <c r="T51" s="121">
        <f t="shared" si="14"/>
        <v>8.523699858106748E-4</v>
      </c>
      <c r="U51" s="7">
        <f t="shared" si="27"/>
        <v>20.721753268218478</v>
      </c>
      <c r="V51" s="118">
        <f t="shared" si="15"/>
        <v>0</v>
      </c>
      <c r="W51" s="119">
        <f t="shared" si="16"/>
        <v>0.33408691067183871</v>
      </c>
      <c r="X51" s="134">
        <f t="shared" si="17"/>
        <v>2.1789685569878758E-2</v>
      </c>
      <c r="Y51" s="135">
        <f t="shared" si="18"/>
        <v>8.523699858106748E-4</v>
      </c>
      <c r="Z51" s="201">
        <f t="shared" si="19"/>
        <v>202.13640981016945</v>
      </c>
      <c r="AA51" s="201">
        <f t="shared" si="20"/>
        <v>33.840640214922985</v>
      </c>
      <c r="AB51" s="201">
        <f t="shared" si="21"/>
        <v>21.871229129847745</v>
      </c>
      <c r="AC51" s="201">
        <f t="shared" si="22"/>
        <v>15.138498037743904</v>
      </c>
      <c r="AD51" s="201">
        <f t="shared" si="23"/>
        <v>272.98677719268409</v>
      </c>
      <c r="AE51">
        <f t="shared" si="24"/>
        <v>67.891811487820533</v>
      </c>
      <c r="AF51" s="201">
        <f t="shared" si="25"/>
        <v>340.87858868050461</v>
      </c>
    </row>
    <row r="52" spans="2:32" x14ac:dyDescent="0.3">
      <c r="B52" s="22">
        <v>35</v>
      </c>
      <c r="C52" s="20"/>
      <c r="D52" s="25">
        <v>24.25</v>
      </c>
      <c r="E52" s="7">
        <f t="shared" si="6"/>
        <v>4.6186320746291191E-2</v>
      </c>
      <c r="F52" s="55">
        <f t="shared" si="7"/>
        <v>1</v>
      </c>
      <c r="G52" s="6">
        <v>31</v>
      </c>
      <c r="H52" s="1" t="str">
        <f t="shared" si="2"/>
        <v/>
      </c>
      <c r="I52" s="27" t="str">
        <f t="shared" si="3"/>
        <v/>
      </c>
      <c r="J52" s="72">
        <f>$G$12*EXP(($I$15+$J$15*$G$12+$K$15*$G$7/1000+$L$15*$G$10)*(1/D52-1/$G$11))</f>
        <v>22.27796999211472</v>
      </c>
      <c r="K52" s="1">
        <f t="shared" si="26"/>
        <v>22.27796999211472</v>
      </c>
      <c r="L52" s="121">
        <f t="shared" si="4"/>
        <v>0.44321301201094576</v>
      </c>
      <c r="M52" s="121">
        <f t="shared" si="5"/>
        <v>0.35930040665417329</v>
      </c>
      <c r="N52" s="7">
        <f t="shared" si="8"/>
        <v>3.8846531647927486E-2</v>
      </c>
      <c r="O52" s="7">
        <f t="shared" si="9"/>
        <v>0.33609104189066635</v>
      </c>
      <c r="P52" s="7">
        <f t="shared" si="10"/>
        <v>0.35842617991300058</v>
      </c>
      <c r="Q52" s="120">
        <f t="shared" si="11"/>
        <v>3.8846531647927486E-2</v>
      </c>
      <c r="R52" s="120">
        <f t="shared" si="12"/>
        <v>0.29724451024273885</v>
      </c>
      <c r="S52" s="120">
        <f t="shared" si="13"/>
        <v>2.2335138022334222E-2</v>
      </c>
      <c r="T52" s="121">
        <f t="shared" si="14"/>
        <v>8.7422674117271226E-4</v>
      </c>
      <c r="U52" s="7">
        <f t="shared" si="27"/>
        <v>20.673643254945453</v>
      </c>
      <c r="V52" s="118">
        <f t="shared" si="15"/>
        <v>0</v>
      </c>
      <c r="W52" s="119">
        <f t="shared" si="16"/>
        <v>0.33609104189066635</v>
      </c>
      <c r="X52" s="134">
        <f t="shared" si="17"/>
        <v>2.2335138022334222E-2</v>
      </c>
      <c r="Y52" s="135">
        <f t="shared" si="18"/>
        <v>8.7422674117271226E-4</v>
      </c>
      <c r="Z52" s="201">
        <f t="shared" si="19"/>
        <v>204.14131478153854</v>
      </c>
      <c r="AA52" s="201">
        <f t="shared" si="20"/>
        <v>33.97052719899704</v>
      </c>
      <c r="AB52" s="201">
        <f t="shared" si="21"/>
        <v>21.415133911376685</v>
      </c>
      <c r="AC52" s="201">
        <f t="shared" si="22"/>
        <v>14.882228389667516</v>
      </c>
      <c r="AD52" s="201">
        <f t="shared" si="23"/>
        <v>274.40920428157978</v>
      </c>
      <c r="AE52">
        <f t="shared" si="24"/>
        <v>68.245569104828888</v>
      </c>
      <c r="AF52" s="201">
        <f t="shared" si="25"/>
        <v>342.65477338640869</v>
      </c>
    </row>
    <row r="53" spans="2:32" x14ac:dyDescent="0.3">
      <c r="B53" s="22">
        <v>49</v>
      </c>
      <c r="C53" s="20"/>
      <c r="D53" s="25">
        <v>24.25</v>
      </c>
      <c r="E53" s="7">
        <f t="shared" si="6"/>
        <v>4.6186320746291191E-2</v>
      </c>
      <c r="F53" s="55">
        <f t="shared" si="7"/>
        <v>1</v>
      </c>
      <c r="G53" s="6">
        <v>32</v>
      </c>
      <c r="H53" s="1" t="str">
        <f t="shared" si="2"/>
        <v/>
      </c>
      <c r="I53" s="27" t="str">
        <f t="shared" si="3"/>
        <v/>
      </c>
      <c r="J53" s="72">
        <f>$G$12*EXP(($I$15+$J$15*$G$12+$K$15*$G$7/1000+$L$15*$G$10)*(1/D53-1/$G$11))</f>
        <v>22.27796999211472</v>
      </c>
      <c r="K53" s="1">
        <f t="shared" si="26"/>
        <v>22.27796999211472</v>
      </c>
      <c r="L53" s="121">
        <f t="shared" si="4"/>
        <v>0.44321301201094576</v>
      </c>
      <c r="M53" s="121">
        <f t="shared" si="5"/>
        <v>0.35930040665417329</v>
      </c>
      <c r="N53" s="7">
        <f t="shared" si="8"/>
        <v>3.8846531647927486E-2</v>
      </c>
      <c r="O53" s="7">
        <f t="shared" si="9"/>
        <v>0.33609104189066635</v>
      </c>
      <c r="P53" s="7">
        <f t="shared" si="10"/>
        <v>0.35842617991300058</v>
      </c>
      <c r="Q53" s="120">
        <f t="shared" si="11"/>
        <v>3.8846531647927486E-2</v>
      </c>
      <c r="R53" s="120">
        <f t="shared" si="12"/>
        <v>0.29724451024273885</v>
      </c>
      <c r="S53" s="120">
        <f t="shared" si="13"/>
        <v>2.2335138022334222E-2</v>
      </c>
      <c r="T53" s="121">
        <f t="shared" si="14"/>
        <v>8.7422674117271226E-4</v>
      </c>
      <c r="U53" s="7">
        <f t="shared" si="27"/>
        <v>20.673643254945453</v>
      </c>
      <c r="V53" s="118">
        <f t="shared" si="15"/>
        <v>0</v>
      </c>
      <c r="W53" s="119">
        <f t="shared" si="16"/>
        <v>0.33609104189066635</v>
      </c>
      <c r="X53" s="134">
        <f t="shared" si="17"/>
        <v>2.2335138022334222E-2</v>
      </c>
      <c r="Y53" s="135">
        <f t="shared" si="18"/>
        <v>8.7422674117271226E-4</v>
      </c>
      <c r="Z53" s="201">
        <f t="shared" si="19"/>
        <v>204.14131478153854</v>
      </c>
      <c r="AA53" s="201">
        <f t="shared" si="20"/>
        <v>33.97052719899704</v>
      </c>
      <c r="AB53" s="201">
        <f t="shared" si="21"/>
        <v>21.415133911376685</v>
      </c>
      <c r="AC53" s="201">
        <f t="shared" si="22"/>
        <v>14.882228389667516</v>
      </c>
      <c r="AD53" s="201">
        <f t="shared" si="23"/>
        <v>274.40920428157978</v>
      </c>
      <c r="AE53">
        <f t="shared" si="24"/>
        <v>68.245569104828888</v>
      </c>
      <c r="AF53" s="201">
        <f t="shared" si="25"/>
        <v>342.65477338640869</v>
      </c>
    </row>
    <row r="54" spans="2:32" x14ac:dyDescent="0.3">
      <c r="B54" s="22">
        <v>74</v>
      </c>
      <c r="C54" s="20"/>
      <c r="D54" s="25">
        <v>24</v>
      </c>
      <c r="E54" s="7">
        <f t="shared" si="6"/>
        <v>4.5238934211693019E-2</v>
      </c>
      <c r="F54" s="55">
        <f t="shared" si="7"/>
        <v>1</v>
      </c>
      <c r="G54" s="6">
        <v>33</v>
      </c>
      <c r="H54" s="1" t="str">
        <f t="shared" ref="H54:H85" si="28">IF(AND(C54&lt;&gt;"",G54&lt;=$B$6),C54,"")</f>
        <v/>
      </c>
      <c r="I54" s="27" t="str">
        <f t="shared" ref="I54:I85" si="29">IF(AND(D54&lt;&gt;"",G54&lt;=$B$6),D54,"")</f>
        <v/>
      </c>
      <c r="J54" s="72">
        <f>$G$12*EXP(($I$15+$J$15*$G$12+$K$15*$G$7/1000+$L$15*$G$10)*(1/D54-1/$G$11))</f>
        <v>22.199174355570026</v>
      </c>
      <c r="K54" s="1">
        <f t="shared" si="26"/>
        <v>22.199174355570026</v>
      </c>
      <c r="L54" s="121">
        <f t="shared" ref="L54:L85" si="30">$N$14*(D54/100)^$O$14*K54^$P$14</f>
        <v>0.43329000481435942</v>
      </c>
      <c r="M54" s="121">
        <f t="shared" ref="M54:M85" si="31">$N$15*(D54/100)^$O$15*K54^$P$15</f>
        <v>0.35128071297707342</v>
      </c>
      <c r="N54" s="7">
        <f t="shared" si="8"/>
        <v>3.4225306146094765E-2</v>
      </c>
      <c r="O54" s="7">
        <f t="shared" si="9"/>
        <v>0.32756437642369701</v>
      </c>
      <c r="P54" s="7">
        <f t="shared" si="10"/>
        <v>0.35038606042458209</v>
      </c>
      <c r="Q54" s="120">
        <f t="shared" si="11"/>
        <v>3.4225306146094765E-2</v>
      </c>
      <c r="R54" s="120">
        <f t="shared" si="12"/>
        <v>0.29333907027760225</v>
      </c>
      <c r="S54" s="120">
        <f t="shared" si="13"/>
        <v>2.2821684000885079E-2</v>
      </c>
      <c r="T54" s="121">
        <f t="shared" si="14"/>
        <v>8.9465255249132625E-4</v>
      </c>
      <c r="U54" s="7">
        <f t="shared" si="27"/>
        <v>20.450213181017197</v>
      </c>
      <c r="V54" s="118">
        <f t="shared" si="15"/>
        <v>0</v>
      </c>
      <c r="W54" s="119">
        <f t="shared" si="16"/>
        <v>0.32756437642369701</v>
      </c>
      <c r="X54" s="134">
        <f t="shared" si="17"/>
        <v>2.2821684000885079E-2</v>
      </c>
      <c r="Y54" s="135">
        <f t="shared" si="18"/>
        <v>8.9465255249132625E-4</v>
      </c>
      <c r="Z54" s="201">
        <f t="shared" si="19"/>
        <v>199.43913957133657</v>
      </c>
      <c r="AA54" s="201">
        <f t="shared" si="20"/>
        <v>33.01595663334264</v>
      </c>
      <c r="AB54" s="201">
        <f t="shared" si="21"/>
        <v>20.924948703232211</v>
      </c>
      <c r="AC54" s="201">
        <f t="shared" si="22"/>
        <v>14.617400632091146</v>
      </c>
      <c r="AD54" s="201">
        <f t="shared" si="23"/>
        <v>267.99744554000256</v>
      </c>
      <c r="AE54">
        <f t="shared" si="24"/>
        <v>66.650964705798643</v>
      </c>
      <c r="AF54" s="201">
        <f t="shared" si="25"/>
        <v>334.64841024580119</v>
      </c>
    </row>
    <row r="55" spans="2:32" x14ac:dyDescent="0.3">
      <c r="B55" s="22">
        <v>75</v>
      </c>
      <c r="C55" s="20"/>
      <c r="D55" s="25">
        <v>23.8</v>
      </c>
      <c r="E55" s="7">
        <f t="shared" si="6"/>
        <v>4.4488093567485065E-2</v>
      </c>
      <c r="F55" s="55">
        <f t="shared" si="7"/>
        <v>1</v>
      </c>
      <c r="G55" s="6">
        <v>34</v>
      </c>
      <c r="H55" s="1" t="str">
        <f t="shared" si="28"/>
        <v/>
      </c>
      <c r="I55" s="27" t="str">
        <f t="shared" si="29"/>
        <v/>
      </c>
      <c r="J55" s="72">
        <f>$G$12*EXP(($I$15+$J$15*$G$12+$K$15*$G$7/1000+$L$15*$G$10)*(1/D55-1/$G$11))</f>
        <v>22.135152196835143</v>
      </c>
      <c r="K55" s="1">
        <f t="shared" si="26"/>
        <v>22.135152196835143</v>
      </c>
      <c r="L55" s="121">
        <f t="shared" si="30"/>
        <v>0.42542700646773823</v>
      </c>
      <c r="M55" s="121">
        <f t="shared" si="31"/>
        <v>0.3449246685422464</v>
      </c>
      <c r="N55" s="7">
        <f t="shared" si="8"/>
        <v>3.0787674359387517E-2</v>
      </c>
      <c r="O55" s="7">
        <f t="shared" si="9"/>
        <v>0.32079287176734822</v>
      </c>
      <c r="P55" s="7">
        <f t="shared" si="10"/>
        <v>0.34401320392033397</v>
      </c>
      <c r="Q55" s="120">
        <f t="shared" si="11"/>
        <v>3.0787674359387517E-2</v>
      </c>
      <c r="R55" s="120">
        <f t="shared" si="12"/>
        <v>0.29000519740796071</v>
      </c>
      <c r="S55" s="120">
        <f t="shared" si="13"/>
        <v>2.3220332152985745E-2</v>
      </c>
      <c r="T55" s="121">
        <f t="shared" si="14"/>
        <v>9.1146462191243893E-4</v>
      </c>
      <c r="U55" s="7">
        <f t="shared" si="27"/>
        <v>20.271451306839428</v>
      </c>
      <c r="V55" s="118">
        <f t="shared" si="15"/>
        <v>0</v>
      </c>
      <c r="W55" s="119">
        <f t="shared" si="16"/>
        <v>0.32079287176734822</v>
      </c>
      <c r="X55" s="134">
        <f t="shared" si="17"/>
        <v>2.3220332152985745E-2</v>
      </c>
      <c r="Y55" s="135">
        <f t="shared" si="18"/>
        <v>9.1146462191243893E-4</v>
      </c>
      <c r="Z55" s="201">
        <f t="shared" si="19"/>
        <v>195.71394531152586</v>
      </c>
      <c r="AA55" s="201">
        <f t="shared" si="20"/>
        <v>32.263782766659624</v>
      </c>
      <c r="AB55" s="201">
        <f t="shared" si="21"/>
        <v>20.537781082008884</v>
      </c>
      <c r="AC55" s="201">
        <f t="shared" si="22"/>
        <v>14.407264002549645</v>
      </c>
      <c r="AD55" s="201">
        <f t="shared" si="23"/>
        <v>262.92277316274402</v>
      </c>
      <c r="AE55">
        <f t="shared" si="24"/>
        <v>65.388893685574445</v>
      </c>
      <c r="AF55" s="201">
        <f t="shared" si="25"/>
        <v>328.31166684831845</v>
      </c>
    </row>
    <row r="56" spans="2:32" x14ac:dyDescent="0.3">
      <c r="B56" s="22">
        <v>65</v>
      </c>
      <c r="C56" s="20"/>
      <c r="D56" s="25">
        <v>23.75</v>
      </c>
      <c r="E56" s="7">
        <f t="shared" si="6"/>
        <v>4.4301365154137316E-2</v>
      </c>
      <c r="F56" s="55">
        <f t="shared" si="7"/>
        <v>1</v>
      </c>
      <c r="G56" s="6">
        <v>35</v>
      </c>
      <c r="H56" s="1" t="str">
        <f t="shared" si="28"/>
        <v/>
      </c>
      <c r="I56" s="27" t="str">
        <f t="shared" si="29"/>
        <v/>
      </c>
      <c r="J56" s="72">
        <f>$G$12*EXP(($I$15+$J$15*$G$12+$K$15*$G$7/1000+$L$15*$G$10)*(1/D56-1/$G$11))</f>
        <v>22.11900741372957</v>
      </c>
      <c r="K56" s="1">
        <f t="shared" si="26"/>
        <v>22.11900741372957</v>
      </c>
      <c r="L56" s="121">
        <f t="shared" si="30"/>
        <v>0.42347174508078178</v>
      </c>
      <c r="M56" s="121">
        <f t="shared" si="31"/>
        <v>0.34334396504355708</v>
      </c>
      <c r="N56" s="7">
        <f t="shared" si="8"/>
        <v>2.9963951636251675E-2</v>
      </c>
      <c r="O56" s="7">
        <f t="shared" si="9"/>
        <v>0.31910690728508329</v>
      </c>
      <c r="P56" s="7">
        <f t="shared" si="10"/>
        <v>0.34242823017527818</v>
      </c>
      <c r="Q56" s="120">
        <f t="shared" si="11"/>
        <v>2.9963951636251675E-2</v>
      </c>
      <c r="R56" s="120">
        <f t="shared" si="12"/>
        <v>0.28914295564883163</v>
      </c>
      <c r="S56" s="120">
        <f t="shared" si="13"/>
        <v>2.3321322890194895E-2</v>
      </c>
      <c r="T56" s="121">
        <f t="shared" si="14"/>
        <v>9.1573486827889461E-4</v>
      </c>
      <c r="U56" s="7">
        <f t="shared" si="27"/>
        <v>20.226758305987314</v>
      </c>
      <c r="V56" s="118">
        <f t="shared" si="15"/>
        <v>0</v>
      </c>
      <c r="W56" s="119">
        <f t="shared" si="16"/>
        <v>0.31910690728508329</v>
      </c>
      <c r="X56" s="134">
        <f t="shared" si="17"/>
        <v>2.3321322890194895E-2</v>
      </c>
      <c r="Y56" s="135">
        <f t="shared" si="18"/>
        <v>9.1573486827889461E-4</v>
      </c>
      <c r="Z56" s="201">
        <f t="shared" si="19"/>
        <v>194.78773143462919</v>
      </c>
      <c r="AA56" s="201">
        <f t="shared" si="20"/>
        <v>32.077329016849795</v>
      </c>
      <c r="AB56" s="201">
        <f t="shared" si="21"/>
        <v>20.441678661401539</v>
      </c>
      <c r="AC56" s="201">
        <f t="shared" si="22"/>
        <v>14.354969561533862</v>
      </c>
      <c r="AD56" s="201">
        <f t="shared" si="23"/>
        <v>261.6617086744144</v>
      </c>
      <c r="AE56">
        <f t="shared" si="24"/>
        <v>65.075266947326867</v>
      </c>
      <c r="AF56" s="201">
        <f t="shared" si="25"/>
        <v>326.73697562174129</v>
      </c>
    </row>
    <row r="57" spans="2:32" x14ac:dyDescent="0.3">
      <c r="B57" s="22">
        <v>70</v>
      </c>
      <c r="C57" s="20"/>
      <c r="D57" s="25">
        <v>23.7</v>
      </c>
      <c r="E57" s="7">
        <f t="shared" si="6"/>
        <v>4.4115029439871264E-2</v>
      </c>
      <c r="F57" s="55">
        <f t="shared" si="7"/>
        <v>1</v>
      </c>
      <c r="G57" s="6">
        <v>36</v>
      </c>
      <c r="H57" s="1" t="str">
        <f t="shared" si="28"/>
        <v/>
      </c>
      <c r="I57" s="27" t="str">
        <f t="shared" si="29"/>
        <v/>
      </c>
      <c r="J57" s="72">
        <f>$G$12*EXP(($I$15+$J$15*$G$12+$K$15*$G$7/1000+$L$15*$G$10)*(1/D57-1/$G$11))</f>
        <v>22.10280635936731</v>
      </c>
      <c r="K57" s="1">
        <f t="shared" si="26"/>
        <v>22.10280635936731</v>
      </c>
      <c r="L57" s="121">
        <f t="shared" si="30"/>
        <v>0.42152068258535513</v>
      </c>
      <c r="M57" s="121">
        <f t="shared" si="31"/>
        <v>0.34176658808953042</v>
      </c>
      <c r="N57" s="7">
        <f t="shared" si="8"/>
        <v>2.915440619998113E-2</v>
      </c>
      <c r="O57" s="7">
        <f t="shared" si="9"/>
        <v>0.31742370539081632</v>
      </c>
      <c r="P57" s="7">
        <f t="shared" si="10"/>
        <v>0.34084655565127897</v>
      </c>
      <c r="Q57" s="120">
        <f t="shared" si="11"/>
        <v>2.915440619998113E-2</v>
      </c>
      <c r="R57" s="120">
        <f t="shared" si="12"/>
        <v>0.28826929919083522</v>
      </c>
      <c r="S57" s="120">
        <f t="shared" si="13"/>
        <v>2.3422850260462647E-2</v>
      </c>
      <c r="T57" s="121">
        <f t="shared" si="14"/>
        <v>9.200324382514502E-4</v>
      </c>
      <c r="U57" s="7">
        <f t="shared" si="27"/>
        <v>20.182064277932774</v>
      </c>
      <c r="V57" s="118">
        <f t="shared" si="15"/>
        <v>0</v>
      </c>
      <c r="W57" s="119">
        <f t="shared" si="16"/>
        <v>0.31742370539081632</v>
      </c>
      <c r="X57" s="134">
        <f t="shared" si="17"/>
        <v>2.3422850260462647E-2</v>
      </c>
      <c r="Y57" s="135">
        <f t="shared" si="18"/>
        <v>9.200324382514502E-4</v>
      </c>
      <c r="Z57" s="201">
        <f t="shared" si="19"/>
        <v>193.86355357489759</v>
      </c>
      <c r="AA57" s="201">
        <f t="shared" si="20"/>
        <v>31.891509927576752</v>
      </c>
      <c r="AB57" s="201">
        <f t="shared" si="21"/>
        <v>20.345851491541996</v>
      </c>
      <c r="AC57" s="201">
        <f t="shared" si="22"/>
        <v>14.302771019925567</v>
      </c>
      <c r="AD57" s="201">
        <f t="shared" si="23"/>
        <v>260.40368601394192</v>
      </c>
      <c r="AE57">
        <f t="shared" si="24"/>
        <v>64.762396711667364</v>
      </c>
      <c r="AF57" s="201">
        <f t="shared" si="25"/>
        <v>325.16608272560927</v>
      </c>
    </row>
    <row r="58" spans="2:32" x14ac:dyDescent="0.3">
      <c r="B58" s="22">
        <v>54</v>
      </c>
      <c r="C58" s="20"/>
      <c r="D58" s="25">
        <v>23.6</v>
      </c>
      <c r="E58" s="7">
        <f t="shared" si="6"/>
        <v>4.374353610858428E-2</v>
      </c>
      <c r="F58" s="55">
        <f t="shared" si="7"/>
        <v>1</v>
      </c>
      <c r="G58" s="6">
        <v>37</v>
      </c>
      <c r="H58" s="1" t="str">
        <f t="shared" si="28"/>
        <v/>
      </c>
      <c r="I58" s="27" t="str">
        <f t="shared" si="29"/>
        <v/>
      </c>
      <c r="J58" s="72">
        <f>$G$12*EXP(($I$15+$J$15*$G$12+$K$15*$G$7/1000+$L$15*$G$10)*(1/D58-1/$G$11))</f>
        <v>22.070234273570662</v>
      </c>
      <c r="K58" s="1">
        <f t="shared" si="26"/>
        <v>22.070234273570662</v>
      </c>
      <c r="L58" s="121">
        <f t="shared" si="30"/>
        <v>0.41763116152774998</v>
      </c>
      <c r="M58" s="121">
        <f t="shared" si="31"/>
        <v>0.33862182085273651</v>
      </c>
      <c r="N58" s="7">
        <f t="shared" si="8"/>
        <v>2.7577629529615615E-2</v>
      </c>
      <c r="O58" s="7">
        <f t="shared" si="9"/>
        <v>0.31406558526108885</v>
      </c>
      <c r="P58" s="7">
        <f t="shared" si="10"/>
        <v>0.33769311042319039</v>
      </c>
      <c r="Q58" s="120">
        <f t="shared" si="11"/>
        <v>2.7577629529615615E-2</v>
      </c>
      <c r="R58" s="120">
        <f t="shared" si="12"/>
        <v>0.28648795573147323</v>
      </c>
      <c r="S58" s="120">
        <f t="shared" si="13"/>
        <v>2.3627525162101537E-2</v>
      </c>
      <c r="T58" s="121">
        <f t="shared" si="14"/>
        <v>9.2871042954612015E-4</v>
      </c>
      <c r="U58" s="7">
        <f t="shared" si="27"/>
        <v>20.092673111117932</v>
      </c>
      <c r="V58" s="118">
        <f t="shared" si="15"/>
        <v>0</v>
      </c>
      <c r="W58" s="119">
        <f t="shared" si="16"/>
        <v>0.31406558526108885</v>
      </c>
      <c r="X58" s="134">
        <f t="shared" si="17"/>
        <v>2.3627525162101537E-2</v>
      </c>
      <c r="Y58" s="135">
        <f t="shared" si="18"/>
        <v>9.2871042954612015E-4</v>
      </c>
      <c r="Z58" s="201">
        <f t="shared" si="19"/>
        <v>192.02131021097341</v>
      </c>
      <c r="AA58" s="201">
        <f t="shared" si="20"/>
        <v>31.521773270295956</v>
      </c>
      <c r="AB58" s="201">
        <f t="shared" si="21"/>
        <v>20.155021815925593</v>
      </c>
      <c r="AC58" s="201">
        <f t="shared" si="22"/>
        <v>14.198661660871684</v>
      </c>
      <c r="AD58" s="201">
        <f t="shared" si="23"/>
        <v>257.89676695806662</v>
      </c>
      <c r="AE58">
        <f t="shared" si="24"/>
        <v>64.138925942471175</v>
      </c>
      <c r="AF58" s="201">
        <f t="shared" si="25"/>
        <v>322.03569290053781</v>
      </c>
    </row>
    <row r="59" spans="2:32" x14ac:dyDescent="0.3">
      <c r="B59" s="22">
        <v>38</v>
      </c>
      <c r="C59" s="20"/>
      <c r="D59" s="25">
        <v>23.3</v>
      </c>
      <c r="E59" s="7">
        <f t="shared" si="6"/>
        <v>4.2638480892684065E-2</v>
      </c>
      <c r="F59" s="55">
        <f t="shared" si="7"/>
        <v>1</v>
      </c>
      <c r="G59" s="6">
        <v>38</v>
      </c>
      <c r="H59" s="1" t="str">
        <f t="shared" si="28"/>
        <v/>
      </c>
      <c r="I59" s="27" t="str">
        <f t="shared" si="29"/>
        <v/>
      </c>
      <c r="J59" s="72">
        <f>$G$12*EXP(($I$15+$J$15*$G$12+$K$15*$G$7/1000+$L$15*$G$10)*(1/D59-1/$G$11))</f>
        <v>21.971136902683117</v>
      </c>
      <c r="K59" s="1">
        <f t="shared" si="26"/>
        <v>21.971136902683117</v>
      </c>
      <c r="L59" s="121">
        <f t="shared" si="30"/>
        <v>0.40606356128045701</v>
      </c>
      <c r="M59" s="121">
        <f t="shared" si="31"/>
        <v>0.32926754000119252</v>
      </c>
      <c r="N59" s="7">
        <f t="shared" si="8"/>
        <v>2.3181348762800622E-2</v>
      </c>
      <c r="O59" s="7">
        <f t="shared" si="9"/>
        <v>0.30405742203131886</v>
      </c>
      <c r="P59" s="7">
        <f t="shared" si="10"/>
        <v>0.3283121165540886</v>
      </c>
      <c r="Q59" s="120">
        <f t="shared" si="11"/>
        <v>2.3181348762800622E-2</v>
      </c>
      <c r="R59" s="120">
        <f t="shared" si="12"/>
        <v>0.28087607326851821</v>
      </c>
      <c r="S59" s="120">
        <f t="shared" si="13"/>
        <v>2.4254694522769737E-2</v>
      </c>
      <c r="T59" s="121">
        <f t="shared" si="14"/>
        <v>9.5542344710392024E-4</v>
      </c>
      <c r="U59" s="7">
        <f t="shared" si="27"/>
        <v>19.824474188701984</v>
      </c>
      <c r="V59" s="118">
        <f t="shared" si="15"/>
        <v>0</v>
      </c>
      <c r="W59" s="119">
        <f t="shared" si="16"/>
        <v>0.30405742203131886</v>
      </c>
      <c r="X59" s="134">
        <f t="shared" si="17"/>
        <v>2.4254694522769737E-2</v>
      </c>
      <c r="Y59" s="135">
        <f t="shared" si="18"/>
        <v>9.5542344710392024E-4</v>
      </c>
      <c r="Z59" s="201">
        <f t="shared" si="19"/>
        <v>186.54355689349362</v>
      </c>
      <c r="AA59" s="201">
        <f t="shared" si="20"/>
        <v>30.42773100179144</v>
      </c>
      <c r="AB59" s="201">
        <f t="shared" si="21"/>
        <v>19.589110472831262</v>
      </c>
      <c r="AC59" s="201">
        <f t="shared" si="22"/>
        <v>13.888635849027859</v>
      </c>
      <c r="AD59" s="201">
        <f t="shared" si="23"/>
        <v>250.44903421714417</v>
      </c>
      <c r="AE59">
        <f t="shared" si="24"/>
        <v>62.286674809803756</v>
      </c>
      <c r="AF59" s="201">
        <f t="shared" si="25"/>
        <v>312.73570902694792</v>
      </c>
    </row>
    <row r="60" spans="2:32" x14ac:dyDescent="0.3">
      <c r="B60" s="22">
        <v>34</v>
      </c>
      <c r="C60" s="20"/>
      <c r="D60" s="25">
        <v>22.95</v>
      </c>
      <c r="E60" s="7">
        <f t="shared" si="6"/>
        <v>4.136711761568445E-2</v>
      </c>
      <c r="F60" s="55">
        <f t="shared" si="7"/>
        <v>1</v>
      </c>
      <c r="G60" s="6">
        <v>39</v>
      </c>
      <c r="H60" s="1" t="str">
        <f t="shared" si="28"/>
        <v/>
      </c>
      <c r="I60" s="27" t="str">
        <f t="shared" si="29"/>
        <v/>
      </c>
      <c r="J60" s="72">
        <f>$G$12*EXP(($I$15+$J$15*$G$12+$K$15*$G$7/1000+$L$15*$G$10)*(1/D60-1/$G$11))</f>
        <v>21.852835790972868</v>
      </c>
      <c r="K60" s="1">
        <f t="shared" si="26"/>
        <v>21.852835790972868</v>
      </c>
      <c r="L60" s="121">
        <f t="shared" si="30"/>
        <v>0.39275985602806057</v>
      </c>
      <c r="M60" s="121">
        <f t="shared" si="31"/>
        <v>0.31850632557066161</v>
      </c>
      <c r="N60" s="7">
        <f t="shared" si="8"/>
        <v>1.866877679840484E-2</v>
      </c>
      <c r="O60" s="7">
        <f t="shared" si="9"/>
        <v>0.2925065138347937</v>
      </c>
      <c r="P60" s="7">
        <f t="shared" si="10"/>
        <v>0.31751839628052497</v>
      </c>
      <c r="Q60" s="120">
        <f t="shared" si="11"/>
        <v>1.866877679840484E-2</v>
      </c>
      <c r="R60" s="120">
        <f t="shared" si="12"/>
        <v>0.27383773703638886</v>
      </c>
      <c r="S60" s="120">
        <f t="shared" si="13"/>
        <v>2.5011882445731271E-2</v>
      </c>
      <c r="T60" s="121">
        <f t="shared" si="14"/>
        <v>9.8792929013663544E-4</v>
      </c>
      <c r="U60" s="7">
        <f t="shared" si="27"/>
        <v>19.511525489331696</v>
      </c>
      <c r="V60" s="118">
        <f t="shared" si="15"/>
        <v>0</v>
      </c>
      <c r="W60" s="119">
        <f t="shared" si="16"/>
        <v>0.2925065138347937</v>
      </c>
      <c r="X60" s="134">
        <f t="shared" si="17"/>
        <v>2.5011882445731271E-2</v>
      </c>
      <c r="Y60" s="135">
        <f t="shared" si="18"/>
        <v>9.8792929013663544E-4</v>
      </c>
      <c r="Z60" s="201">
        <f t="shared" si="19"/>
        <v>180.24594506203755</v>
      </c>
      <c r="AA60" s="201">
        <f t="shared" si="20"/>
        <v>29.17996236380197</v>
      </c>
      <c r="AB60" s="201">
        <f t="shared" si="21"/>
        <v>18.941288525474544</v>
      </c>
      <c r="AC60" s="201">
        <f t="shared" si="22"/>
        <v>13.531305297883847</v>
      </c>
      <c r="AD60" s="201">
        <f t="shared" si="23"/>
        <v>241.89850124919789</v>
      </c>
      <c r="AE60">
        <f t="shared" si="24"/>
        <v>60.160157260675518</v>
      </c>
      <c r="AF60" s="201">
        <f t="shared" si="25"/>
        <v>302.0586585098734</v>
      </c>
    </row>
    <row r="61" spans="2:32" x14ac:dyDescent="0.3">
      <c r="B61" s="22">
        <v>57</v>
      </c>
      <c r="C61" s="20"/>
      <c r="D61" s="25">
        <v>22.8</v>
      </c>
      <c r="E61" s="7">
        <f t="shared" si="6"/>
        <v>4.0828138126052953E-2</v>
      </c>
      <c r="F61" s="55">
        <f t="shared" si="7"/>
        <v>1</v>
      </c>
      <c r="G61" s="6">
        <v>40</v>
      </c>
      <c r="H61" s="1" t="str">
        <f t="shared" si="28"/>
        <v/>
      </c>
      <c r="I61" s="27" t="str">
        <f t="shared" si="29"/>
        <v/>
      </c>
      <c r="J61" s="72">
        <f>$G$12*EXP(($I$15+$J$15*$G$12+$K$15*$G$7/1000+$L$15*$G$10)*(1/D61-1/$G$11))</f>
        <v>21.801224245464759</v>
      </c>
      <c r="K61" s="1">
        <f t="shared" si="26"/>
        <v>21.801224245464759</v>
      </c>
      <c r="L61" s="121">
        <f t="shared" si="30"/>
        <v>0.38712165734774945</v>
      </c>
      <c r="M61" s="121">
        <f t="shared" si="31"/>
        <v>0.31394466855620118</v>
      </c>
      <c r="N61" s="7">
        <f t="shared" si="8"/>
        <v>1.6931006582104002E-2</v>
      </c>
      <c r="O61" s="7">
        <f t="shared" si="9"/>
        <v>0.28759735589412322</v>
      </c>
      <c r="P61" s="7">
        <f t="shared" si="10"/>
        <v>0.3129423466432818</v>
      </c>
      <c r="Q61" s="120">
        <f t="shared" si="11"/>
        <v>1.6931006582104002E-2</v>
      </c>
      <c r="R61" s="120">
        <f t="shared" si="12"/>
        <v>0.27066634931201922</v>
      </c>
      <c r="S61" s="120">
        <f t="shared" si="13"/>
        <v>2.534499074915858E-2</v>
      </c>
      <c r="T61" s="121">
        <f t="shared" si="14"/>
        <v>1.0023219129193794E-3</v>
      </c>
      <c r="U61" s="7">
        <f t="shared" si="27"/>
        <v>19.37738750245483</v>
      </c>
      <c r="V61" s="118">
        <f t="shared" si="15"/>
        <v>0</v>
      </c>
      <c r="W61" s="119">
        <f t="shared" si="16"/>
        <v>0.28759735589412322</v>
      </c>
      <c r="X61" s="134">
        <f t="shared" si="17"/>
        <v>2.534499074915858E-2</v>
      </c>
      <c r="Y61" s="135">
        <f t="shared" si="18"/>
        <v>1.0023219129193794E-3</v>
      </c>
      <c r="Z61" s="201">
        <f t="shared" si="19"/>
        <v>177.57774933600521</v>
      </c>
      <c r="AA61" s="201">
        <f t="shared" si="20"/>
        <v>28.654587459952012</v>
      </c>
      <c r="AB61" s="201">
        <f t="shared" si="21"/>
        <v>18.667719109094875</v>
      </c>
      <c r="AC61" s="201">
        <f t="shared" si="22"/>
        <v>13.379603594065369</v>
      </c>
      <c r="AD61" s="201">
        <f t="shared" si="23"/>
        <v>238.27965949911749</v>
      </c>
      <c r="AE61">
        <f t="shared" si="24"/>
        <v>59.26015131743052</v>
      </c>
      <c r="AF61" s="201">
        <f t="shared" si="25"/>
        <v>297.53981081654803</v>
      </c>
    </row>
    <row r="62" spans="2:32" x14ac:dyDescent="0.3">
      <c r="B62" s="22">
        <v>23</v>
      </c>
      <c r="C62" s="20"/>
      <c r="D62" s="25">
        <v>22.75</v>
      </c>
      <c r="E62" s="7">
        <f t="shared" si="6"/>
        <v>4.0649263694339181E-2</v>
      </c>
      <c r="F62" s="55">
        <f t="shared" si="7"/>
        <v>1</v>
      </c>
      <c r="G62" s="6">
        <v>41</v>
      </c>
      <c r="H62" s="1" t="str">
        <f t="shared" si="28"/>
        <v/>
      </c>
      <c r="I62" s="27" t="str">
        <f t="shared" si="29"/>
        <v/>
      </c>
      <c r="J62" s="72">
        <f>$G$12*EXP(($I$15+$J$15*$G$12+$K$15*$G$7/1000+$L$15*$G$10)*(1/D62-1/$G$11))</f>
        <v>21.783896554633195</v>
      </c>
      <c r="K62" s="1">
        <f t="shared" si="26"/>
        <v>21.783896554633195</v>
      </c>
      <c r="L62" s="121">
        <f t="shared" si="30"/>
        <v>0.38525072351046741</v>
      </c>
      <c r="M62" s="121">
        <f t="shared" si="31"/>
        <v>0.31243083524348908</v>
      </c>
      <c r="N62" s="7">
        <f t="shared" si="8"/>
        <v>1.6377171250308655E-2</v>
      </c>
      <c r="O62" s="7">
        <f t="shared" si="9"/>
        <v>0.2859664615435073</v>
      </c>
      <c r="P62" s="7">
        <f t="shared" si="10"/>
        <v>0.31142365238105019</v>
      </c>
      <c r="Q62" s="120">
        <f t="shared" si="11"/>
        <v>1.6377171250308655E-2</v>
      </c>
      <c r="R62" s="120">
        <f t="shared" si="12"/>
        <v>0.26958929029319867</v>
      </c>
      <c r="S62" s="120">
        <f t="shared" si="13"/>
        <v>2.5457190837542887E-2</v>
      </c>
      <c r="T62" s="121">
        <f t="shared" si="14"/>
        <v>1.0071828624388934E-3</v>
      </c>
      <c r="U62" s="7">
        <f t="shared" si="27"/>
        <v>19.332672496321759</v>
      </c>
      <c r="V62" s="118">
        <f t="shared" si="15"/>
        <v>0</v>
      </c>
      <c r="W62" s="119">
        <f t="shared" si="16"/>
        <v>0.2859664615435073</v>
      </c>
      <c r="X62" s="134">
        <f t="shared" si="17"/>
        <v>2.5457190837542887E-2</v>
      </c>
      <c r="Y62" s="135">
        <f t="shared" si="18"/>
        <v>1.0071828624388934E-3</v>
      </c>
      <c r="Z62" s="201">
        <f t="shared" si="19"/>
        <v>176.69246304347047</v>
      </c>
      <c r="AA62" s="201">
        <f t="shared" si="20"/>
        <v>28.48070894403055</v>
      </c>
      <c r="AB62" s="201">
        <f t="shared" si="21"/>
        <v>18.577069756700066</v>
      </c>
      <c r="AC62" s="201">
        <f t="shared" si="22"/>
        <v>13.329228405159999</v>
      </c>
      <c r="AD62" s="201">
        <f t="shared" si="23"/>
        <v>237.07947014936107</v>
      </c>
      <c r="AE62">
        <f t="shared" si="24"/>
        <v>58.961664226146098</v>
      </c>
      <c r="AF62" s="201">
        <f t="shared" si="25"/>
        <v>296.04113437550717</v>
      </c>
    </row>
    <row r="63" spans="2:32" x14ac:dyDescent="0.3">
      <c r="B63" s="22">
        <v>61</v>
      </c>
      <c r="C63" s="20"/>
      <c r="D63" s="25">
        <v>22.7</v>
      </c>
      <c r="E63" s="7">
        <f t="shared" si="6"/>
        <v>4.0470781961707107E-2</v>
      </c>
      <c r="F63" s="55">
        <f t="shared" si="7"/>
        <v>1</v>
      </c>
      <c r="G63" s="6">
        <v>42</v>
      </c>
      <c r="H63" s="1" t="str">
        <f t="shared" si="28"/>
        <v/>
      </c>
      <c r="I63" s="27" t="str">
        <f t="shared" si="29"/>
        <v/>
      </c>
      <c r="J63" s="72">
        <f>$G$12*EXP(($I$15+$J$15*$G$12+$K$15*$G$7/1000+$L$15*$G$10)*(1/D63-1/$G$11))</f>
        <v>21.766506393594945</v>
      </c>
      <c r="K63" s="1">
        <f t="shared" si="26"/>
        <v>21.766506393594945</v>
      </c>
      <c r="L63" s="121">
        <f t="shared" si="30"/>
        <v>0.38338402569863067</v>
      </c>
      <c r="M63" s="121">
        <f t="shared" si="31"/>
        <v>0.31092036451792993</v>
      </c>
      <c r="N63" s="7">
        <f t="shared" si="8"/>
        <v>1.5835864541875744E-2</v>
      </c>
      <c r="O63" s="7">
        <f t="shared" si="9"/>
        <v>0.28433831178533564</v>
      </c>
      <c r="P63" s="7">
        <f t="shared" si="10"/>
        <v>0.30990828856443348</v>
      </c>
      <c r="Q63" s="120">
        <f t="shared" si="11"/>
        <v>1.5835864541875744E-2</v>
      </c>
      <c r="R63" s="120">
        <f t="shared" si="12"/>
        <v>0.2685024472434599</v>
      </c>
      <c r="S63" s="120">
        <f t="shared" si="13"/>
        <v>2.5569976779097836E-2</v>
      </c>
      <c r="T63" s="121">
        <f t="shared" si="14"/>
        <v>1.0120759534964496E-3</v>
      </c>
      <c r="U63" s="7">
        <f t="shared" si="27"/>
        <v>19.287956303819762</v>
      </c>
      <c r="V63" s="118">
        <f t="shared" si="15"/>
        <v>0</v>
      </c>
      <c r="W63" s="119">
        <f t="shared" si="16"/>
        <v>0.28433831178533564</v>
      </c>
      <c r="X63" s="134">
        <f t="shared" si="17"/>
        <v>2.5569976779097836E-2</v>
      </c>
      <c r="Y63" s="135">
        <f t="shared" si="18"/>
        <v>1.0120759534964496E-3</v>
      </c>
      <c r="Z63" s="201">
        <f t="shared" si="19"/>
        <v>175.80923476459247</v>
      </c>
      <c r="AA63" s="201">
        <f t="shared" si="20"/>
        <v>28.307452597456816</v>
      </c>
      <c r="AB63" s="201">
        <f t="shared" si="21"/>
        <v>18.486690170126941</v>
      </c>
      <c r="AC63" s="201">
        <f t="shared" si="22"/>
        <v>13.278949250836709</v>
      </c>
      <c r="AD63" s="201">
        <f t="shared" si="23"/>
        <v>235.88232678301293</v>
      </c>
      <c r="AE63">
        <f t="shared" si="24"/>
        <v>58.663934670935319</v>
      </c>
      <c r="AF63" s="201">
        <f t="shared" si="25"/>
        <v>294.54626145394826</v>
      </c>
    </row>
    <row r="64" spans="2:32" x14ac:dyDescent="0.3">
      <c r="B64" s="22">
        <v>1</v>
      </c>
      <c r="C64" s="21">
        <v>18.5</v>
      </c>
      <c r="D64" s="25">
        <v>22.6</v>
      </c>
      <c r="E64" s="7">
        <f t="shared" si="6"/>
        <v>4.0114996593688071E-2</v>
      </c>
      <c r="F64" s="55">
        <f t="shared" si="7"/>
        <v>1</v>
      </c>
      <c r="G64" s="6">
        <v>43</v>
      </c>
      <c r="H64" s="1" t="str">
        <f t="shared" si="28"/>
        <v/>
      </c>
      <c r="I64" s="27" t="str">
        <f t="shared" si="29"/>
        <v/>
      </c>
      <c r="J64" s="72">
        <f>$G$12*EXP(($I$15+$J$15*$G$12+$K$15*$G$7/1000+$L$15*$G$10)*(1/D64-1/$G$11))</f>
        <v>21.731537327128052</v>
      </c>
      <c r="K64" s="122">
        <f t="shared" si="26"/>
        <v>18.5</v>
      </c>
      <c r="L64" s="121">
        <f t="shared" si="30"/>
        <v>0.31956901403217203</v>
      </c>
      <c r="M64" s="121">
        <f t="shared" si="31"/>
        <v>0.25560485838739083</v>
      </c>
      <c r="N64" s="7">
        <f t="shared" si="8"/>
        <v>1.2277934976128E-2</v>
      </c>
      <c r="O64" s="7">
        <f t="shared" si="9"/>
        <v>0.23334137977050259</v>
      </c>
      <c r="P64" s="7">
        <f t="shared" si="10"/>
        <v>0.25475649927401739</v>
      </c>
      <c r="Q64" s="120">
        <f t="shared" si="11"/>
        <v>1.2277934976128E-2</v>
      </c>
      <c r="R64" s="120">
        <f t="shared" si="12"/>
        <v>0.22106344479437459</v>
      </c>
      <c r="S64" s="120">
        <f t="shared" si="13"/>
        <v>2.1415119503514796E-2</v>
      </c>
      <c r="T64" s="121">
        <f t="shared" si="14"/>
        <v>8.483591133734425E-4</v>
      </c>
      <c r="U64" s="7">
        <f t="shared" si="27"/>
        <v>18.725532921912404</v>
      </c>
      <c r="V64" s="118">
        <f t="shared" si="15"/>
        <v>0</v>
      </c>
      <c r="W64" s="119">
        <f t="shared" si="16"/>
        <v>0.23334137977050259</v>
      </c>
      <c r="X64" s="134">
        <f t="shared" si="17"/>
        <v>2.1415119503514796E-2</v>
      </c>
      <c r="Y64" s="135">
        <f t="shared" si="18"/>
        <v>8.483591133734425E-4</v>
      </c>
      <c r="Z64" s="201">
        <f t="shared" si="19"/>
        <v>139.60773612148412</v>
      </c>
      <c r="AA64" s="201">
        <f t="shared" si="20"/>
        <v>23.481170524610544</v>
      </c>
      <c r="AB64" s="201">
        <f t="shared" si="21"/>
        <v>20.993891502931202</v>
      </c>
      <c r="AC64" s="201">
        <f t="shared" si="22"/>
        <v>14.779542952143634</v>
      </c>
      <c r="AD64" s="201">
        <f t="shared" si="23"/>
        <v>198.86234110116951</v>
      </c>
      <c r="AE64">
        <f t="shared" si="24"/>
        <v>49.457064231860855</v>
      </c>
      <c r="AF64" s="201">
        <f t="shared" si="25"/>
        <v>248.31940533303037</v>
      </c>
    </row>
    <row r="65" spans="2:32" x14ac:dyDescent="0.3">
      <c r="B65" s="22">
        <v>27</v>
      </c>
      <c r="C65" s="20"/>
      <c r="D65" s="25">
        <v>22.6</v>
      </c>
      <c r="E65" s="7">
        <f t="shared" si="6"/>
        <v>4.0114996593688071E-2</v>
      </c>
      <c r="F65" s="55">
        <f t="shared" si="7"/>
        <v>1</v>
      </c>
      <c r="G65" s="6">
        <v>44</v>
      </c>
      <c r="H65" s="1" t="str">
        <f t="shared" si="28"/>
        <v/>
      </c>
      <c r="I65" s="27" t="str">
        <f t="shared" si="29"/>
        <v/>
      </c>
      <c r="J65" s="72">
        <f>$G$12*EXP(($I$15+$J$15*$G$12+$K$15*$G$7/1000+$L$15*$G$10)*(1/D65-1/$G$11))</f>
        <v>21.731537327128052</v>
      </c>
      <c r="K65" s="1">
        <f t="shared" si="26"/>
        <v>21.731537327128052</v>
      </c>
      <c r="L65" s="121">
        <f t="shared" si="30"/>
        <v>0.37966334577827376</v>
      </c>
      <c r="M65" s="121">
        <f t="shared" si="31"/>
        <v>0.30790951824089374</v>
      </c>
      <c r="N65" s="7">
        <f t="shared" si="8"/>
        <v>1.4790380227291823E-2</v>
      </c>
      <c r="O65" s="7">
        <f t="shared" si="9"/>
        <v>0.28109024329228161</v>
      </c>
      <c r="P65" s="7">
        <f t="shared" si="10"/>
        <v>0.30688755861327899</v>
      </c>
      <c r="Q65" s="120">
        <f t="shared" si="11"/>
        <v>1.4790380227291823E-2</v>
      </c>
      <c r="R65" s="120">
        <f t="shared" si="12"/>
        <v>0.26629986306498976</v>
      </c>
      <c r="S65" s="120">
        <f t="shared" si="13"/>
        <v>2.5797315320997383E-2</v>
      </c>
      <c r="T65" s="121">
        <f t="shared" si="14"/>
        <v>1.0219596276147547E-3</v>
      </c>
      <c r="U65" s="7">
        <f t="shared" si="27"/>
        <v>19.198520324430422</v>
      </c>
      <c r="V65" s="118">
        <f t="shared" si="15"/>
        <v>0</v>
      </c>
      <c r="W65" s="119">
        <f t="shared" si="16"/>
        <v>0.28109024329228161</v>
      </c>
      <c r="X65" s="134">
        <f t="shared" si="17"/>
        <v>2.5797315320997383E-2</v>
      </c>
      <c r="Y65" s="135">
        <f t="shared" si="18"/>
        <v>1.0219596276147547E-3</v>
      </c>
      <c r="Z65" s="201">
        <f t="shared" si="19"/>
        <v>174.04895675986523</v>
      </c>
      <c r="AA65" s="201">
        <f t="shared" si="20"/>
        <v>27.962803868777964</v>
      </c>
      <c r="AB65" s="201">
        <f t="shared" si="21"/>
        <v>18.306739187014426</v>
      </c>
      <c r="AC65" s="201">
        <f t="shared" si="22"/>
        <v>13.17867907432532</v>
      </c>
      <c r="AD65" s="201">
        <f t="shared" si="23"/>
        <v>233.49717888998293</v>
      </c>
      <c r="AE65">
        <f t="shared" si="24"/>
        <v>58.070748389938757</v>
      </c>
      <c r="AF65" s="201">
        <f t="shared" si="25"/>
        <v>291.56792727992172</v>
      </c>
    </row>
    <row r="66" spans="2:32" x14ac:dyDescent="0.3">
      <c r="B66" s="22">
        <v>37</v>
      </c>
      <c r="C66" s="20"/>
      <c r="D66" s="25">
        <v>22.6</v>
      </c>
      <c r="E66" s="7">
        <f t="shared" si="6"/>
        <v>4.0114996593688071E-2</v>
      </c>
      <c r="F66" s="55">
        <f t="shared" si="7"/>
        <v>1</v>
      </c>
      <c r="G66" s="6">
        <v>45</v>
      </c>
      <c r="H66" s="1" t="str">
        <f t="shared" si="28"/>
        <v/>
      </c>
      <c r="I66" s="27" t="str">
        <f t="shared" si="29"/>
        <v/>
      </c>
      <c r="J66" s="72">
        <f>$G$12*EXP(($I$15+$J$15*$G$12+$K$15*$G$7/1000+$L$15*$G$10)*(1/D66-1/$G$11))</f>
        <v>21.731537327128052</v>
      </c>
      <c r="K66" s="1">
        <f t="shared" si="26"/>
        <v>21.731537327128052</v>
      </c>
      <c r="L66" s="121">
        <f t="shared" si="30"/>
        <v>0.37966334577827376</v>
      </c>
      <c r="M66" s="121">
        <f t="shared" si="31"/>
        <v>0.30790951824089374</v>
      </c>
      <c r="N66" s="7">
        <f t="shared" si="8"/>
        <v>1.4790380227291823E-2</v>
      </c>
      <c r="O66" s="7">
        <f t="shared" si="9"/>
        <v>0.28109024329228161</v>
      </c>
      <c r="P66" s="7">
        <f t="shared" si="10"/>
        <v>0.30688755861327899</v>
      </c>
      <c r="Q66" s="120">
        <f t="shared" si="11"/>
        <v>1.4790380227291823E-2</v>
      </c>
      <c r="R66" s="120">
        <f t="shared" si="12"/>
        <v>0.26629986306498976</v>
      </c>
      <c r="S66" s="120">
        <f t="shared" si="13"/>
        <v>2.5797315320997383E-2</v>
      </c>
      <c r="T66" s="121">
        <f t="shared" si="14"/>
        <v>1.0219596276147547E-3</v>
      </c>
      <c r="U66" s="7">
        <f t="shared" si="27"/>
        <v>19.198520324430422</v>
      </c>
      <c r="V66" s="118">
        <f t="shared" si="15"/>
        <v>0</v>
      </c>
      <c r="W66" s="119">
        <f t="shared" si="16"/>
        <v>0.28109024329228161</v>
      </c>
      <c r="X66" s="134">
        <f t="shared" si="17"/>
        <v>2.5797315320997383E-2</v>
      </c>
      <c r="Y66" s="135">
        <f t="shared" si="18"/>
        <v>1.0219596276147547E-3</v>
      </c>
      <c r="Z66" s="201">
        <f t="shared" si="19"/>
        <v>174.04895675986523</v>
      </c>
      <c r="AA66" s="201">
        <f t="shared" si="20"/>
        <v>27.962803868777964</v>
      </c>
      <c r="AB66" s="201">
        <f t="shared" si="21"/>
        <v>18.306739187014426</v>
      </c>
      <c r="AC66" s="201">
        <f t="shared" si="22"/>
        <v>13.17867907432532</v>
      </c>
      <c r="AD66" s="201">
        <f t="shared" si="23"/>
        <v>233.49717888998293</v>
      </c>
      <c r="AE66">
        <f t="shared" si="24"/>
        <v>58.070748389938757</v>
      </c>
      <c r="AF66" s="201">
        <f t="shared" si="25"/>
        <v>291.56792727992172</v>
      </c>
    </row>
    <row r="67" spans="2:32" x14ac:dyDescent="0.3">
      <c r="B67" s="22">
        <v>76</v>
      </c>
      <c r="C67" s="20"/>
      <c r="D67" s="25">
        <v>22.2</v>
      </c>
      <c r="E67" s="7">
        <f t="shared" si="6"/>
        <v>3.870756308487984E-2</v>
      </c>
      <c r="F67" s="55">
        <f t="shared" si="7"/>
        <v>1</v>
      </c>
      <c r="G67" s="6">
        <v>46</v>
      </c>
      <c r="H67" s="1" t="str">
        <f t="shared" si="28"/>
        <v/>
      </c>
      <c r="I67" s="27" t="str">
        <f t="shared" si="29"/>
        <v/>
      </c>
      <c r="J67" s="72">
        <f>$G$12*EXP(($I$15+$J$15*$G$12+$K$15*$G$7/1000+$L$15*$G$10)*(1/D67-1/$G$11))</f>
        <v>21.589094528444001</v>
      </c>
      <c r="K67" s="1">
        <f t="shared" si="26"/>
        <v>21.589094528444001</v>
      </c>
      <c r="L67" s="121">
        <f t="shared" si="30"/>
        <v>0.36495045057942022</v>
      </c>
      <c r="M67" s="121">
        <f t="shared" si="31"/>
        <v>0.29600100941075652</v>
      </c>
      <c r="N67" s="7">
        <f t="shared" si="8"/>
        <v>1.1085559866580439E-2</v>
      </c>
      <c r="O67" s="7">
        <f t="shared" si="9"/>
        <v>0.26820762821644895</v>
      </c>
      <c r="P67" s="7">
        <f t="shared" si="10"/>
        <v>0.29493817488579221</v>
      </c>
      <c r="Q67" s="120">
        <f t="shared" si="11"/>
        <v>1.1085559866580439E-2</v>
      </c>
      <c r="R67" s="120">
        <f t="shared" si="12"/>
        <v>0.2571220683498685</v>
      </c>
      <c r="S67" s="120">
        <f t="shared" si="13"/>
        <v>2.6730546669343269E-2</v>
      </c>
      <c r="T67" s="121">
        <f t="shared" si="14"/>
        <v>1.0628345249643067E-3</v>
      </c>
      <c r="U67" s="7">
        <f t="shared" si="27"/>
        <v>18.840727148908798</v>
      </c>
      <c r="V67" s="118">
        <f t="shared" si="15"/>
        <v>0</v>
      </c>
      <c r="W67" s="119">
        <f t="shared" si="16"/>
        <v>0.26820762821644895</v>
      </c>
      <c r="X67" s="134">
        <f t="shared" si="17"/>
        <v>2.6730546669343269E-2</v>
      </c>
      <c r="Y67" s="135">
        <f t="shared" si="18"/>
        <v>1.0628345249643067E-3</v>
      </c>
      <c r="Z67" s="201">
        <f t="shared" si="19"/>
        <v>167.09039207176403</v>
      </c>
      <c r="AA67" s="201">
        <f t="shared" si="20"/>
        <v>26.608968066658509</v>
      </c>
      <c r="AB67" s="201">
        <f t="shared" si="21"/>
        <v>17.597670406642628</v>
      </c>
      <c r="AC67" s="201">
        <f t="shared" si="22"/>
        <v>12.781441186087386</v>
      </c>
      <c r="AD67" s="201">
        <f t="shared" si="23"/>
        <v>224.07847173115258</v>
      </c>
      <c r="AE67">
        <f t="shared" si="24"/>
        <v>55.72831591953765</v>
      </c>
      <c r="AF67" s="201">
        <f t="shared" si="25"/>
        <v>279.80678765069024</v>
      </c>
    </row>
    <row r="68" spans="2:32" x14ac:dyDescent="0.3">
      <c r="B68" s="22">
        <v>12</v>
      </c>
      <c r="C68" s="20"/>
      <c r="D68" s="25">
        <v>22.15</v>
      </c>
      <c r="E68" s="7">
        <f t="shared" si="6"/>
        <v>3.8533401042146455E-2</v>
      </c>
      <c r="F68" s="55">
        <f t="shared" si="7"/>
        <v>1</v>
      </c>
      <c r="G68" s="6">
        <v>47</v>
      </c>
      <c r="H68" s="1" t="str">
        <f t="shared" si="28"/>
        <v/>
      </c>
      <c r="I68" s="27" t="str">
        <f t="shared" si="29"/>
        <v/>
      </c>
      <c r="J68" s="72">
        <f>$G$12*EXP(($I$15+$J$15*$G$12+$K$15*$G$7/1000+$L$15*$G$10)*(1/D68-1/$G$11))</f>
        <v>21.570994706156029</v>
      </c>
      <c r="K68" s="1">
        <f t="shared" si="26"/>
        <v>21.570994706156029</v>
      </c>
      <c r="L68" s="121">
        <f t="shared" si="30"/>
        <v>0.36313047587342567</v>
      </c>
      <c r="M68" s="121">
        <f t="shared" si="31"/>
        <v>0.29452765045389884</v>
      </c>
      <c r="N68" s="7">
        <f t="shared" si="8"/>
        <v>1.0673987339186088E-2</v>
      </c>
      <c r="O68" s="7">
        <f t="shared" si="9"/>
        <v>0.26660962966946866</v>
      </c>
      <c r="P68" s="7">
        <f t="shared" si="10"/>
        <v>0.29345955112414224</v>
      </c>
      <c r="Q68" s="120">
        <f t="shared" si="11"/>
        <v>1.0673987339186088E-2</v>
      </c>
      <c r="R68" s="120">
        <f t="shared" si="12"/>
        <v>0.2559356423302826</v>
      </c>
      <c r="S68" s="120">
        <f t="shared" si="13"/>
        <v>2.6849921454673575E-2</v>
      </c>
      <c r="T68" s="121">
        <f t="shared" si="14"/>
        <v>1.0680993297565999E-3</v>
      </c>
      <c r="U68" s="7">
        <f t="shared" si="27"/>
        <v>18.795997305939753</v>
      </c>
      <c r="V68" s="118">
        <f t="shared" si="15"/>
        <v>0</v>
      </c>
      <c r="W68" s="119">
        <f t="shared" si="16"/>
        <v>0.26660962966946866</v>
      </c>
      <c r="X68" s="134">
        <f t="shared" si="17"/>
        <v>2.6849921454673575E-2</v>
      </c>
      <c r="Y68" s="135">
        <f t="shared" si="18"/>
        <v>1.0680993297565999E-3</v>
      </c>
      <c r="Z68" s="201">
        <f t="shared" si="19"/>
        <v>166.2298769394601</v>
      </c>
      <c r="AA68" s="201">
        <f t="shared" si="20"/>
        <v>26.442513390093026</v>
      </c>
      <c r="AB68" s="201">
        <f t="shared" si="21"/>
        <v>17.510239920897703</v>
      </c>
      <c r="AC68" s="201">
        <f t="shared" si="22"/>
        <v>12.732218887601237</v>
      </c>
      <c r="AD68" s="201">
        <f t="shared" si="23"/>
        <v>222.91484913805209</v>
      </c>
      <c r="AE68">
        <f t="shared" si="24"/>
        <v>55.438922980633556</v>
      </c>
      <c r="AF68" s="201">
        <f t="shared" si="25"/>
        <v>278.35377211868564</v>
      </c>
    </row>
    <row r="69" spans="2:32" x14ac:dyDescent="0.3">
      <c r="B69" s="22">
        <v>22</v>
      </c>
      <c r="C69" s="20"/>
      <c r="D69" s="25">
        <v>21.95</v>
      </c>
      <c r="E69" s="7">
        <f t="shared" si="6"/>
        <v>3.7840679862029901E-2</v>
      </c>
      <c r="F69" s="55">
        <f t="shared" si="7"/>
        <v>1</v>
      </c>
      <c r="G69" s="6">
        <v>48</v>
      </c>
      <c r="H69" s="1" t="str">
        <f t="shared" si="28"/>
        <v/>
      </c>
      <c r="I69" s="27" t="str">
        <f t="shared" si="29"/>
        <v/>
      </c>
      <c r="J69" s="72">
        <f>$G$12*EXP(($I$15+$J$15*$G$12+$K$15*$G$7/1000+$L$15*$G$10)*(1/D69-1/$G$11))</f>
        <v>21.497925563600365</v>
      </c>
      <c r="K69" s="1">
        <f t="shared" si="26"/>
        <v>21.497925563600365</v>
      </c>
      <c r="L69" s="121">
        <f t="shared" si="30"/>
        <v>0.35589318882643395</v>
      </c>
      <c r="M69" s="121">
        <f t="shared" si="31"/>
        <v>0.28866808513287656</v>
      </c>
      <c r="N69" s="7">
        <f t="shared" si="8"/>
        <v>9.136183774895083E-3</v>
      </c>
      <c r="O69" s="7">
        <f t="shared" si="9"/>
        <v>0.26024501608209599</v>
      </c>
      <c r="P69" s="7">
        <f t="shared" si="10"/>
        <v>0.28757856843065166</v>
      </c>
      <c r="Q69" s="120">
        <f t="shared" si="11"/>
        <v>9.136183774895083E-3</v>
      </c>
      <c r="R69" s="120">
        <f t="shared" si="12"/>
        <v>0.25110883230720094</v>
      </c>
      <c r="S69" s="120">
        <f t="shared" si="13"/>
        <v>2.7333552348555668E-2</v>
      </c>
      <c r="T69" s="121">
        <f t="shared" si="14"/>
        <v>1.0895167022249019E-3</v>
      </c>
      <c r="U69" s="7">
        <f t="shared" si="27"/>
        <v>18.617064854842727</v>
      </c>
      <c r="V69" s="118">
        <f t="shared" si="15"/>
        <v>0</v>
      </c>
      <c r="W69" s="119">
        <f t="shared" si="16"/>
        <v>0.26024501608209599</v>
      </c>
      <c r="X69" s="134">
        <f t="shared" si="17"/>
        <v>2.7333552348555668E-2</v>
      </c>
      <c r="Y69" s="135">
        <f t="shared" si="18"/>
        <v>1.0895167022249019E-3</v>
      </c>
      <c r="Z69" s="201">
        <f t="shared" si="19"/>
        <v>162.80854522029895</v>
      </c>
      <c r="AA69" s="201">
        <f t="shared" si="20"/>
        <v>25.78283287795054</v>
      </c>
      <c r="AB69" s="201">
        <f t="shared" si="21"/>
        <v>17.163179456872221</v>
      </c>
      <c r="AC69" s="201">
        <f t="shared" si="22"/>
        <v>12.536290988440578</v>
      </c>
      <c r="AD69" s="201">
        <f t="shared" si="23"/>
        <v>218.2908485435623</v>
      </c>
      <c r="AE69">
        <f t="shared" si="24"/>
        <v>54.288934032783949</v>
      </c>
      <c r="AF69" s="201">
        <f t="shared" si="25"/>
        <v>272.57978257634625</v>
      </c>
    </row>
    <row r="70" spans="2:32" x14ac:dyDescent="0.3">
      <c r="B70" s="22">
        <v>36</v>
      </c>
      <c r="C70" s="20"/>
      <c r="D70" s="25">
        <v>21.95</v>
      </c>
      <c r="E70" s="7">
        <f t="shared" si="6"/>
        <v>3.7840679862029901E-2</v>
      </c>
      <c r="F70" s="55">
        <f t="shared" si="7"/>
        <v>1</v>
      </c>
      <c r="G70" s="6">
        <v>49</v>
      </c>
      <c r="H70" s="1" t="str">
        <f t="shared" si="28"/>
        <v/>
      </c>
      <c r="I70" s="27" t="str">
        <f t="shared" si="29"/>
        <v/>
      </c>
      <c r="J70" s="72">
        <f>$G$12*EXP(($I$15+$J$15*$G$12+$K$15*$G$7/1000+$L$15*$G$10)*(1/D70-1/$G$11))</f>
        <v>21.497925563600365</v>
      </c>
      <c r="K70" s="1">
        <f t="shared" si="26"/>
        <v>21.497925563600365</v>
      </c>
      <c r="L70" s="121">
        <f t="shared" si="30"/>
        <v>0.35589318882643395</v>
      </c>
      <c r="M70" s="121">
        <f t="shared" si="31"/>
        <v>0.28866808513287656</v>
      </c>
      <c r="N70" s="7">
        <f t="shared" si="8"/>
        <v>9.136183774895083E-3</v>
      </c>
      <c r="O70" s="7">
        <f t="shared" si="9"/>
        <v>0.26024501608209599</v>
      </c>
      <c r="P70" s="7">
        <f t="shared" si="10"/>
        <v>0.28757856843065166</v>
      </c>
      <c r="Q70" s="120">
        <f t="shared" si="11"/>
        <v>9.136183774895083E-3</v>
      </c>
      <c r="R70" s="120">
        <f t="shared" si="12"/>
        <v>0.25110883230720094</v>
      </c>
      <c r="S70" s="120">
        <f t="shared" si="13"/>
        <v>2.7333552348555668E-2</v>
      </c>
      <c r="T70" s="121">
        <f t="shared" si="14"/>
        <v>1.0895167022249019E-3</v>
      </c>
      <c r="U70" s="7">
        <f t="shared" si="27"/>
        <v>18.617064854842727</v>
      </c>
      <c r="V70" s="118">
        <f t="shared" si="15"/>
        <v>0</v>
      </c>
      <c r="W70" s="119">
        <f t="shared" si="16"/>
        <v>0.26024501608209599</v>
      </c>
      <c r="X70" s="134">
        <f t="shared" si="17"/>
        <v>2.7333552348555668E-2</v>
      </c>
      <c r="Y70" s="135">
        <f t="shared" si="18"/>
        <v>1.0895167022249019E-3</v>
      </c>
      <c r="Z70" s="201">
        <f t="shared" si="19"/>
        <v>162.80854522029895</v>
      </c>
      <c r="AA70" s="201">
        <f t="shared" si="20"/>
        <v>25.78283287795054</v>
      </c>
      <c r="AB70" s="201">
        <f t="shared" si="21"/>
        <v>17.163179456872221</v>
      </c>
      <c r="AC70" s="201">
        <f t="shared" si="22"/>
        <v>12.536290988440578</v>
      </c>
      <c r="AD70" s="201">
        <f t="shared" si="23"/>
        <v>218.2908485435623</v>
      </c>
      <c r="AE70">
        <f t="shared" si="24"/>
        <v>54.288934032783949</v>
      </c>
      <c r="AF70" s="201">
        <f t="shared" si="25"/>
        <v>272.57978257634625</v>
      </c>
    </row>
    <row r="71" spans="2:32" x14ac:dyDescent="0.3">
      <c r="B71" s="22">
        <v>40</v>
      </c>
      <c r="C71" s="20"/>
      <c r="D71" s="25">
        <v>21.85</v>
      </c>
      <c r="E71" s="7">
        <f t="shared" si="6"/>
        <v>3.7496675466461828E-2</v>
      </c>
      <c r="F71" s="55">
        <f t="shared" si="7"/>
        <v>1</v>
      </c>
      <c r="G71" s="6">
        <v>50</v>
      </c>
      <c r="H71" s="1" t="str">
        <f t="shared" si="28"/>
        <v/>
      </c>
      <c r="I71" s="27" t="str">
        <f t="shared" si="29"/>
        <v/>
      </c>
      <c r="J71" s="72">
        <f>$G$12*EXP(($I$15+$J$15*$G$12+$K$15*$G$7/1000+$L$15*$G$10)*(1/D71-1/$G$11))</f>
        <v>21.460983948538317</v>
      </c>
      <c r="K71" s="1">
        <f t="shared" si="26"/>
        <v>21.460983948538317</v>
      </c>
      <c r="L71" s="121">
        <f t="shared" si="30"/>
        <v>0.35230013998801907</v>
      </c>
      <c r="M71" s="121">
        <f t="shared" si="31"/>
        <v>0.2857586516653482</v>
      </c>
      <c r="N71" s="7">
        <f t="shared" si="8"/>
        <v>8.4303132776943034E-3</v>
      </c>
      <c r="O71" s="7">
        <f t="shared" si="9"/>
        <v>0.25707913481033462</v>
      </c>
      <c r="P71" s="7">
        <f t="shared" si="10"/>
        <v>0.28465820711922468</v>
      </c>
      <c r="Q71" s="120">
        <f t="shared" si="11"/>
        <v>8.4303132776943034E-3</v>
      </c>
      <c r="R71" s="120">
        <f t="shared" si="12"/>
        <v>0.24864882153264031</v>
      </c>
      <c r="S71" s="120">
        <f t="shared" si="13"/>
        <v>2.7579072308890062E-2</v>
      </c>
      <c r="T71" s="121">
        <f t="shared" si="14"/>
        <v>1.1004445461235135E-3</v>
      </c>
      <c r="U71" s="7">
        <f t="shared" si="27"/>
        <v>18.527590640362614</v>
      </c>
      <c r="V71" s="118">
        <f t="shared" si="15"/>
        <v>0</v>
      </c>
      <c r="W71" s="119">
        <f t="shared" si="16"/>
        <v>0.25707913481033462</v>
      </c>
      <c r="X71" s="134">
        <f t="shared" si="17"/>
        <v>2.7579072308890062E-2</v>
      </c>
      <c r="Y71" s="135">
        <f t="shared" si="18"/>
        <v>1.1004445461235135E-3</v>
      </c>
      <c r="Z71" s="201">
        <f t="shared" si="19"/>
        <v>161.11033295262735</v>
      </c>
      <c r="AA71" s="201">
        <f t="shared" si="20"/>
        <v>25.456666424008819</v>
      </c>
      <c r="AB71" s="201">
        <f t="shared" si="21"/>
        <v>16.991242188762104</v>
      </c>
      <c r="AC71" s="201">
        <f t="shared" si="22"/>
        <v>12.438903921881385</v>
      </c>
      <c r="AD71" s="201">
        <f t="shared" si="23"/>
        <v>215.99714548727965</v>
      </c>
      <c r="AE71">
        <f t="shared" si="24"/>
        <v>53.718490082686451</v>
      </c>
      <c r="AF71" s="201">
        <f t="shared" si="25"/>
        <v>269.71563556996608</v>
      </c>
    </row>
    <row r="72" spans="2:32" x14ac:dyDescent="0.3">
      <c r="B72" s="22">
        <v>4</v>
      </c>
      <c r="C72" s="20"/>
      <c r="D72" s="25">
        <v>21.7</v>
      </c>
      <c r="E72" s="7">
        <f t="shared" si="6"/>
        <v>3.6983614116222439E-2</v>
      </c>
      <c r="F72" s="55">
        <f t="shared" si="7"/>
        <v>1</v>
      </c>
      <c r="G72" s="6">
        <v>51</v>
      </c>
      <c r="H72" s="1" t="str">
        <f t="shared" si="28"/>
        <v/>
      </c>
      <c r="I72" s="27" t="str">
        <f t="shared" si="29"/>
        <v/>
      </c>
      <c r="J72" s="72">
        <f>$G$12*EXP(($I$15+$J$15*$G$12+$K$15*$G$7/1000+$L$15*$G$10)*(1/D72-1/$G$11))</f>
        <v>21.40505432606216</v>
      </c>
      <c r="K72" s="1">
        <f t="shared" si="26"/>
        <v>21.40505432606216</v>
      </c>
      <c r="L72" s="121">
        <f t="shared" si="30"/>
        <v>0.34694260475735827</v>
      </c>
      <c r="M72" s="121">
        <f t="shared" si="31"/>
        <v>0.28141998145980546</v>
      </c>
      <c r="N72" s="7">
        <f t="shared" si="8"/>
        <v>7.4468776251499173E-3</v>
      </c>
      <c r="O72" s="7">
        <f t="shared" si="9"/>
        <v>0.25235084298305122</v>
      </c>
      <c r="P72" s="7">
        <f t="shared" si="10"/>
        <v>0.28030286417302985</v>
      </c>
      <c r="Q72" s="120">
        <f t="shared" si="11"/>
        <v>7.4468776251499173E-3</v>
      </c>
      <c r="R72" s="120">
        <f t="shared" si="12"/>
        <v>0.24490396535790129</v>
      </c>
      <c r="S72" s="120">
        <f t="shared" si="13"/>
        <v>2.7952021189978637E-2</v>
      </c>
      <c r="T72" s="121">
        <f t="shared" si="14"/>
        <v>1.1171172867756041E-3</v>
      </c>
      <c r="U72" s="7">
        <f t="shared" si="27"/>
        <v>18.393369099328687</v>
      </c>
      <c r="V72" s="118">
        <f t="shared" si="15"/>
        <v>0</v>
      </c>
      <c r="W72" s="119">
        <f t="shared" si="16"/>
        <v>0.25235084298305122</v>
      </c>
      <c r="X72" s="134">
        <f t="shared" si="17"/>
        <v>2.7952021189978637E-2</v>
      </c>
      <c r="Y72" s="135">
        <f t="shared" si="18"/>
        <v>1.1171172867756041E-3</v>
      </c>
      <c r="Z72" s="201">
        <f t="shared" si="19"/>
        <v>158.57860790277593</v>
      </c>
      <c r="AA72" s="201">
        <f t="shared" si="20"/>
        <v>24.971994282299111</v>
      </c>
      <c r="AB72" s="201">
        <f t="shared" si="21"/>
        <v>16.735321171496633</v>
      </c>
      <c r="AC72" s="201">
        <f t="shared" si="22"/>
        <v>12.293544598606896</v>
      </c>
      <c r="AD72" s="201">
        <f t="shared" si="23"/>
        <v>212.57946795517856</v>
      </c>
      <c r="AE72">
        <f t="shared" si="24"/>
        <v>52.868513680452907</v>
      </c>
      <c r="AF72" s="201">
        <f t="shared" si="25"/>
        <v>265.44798163563144</v>
      </c>
    </row>
    <row r="73" spans="2:32" x14ac:dyDescent="0.3">
      <c r="B73" s="22">
        <v>3</v>
      </c>
      <c r="C73" s="21">
        <v>22.5</v>
      </c>
      <c r="D73" s="25">
        <v>21.45</v>
      </c>
      <c r="E73" s="7">
        <f t="shared" si="6"/>
        <v>3.6136365847457441E-2</v>
      </c>
      <c r="F73" s="55">
        <f t="shared" si="7"/>
        <v>1</v>
      </c>
      <c r="G73" s="6">
        <v>52</v>
      </c>
      <c r="H73" s="1" t="str">
        <f t="shared" si="28"/>
        <v/>
      </c>
      <c r="I73" s="27" t="str">
        <f t="shared" si="29"/>
        <v/>
      </c>
      <c r="J73" s="72">
        <f>$G$12*EXP(($I$15+$J$15*$G$12+$K$15*$G$7/1000+$L$15*$G$10)*(1/D73-1/$G$11))</f>
        <v>21.310433585593891</v>
      </c>
      <c r="K73" s="122">
        <f t="shared" si="26"/>
        <v>22.5</v>
      </c>
      <c r="L73" s="121">
        <f t="shared" si="30"/>
        <v>0.35833765261820488</v>
      </c>
      <c r="M73" s="121">
        <f t="shared" si="31"/>
        <v>0.29203665973355097</v>
      </c>
      <c r="N73" s="7">
        <f t="shared" si="8"/>
        <v>6.3871505013816509E-3</v>
      </c>
      <c r="O73" s="7">
        <f t="shared" si="9"/>
        <v>0.26037735363289238</v>
      </c>
      <c r="P73" s="7">
        <f t="shared" si="10"/>
        <v>0.29081671104199275</v>
      </c>
      <c r="Q73" s="120">
        <f t="shared" si="11"/>
        <v>6.3871505013816509E-3</v>
      </c>
      <c r="R73" s="120">
        <f t="shared" si="12"/>
        <v>0.25399020313151072</v>
      </c>
      <c r="S73" s="120">
        <f t="shared" si="13"/>
        <v>3.0439357409100365E-2</v>
      </c>
      <c r="T73" s="121">
        <f t="shared" si="14"/>
        <v>1.2199486915582258E-3</v>
      </c>
      <c r="U73" s="7">
        <f t="shared" si="27"/>
        <v>18.312233459151198</v>
      </c>
      <c r="V73" s="118">
        <f t="shared" si="15"/>
        <v>0</v>
      </c>
      <c r="W73" s="119">
        <f t="shared" si="16"/>
        <v>0.26037735363289238</v>
      </c>
      <c r="X73" s="134">
        <f t="shared" si="17"/>
        <v>3.0439357409100365E-2</v>
      </c>
      <c r="Y73" s="135">
        <f t="shared" si="18"/>
        <v>1.2199486915582258E-3</v>
      </c>
      <c r="Z73" s="201">
        <f t="shared" si="19"/>
        <v>166.32554221006052</v>
      </c>
      <c r="AA73" s="201">
        <f t="shared" si="20"/>
        <v>25.644026519352838</v>
      </c>
      <c r="AB73" s="201">
        <f t="shared" si="21"/>
        <v>15.577334552310354</v>
      </c>
      <c r="AC73" s="201">
        <f t="shared" si="22"/>
        <v>11.595884106726119</v>
      </c>
      <c r="AD73" s="201">
        <f t="shared" si="23"/>
        <v>219.14278738844985</v>
      </c>
      <c r="AE73">
        <f t="shared" si="24"/>
        <v>54.500811223507476</v>
      </c>
      <c r="AF73" s="201">
        <f t="shared" si="25"/>
        <v>273.64359861195732</v>
      </c>
    </row>
    <row r="74" spans="2:32" x14ac:dyDescent="0.3">
      <c r="B74" s="22">
        <v>42</v>
      </c>
      <c r="C74" s="20"/>
      <c r="D74" s="25">
        <v>21.4</v>
      </c>
      <c r="E74" s="7">
        <f t="shared" si="6"/>
        <v>3.5968094290949534E-2</v>
      </c>
      <c r="F74" s="55">
        <f t="shared" si="7"/>
        <v>1</v>
      </c>
      <c r="G74" s="6">
        <v>53</v>
      </c>
      <c r="H74" s="1" t="str">
        <f t="shared" si="28"/>
        <v/>
      </c>
      <c r="I74" s="27" t="str">
        <f t="shared" si="29"/>
        <v/>
      </c>
      <c r="J74" s="72">
        <f>$G$12*EXP(($I$15+$J$15*$G$12+$K$15*$G$7/1000+$L$15*$G$10)*(1/D74-1/$G$11))</f>
        <v>21.291295220654007</v>
      </c>
      <c r="K74" s="1">
        <f t="shared" si="26"/>
        <v>21.291295220654007</v>
      </c>
      <c r="L74" s="121">
        <f t="shared" si="30"/>
        <v>0.33634306963348826</v>
      </c>
      <c r="M74" s="121">
        <f t="shared" si="31"/>
        <v>0.27283456238914078</v>
      </c>
      <c r="N74" s="7">
        <f t="shared" si="8"/>
        <v>5.7356885227298361E-3</v>
      </c>
      <c r="O74" s="7">
        <f t="shared" si="9"/>
        <v>0.24296817993793837</v>
      </c>
      <c r="P74" s="7">
        <f t="shared" si="10"/>
        <v>0.27168305601254833</v>
      </c>
      <c r="Q74" s="120">
        <f t="shared" si="11"/>
        <v>5.7356885227298361E-3</v>
      </c>
      <c r="R74" s="120">
        <f t="shared" si="12"/>
        <v>0.23723249141520852</v>
      </c>
      <c r="S74" s="120">
        <f t="shared" si="13"/>
        <v>2.8714876074609957E-2</v>
      </c>
      <c r="T74" s="121">
        <f t="shared" si="14"/>
        <v>1.1515063765924483E-3</v>
      </c>
      <c r="U74" s="7">
        <f t="shared" si="27"/>
        <v>18.124888161284442</v>
      </c>
      <c r="V74" s="118">
        <f t="shared" si="15"/>
        <v>0</v>
      </c>
      <c r="W74" s="119">
        <f t="shared" si="16"/>
        <v>0.24296817993793837</v>
      </c>
      <c r="X74" s="134">
        <f t="shared" si="17"/>
        <v>2.8714876074609957E-2</v>
      </c>
      <c r="Y74" s="135">
        <f t="shared" si="18"/>
        <v>1.1515063765924483E-3</v>
      </c>
      <c r="Z74" s="201">
        <f t="shared" si="19"/>
        <v>153.57141089731243</v>
      </c>
      <c r="AA74" s="201">
        <f t="shared" si="20"/>
        <v>24.019063962574389</v>
      </c>
      <c r="AB74" s="201">
        <f t="shared" si="21"/>
        <v>16.23059681890998</v>
      </c>
      <c r="AC74" s="201">
        <f t="shared" si="22"/>
        <v>12.005423322881004</v>
      </c>
      <c r="AD74" s="201">
        <f t="shared" si="23"/>
        <v>205.82649500167781</v>
      </c>
      <c r="AE74">
        <f t="shared" si="24"/>
        <v>51.189049306917276</v>
      </c>
      <c r="AF74" s="201">
        <f t="shared" si="25"/>
        <v>257.01554430859511</v>
      </c>
    </row>
    <row r="75" spans="2:32" x14ac:dyDescent="0.3">
      <c r="B75" s="22">
        <v>48</v>
      </c>
      <c r="C75" s="20"/>
      <c r="D75" s="25">
        <v>21.4</v>
      </c>
      <c r="E75" s="7">
        <f t="shared" si="6"/>
        <v>3.5968094290949534E-2</v>
      </c>
      <c r="F75" s="55">
        <f t="shared" si="7"/>
        <v>1</v>
      </c>
      <c r="G75" s="6">
        <v>54</v>
      </c>
      <c r="H75" s="1" t="str">
        <f t="shared" si="28"/>
        <v/>
      </c>
      <c r="I75" s="27" t="str">
        <f t="shared" si="29"/>
        <v/>
      </c>
      <c r="J75" s="72">
        <f>$G$12*EXP(($I$15+$J$15*$G$12+$K$15*$G$7/1000+$L$15*$G$10)*(1/D75-1/$G$11))</f>
        <v>21.291295220654007</v>
      </c>
      <c r="K75" s="1">
        <f t="shared" si="26"/>
        <v>21.291295220654007</v>
      </c>
      <c r="L75" s="121">
        <f t="shared" si="30"/>
        <v>0.33634306963348826</v>
      </c>
      <c r="M75" s="121">
        <f t="shared" si="31"/>
        <v>0.27283456238914078</v>
      </c>
      <c r="N75" s="7">
        <f t="shared" si="8"/>
        <v>5.7356885227298361E-3</v>
      </c>
      <c r="O75" s="7">
        <f t="shared" si="9"/>
        <v>0.24296817993793837</v>
      </c>
      <c r="P75" s="7">
        <f t="shared" si="10"/>
        <v>0.27168305601254833</v>
      </c>
      <c r="Q75" s="120">
        <f t="shared" si="11"/>
        <v>5.7356885227298361E-3</v>
      </c>
      <c r="R75" s="120">
        <f t="shared" si="12"/>
        <v>0.23723249141520852</v>
      </c>
      <c r="S75" s="120">
        <f t="shared" si="13"/>
        <v>2.8714876074609957E-2</v>
      </c>
      <c r="T75" s="121">
        <f t="shared" si="14"/>
        <v>1.1515063765924483E-3</v>
      </c>
      <c r="U75" s="7">
        <f t="shared" si="27"/>
        <v>18.124888161284442</v>
      </c>
      <c r="V75" s="118">
        <f t="shared" si="15"/>
        <v>0</v>
      </c>
      <c r="W75" s="119">
        <f t="shared" si="16"/>
        <v>0.24296817993793837</v>
      </c>
      <c r="X75" s="134">
        <f t="shared" si="17"/>
        <v>2.8714876074609957E-2</v>
      </c>
      <c r="Y75" s="135">
        <f t="shared" si="18"/>
        <v>1.1515063765924483E-3</v>
      </c>
      <c r="Z75" s="201">
        <f t="shared" si="19"/>
        <v>153.57141089731243</v>
      </c>
      <c r="AA75" s="201">
        <f t="shared" si="20"/>
        <v>24.019063962574389</v>
      </c>
      <c r="AB75" s="201">
        <f t="shared" si="21"/>
        <v>16.23059681890998</v>
      </c>
      <c r="AC75" s="201">
        <f t="shared" si="22"/>
        <v>12.005423322881004</v>
      </c>
      <c r="AD75" s="201">
        <f t="shared" si="23"/>
        <v>205.82649500167781</v>
      </c>
      <c r="AE75">
        <f t="shared" si="24"/>
        <v>51.189049306917276</v>
      </c>
      <c r="AF75" s="201">
        <f t="shared" si="25"/>
        <v>257.01554430859511</v>
      </c>
    </row>
    <row r="76" spans="2:32" x14ac:dyDescent="0.3">
      <c r="B76" s="22">
        <v>21</v>
      </c>
      <c r="C76" s="21">
        <v>22.5</v>
      </c>
      <c r="D76" s="25">
        <v>21.25</v>
      </c>
      <c r="E76" s="7">
        <f t="shared" si="6"/>
        <v>3.5465635815916025E-2</v>
      </c>
      <c r="F76" s="55">
        <f t="shared" si="7"/>
        <v>1</v>
      </c>
      <c r="G76" s="6">
        <v>55</v>
      </c>
      <c r="H76" s="1" t="str">
        <f t="shared" si="28"/>
        <v/>
      </c>
      <c r="I76" s="27" t="str">
        <f t="shared" si="29"/>
        <v/>
      </c>
      <c r="J76" s="72">
        <f>$G$12*EXP(($I$15+$J$15*$G$12+$K$15*$G$7/1000+$L$15*$G$10)*(1/D76-1/$G$11))</f>
        <v>21.23344451634253</v>
      </c>
      <c r="K76" s="122">
        <f t="shared" si="26"/>
        <v>22.5</v>
      </c>
      <c r="L76" s="121">
        <f t="shared" si="30"/>
        <v>0.35228300061772372</v>
      </c>
      <c r="M76" s="121">
        <f t="shared" si="31"/>
        <v>0.28719963892237343</v>
      </c>
      <c r="N76" s="7">
        <f t="shared" si="8"/>
        <v>5.3455680719343692E-3</v>
      </c>
      <c r="O76" s="7">
        <f t="shared" si="9"/>
        <v>0.25482771200360183</v>
      </c>
      <c r="P76" s="7">
        <f t="shared" si="10"/>
        <v>0.28594937587157776</v>
      </c>
      <c r="Q76" s="120">
        <f t="shared" si="11"/>
        <v>5.3455680719343692E-3</v>
      </c>
      <c r="R76" s="120">
        <f t="shared" si="12"/>
        <v>0.24948214393166745</v>
      </c>
      <c r="S76" s="120">
        <f t="shared" si="13"/>
        <v>3.1121663867975935E-2</v>
      </c>
      <c r="T76" s="121">
        <f t="shared" si="14"/>
        <v>1.2502630507956747E-3</v>
      </c>
      <c r="U76" s="7">
        <f t="shared" si="27"/>
        <v>18.141490023634635</v>
      </c>
      <c r="V76" s="118">
        <f t="shared" si="15"/>
        <v>0</v>
      </c>
      <c r="W76" s="119">
        <f t="shared" si="16"/>
        <v>0.25482771200360183</v>
      </c>
      <c r="X76" s="134">
        <f t="shared" si="17"/>
        <v>3.1121663867975935E-2</v>
      </c>
      <c r="Y76" s="135">
        <f t="shared" si="18"/>
        <v>1.2502630507956747E-3</v>
      </c>
      <c r="Z76" s="201">
        <f t="shared" si="19"/>
        <v>163.5744225823197</v>
      </c>
      <c r="AA76" s="201">
        <f t="shared" si="20"/>
        <v>25.078736440103764</v>
      </c>
      <c r="AB76" s="201">
        <f t="shared" si="21"/>
        <v>15.213143951437615</v>
      </c>
      <c r="AC76" s="201">
        <f t="shared" si="22"/>
        <v>11.383196728428869</v>
      </c>
      <c r="AD76" s="201">
        <f t="shared" si="23"/>
        <v>215.24949970228994</v>
      </c>
      <c r="AE76">
        <f t="shared" si="24"/>
        <v>53.532550575959512</v>
      </c>
      <c r="AF76" s="201">
        <f t="shared" si="25"/>
        <v>268.78205027824947</v>
      </c>
    </row>
    <row r="77" spans="2:32" x14ac:dyDescent="0.3">
      <c r="B77" s="22">
        <v>59</v>
      </c>
      <c r="C77" s="20"/>
      <c r="D77" s="25">
        <v>21</v>
      </c>
      <c r="E77" s="7">
        <f t="shared" si="6"/>
        <v>3.4636059005827467E-2</v>
      </c>
      <c r="F77" s="55">
        <f t="shared" si="7"/>
        <v>1</v>
      </c>
      <c r="G77" s="6">
        <v>56</v>
      </c>
      <c r="H77" s="1" t="str">
        <f t="shared" si="28"/>
        <v/>
      </c>
      <c r="I77" s="27" t="str">
        <f t="shared" si="29"/>
        <v/>
      </c>
      <c r="J77" s="72">
        <f>$G$12*EXP(($I$15+$J$15*$G$12+$K$15*$G$7/1000+$L$15*$G$10)*(1/D77-1/$G$11))</f>
        <v>21.13555011192901</v>
      </c>
      <c r="K77" s="1">
        <f t="shared" si="26"/>
        <v>21.13555011192901</v>
      </c>
      <c r="L77" s="121">
        <f t="shared" si="30"/>
        <v>0.32245062885803971</v>
      </c>
      <c r="M77" s="121">
        <f t="shared" si="31"/>
        <v>0.26157861640516789</v>
      </c>
      <c r="N77" s="7">
        <f t="shared" si="8"/>
        <v>3.9324378124954212E-3</v>
      </c>
      <c r="O77" s="7">
        <f t="shared" si="9"/>
        <v>0.23061141612453559</v>
      </c>
      <c r="P77" s="7">
        <f t="shared" si="10"/>
        <v>0.26037898546689481</v>
      </c>
      <c r="Q77" s="120">
        <f t="shared" si="11"/>
        <v>3.9324378124954212E-3</v>
      </c>
      <c r="R77" s="120">
        <f t="shared" si="12"/>
        <v>0.22667897831204017</v>
      </c>
      <c r="S77" s="120">
        <f t="shared" si="13"/>
        <v>2.9767569342359218E-2</v>
      </c>
      <c r="T77" s="121">
        <f t="shared" si="14"/>
        <v>1.1996309382730774E-3</v>
      </c>
      <c r="U77" s="7">
        <f t="shared" si="27"/>
        <v>17.766831467723609</v>
      </c>
      <c r="V77" s="118">
        <f t="shared" si="15"/>
        <v>0</v>
      </c>
      <c r="W77" s="119">
        <f t="shared" si="16"/>
        <v>0.23061141612453559</v>
      </c>
      <c r="X77" s="134">
        <f t="shared" si="17"/>
        <v>2.9767569342359218E-2</v>
      </c>
      <c r="Y77" s="135">
        <f t="shared" si="18"/>
        <v>1.1996309382730774E-3</v>
      </c>
      <c r="Z77" s="201">
        <f t="shared" si="19"/>
        <v>147.01220067965028</v>
      </c>
      <c r="AA77" s="201">
        <f t="shared" si="20"/>
        <v>22.782323242168644</v>
      </c>
      <c r="AB77" s="201">
        <f t="shared" si="21"/>
        <v>15.572303779662782</v>
      </c>
      <c r="AC77" s="201">
        <f t="shared" si="22"/>
        <v>11.626651309759712</v>
      </c>
      <c r="AD77" s="201">
        <f t="shared" si="23"/>
        <v>196.99347901124142</v>
      </c>
      <c r="AE77">
        <f t="shared" si="24"/>
        <v>48.992278230095742</v>
      </c>
      <c r="AF77" s="201">
        <f t="shared" si="25"/>
        <v>245.98575724133715</v>
      </c>
    </row>
    <row r="78" spans="2:32" x14ac:dyDescent="0.3">
      <c r="B78" s="22">
        <v>17</v>
      </c>
      <c r="C78" s="20"/>
      <c r="D78" s="25">
        <v>20.75</v>
      </c>
      <c r="E78" s="7">
        <f t="shared" si="6"/>
        <v>3.381629967278138E-2</v>
      </c>
      <c r="F78" s="55">
        <f t="shared" si="7"/>
        <v>1</v>
      </c>
      <c r="G78" s="6">
        <v>57</v>
      </c>
      <c r="H78" s="1" t="str">
        <f t="shared" si="28"/>
        <v/>
      </c>
      <c r="I78" s="27" t="str">
        <f t="shared" si="29"/>
        <v/>
      </c>
      <c r="J78" s="72">
        <f>$G$12*EXP(($I$15+$J$15*$G$12+$K$15*$G$7/1000+$L$15*$G$10)*(1/D78-1/$G$11))</f>
        <v>21.035764564190906</v>
      </c>
      <c r="K78" s="1">
        <f t="shared" si="26"/>
        <v>21.035764564190906</v>
      </c>
      <c r="L78" s="121">
        <f t="shared" si="30"/>
        <v>0.31390772095753144</v>
      </c>
      <c r="M78" s="121">
        <f t="shared" si="31"/>
        <v>0.25465507386367708</v>
      </c>
      <c r="N78" s="7">
        <f t="shared" si="8"/>
        <v>3.048512518599316E-3</v>
      </c>
      <c r="O78" s="7">
        <f t="shared" si="9"/>
        <v>0.22297767145850036</v>
      </c>
      <c r="P78" s="7">
        <f t="shared" si="10"/>
        <v>0.25342397226072066</v>
      </c>
      <c r="Q78" s="120">
        <f t="shared" si="11"/>
        <v>3.048512518599316E-3</v>
      </c>
      <c r="R78" s="120">
        <f t="shared" si="12"/>
        <v>0.21992915893990106</v>
      </c>
      <c r="S78" s="120">
        <f t="shared" si="13"/>
        <v>3.04463008022203E-2</v>
      </c>
      <c r="T78" s="121">
        <f t="shared" si="14"/>
        <v>1.2311016029564192E-3</v>
      </c>
      <c r="U78" s="7">
        <f t="shared" si="27"/>
        <v>17.542995910525658</v>
      </c>
      <c r="V78" s="118">
        <f t="shared" si="15"/>
        <v>0</v>
      </c>
      <c r="W78" s="119">
        <f t="shared" si="16"/>
        <v>0.22297767145850036</v>
      </c>
      <c r="X78" s="134">
        <f t="shared" si="17"/>
        <v>3.04463008022203E-2</v>
      </c>
      <c r="Y78" s="135">
        <f t="shared" si="18"/>
        <v>1.2311016029564192E-3</v>
      </c>
      <c r="Z78" s="201">
        <f t="shared" si="19"/>
        <v>142.98087582101695</v>
      </c>
      <c r="AA78" s="201">
        <f t="shared" si="20"/>
        <v>22.028857448880363</v>
      </c>
      <c r="AB78" s="201">
        <f t="shared" si="21"/>
        <v>15.169327504560629</v>
      </c>
      <c r="AC78" s="201">
        <f t="shared" si="22"/>
        <v>11.393048448589468</v>
      </c>
      <c r="AD78" s="201">
        <f t="shared" si="23"/>
        <v>191.57210922304742</v>
      </c>
      <c r="AE78">
        <f t="shared" si="24"/>
        <v>47.643983563771897</v>
      </c>
      <c r="AF78" s="201">
        <f t="shared" si="25"/>
        <v>239.21609278681933</v>
      </c>
    </row>
    <row r="79" spans="2:32" x14ac:dyDescent="0.3">
      <c r="B79" s="22">
        <v>13</v>
      </c>
      <c r="C79" s="20"/>
      <c r="D79" s="25">
        <v>20.5</v>
      </c>
      <c r="E79" s="7">
        <f t="shared" si="6"/>
        <v>3.3006357816777764E-2</v>
      </c>
      <c r="F79" s="55">
        <f t="shared" si="7"/>
        <v>1</v>
      </c>
      <c r="G79" s="6">
        <v>58</v>
      </c>
      <c r="H79" s="1" t="str">
        <f t="shared" si="28"/>
        <v/>
      </c>
      <c r="I79" s="27" t="str">
        <f t="shared" si="29"/>
        <v/>
      </c>
      <c r="J79" s="72">
        <f>$G$12*EXP(($I$15+$J$15*$G$12+$K$15*$G$7/1000+$L$15*$G$10)*(1/D79-1/$G$11))</f>
        <v>20.934033689032432</v>
      </c>
      <c r="K79" s="1">
        <f t="shared" si="26"/>
        <v>20.934033689032432</v>
      </c>
      <c r="L79" s="121">
        <f t="shared" si="30"/>
        <v>0.30547271701857082</v>
      </c>
      <c r="M79" s="121">
        <f t="shared" si="31"/>
        <v>0.24781754800909539</v>
      </c>
      <c r="N79" s="7">
        <f t="shared" si="8"/>
        <v>2.326361558949708E-3</v>
      </c>
      <c r="O79" s="7">
        <f t="shared" si="9"/>
        <v>0.21541277653807694</v>
      </c>
      <c r="P79" s="7">
        <f t="shared" si="10"/>
        <v>0.24655384706654504</v>
      </c>
      <c r="Q79" s="120">
        <f t="shared" si="11"/>
        <v>2.326361558949708E-3</v>
      </c>
      <c r="R79" s="120">
        <f t="shared" si="12"/>
        <v>0.21308641497912723</v>
      </c>
      <c r="S79" s="120">
        <f t="shared" si="13"/>
        <v>3.1141070528468096E-2</v>
      </c>
      <c r="T79" s="121">
        <f t="shared" si="14"/>
        <v>1.2637009425503498E-3</v>
      </c>
      <c r="U79" s="7">
        <f t="shared" si="27"/>
        <v>17.319119876270662</v>
      </c>
      <c r="V79" s="118">
        <f t="shared" si="15"/>
        <v>0</v>
      </c>
      <c r="W79" s="119">
        <f t="shared" si="16"/>
        <v>0.21541277653807694</v>
      </c>
      <c r="X79" s="134">
        <f t="shared" si="17"/>
        <v>3.1141070528468096E-2</v>
      </c>
      <c r="Y79" s="135">
        <f t="shared" si="18"/>
        <v>1.2637009425503498E-3</v>
      </c>
      <c r="Z79" s="201">
        <f t="shared" si="19"/>
        <v>139.00218255640212</v>
      </c>
      <c r="AA79" s="201">
        <f t="shared" si="20"/>
        <v>21.290287696422553</v>
      </c>
      <c r="AB79" s="201">
        <f t="shared" si="21"/>
        <v>14.772813594977364</v>
      </c>
      <c r="AC79" s="201">
        <f t="shared" si="22"/>
        <v>11.161854291727275</v>
      </c>
      <c r="AD79" s="201">
        <f t="shared" si="23"/>
        <v>186.22713813952933</v>
      </c>
      <c r="AE79">
        <f t="shared" si="24"/>
        <v>46.314689255300948</v>
      </c>
      <c r="AF79" s="201">
        <f t="shared" si="25"/>
        <v>232.54182739483028</v>
      </c>
    </row>
    <row r="80" spans="2:32" x14ac:dyDescent="0.3">
      <c r="B80" s="22">
        <v>72</v>
      </c>
      <c r="C80" s="20"/>
      <c r="D80" s="25">
        <v>20.45</v>
      </c>
      <c r="E80" s="7">
        <f t="shared" si="6"/>
        <v>3.2845547542822137E-2</v>
      </c>
      <c r="F80" s="55">
        <f t="shared" si="7"/>
        <v>1</v>
      </c>
      <c r="G80" s="6">
        <v>59</v>
      </c>
      <c r="H80" s="1" t="str">
        <f t="shared" si="28"/>
        <v/>
      </c>
      <c r="I80" s="27" t="str">
        <f t="shared" si="29"/>
        <v/>
      </c>
      <c r="J80" s="72">
        <f>$G$12*EXP(($I$15+$J$15*$G$12+$K$15*$G$7/1000+$L$15*$G$10)*(1/D80-1/$G$11))</f>
        <v>20.913449164546542</v>
      </c>
      <c r="K80" s="1">
        <f t="shared" si="26"/>
        <v>20.913449164546542</v>
      </c>
      <c r="L80" s="121">
        <f t="shared" si="30"/>
        <v>0.30379868798166459</v>
      </c>
      <c r="M80" s="121">
        <f t="shared" si="31"/>
        <v>0.24646038758438041</v>
      </c>
      <c r="N80" s="7">
        <f t="shared" si="8"/>
        <v>2.1995186112990449E-3</v>
      </c>
      <c r="O80" s="7">
        <f t="shared" si="9"/>
        <v>0.21390808042099688</v>
      </c>
      <c r="P80" s="7">
        <f t="shared" si="10"/>
        <v>0.24519002692611086</v>
      </c>
      <c r="Q80" s="120">
        <f t="shared" si="11"/>
        <v>2.1995186112990449E-3</v>
      </c>
      <c r="R80" s="120">
        <f t="shared" si="12"/>
        <v>0.21170856180969783</v>
      </c>
      <c r="S80" s="120">
        <f t="shared" si="13"/>
        <v>3.1281946505113983E-2</v>
      </c>
      <c r="T80" s="121">
        <f t="shared" si="14"/>
        <v>1.2703606582695481E-3</v>
      </c>
      <c r="U80" s="7">
        <f t="shared" si="27"/>
        <v>17.274339663914905</v>
      </c>
      <c r="V80" s="118">
        <f t="shared" si="15"/>
        <v>0</v>
      </c>
      <c r="W80" s="119">
        <f t="shared" si="16"/>
        <v>0.21390808042099688</v>
      </c>
      <c r="X80" s="134">
        <f t="shared" si="17"/>
        <v>3.1281946505113983E-2</v>
      </c>
      <c r="Y80" s="135">
        <f t="shared" si="18"/>
        <v>1.2703606582695481E-3</v>
      </c>
      <c r="Z80" s="201">
        <f t="shared" si="19"/>
        <v>138.21277335927329</v>
      </c>
      <c r="AA80" s="201">
        <f t="shared" si="20"/>
        <v>21.144353739673988</v>
      </c>
      <c r="AB80" s="201">
        <f t="shared" si="21"/>
        <v>14.694283135139985</v>
      </c>
      <c r="AC80" s="201">
        <f t="shared" si="22"/>
        <v>11.115904601590554</v>
      </c>
      <c r="AD80" s="201">
        <f t="shared" si="23"/>
        <v>185.16731483567781</v>
      </c>
      <c r="AE80">
        <f t="shared" si="24"/>
        <v>46.05111119963307</v>
      </c>
      <c r="AF80" s="201">
        <f t="shared" si="25"/>
        <v>231.21842603531087</v>
      </c>
    </row>
    <row r="81" spans="2:32" x14ac:dyDescent="0.3">
      <c r="B81" s="22">
        <v>47</v>
      </c>
      <c r="C81" s="20"/>
      <c r="D81" s="25">
        <v>20.399999999999999</v>
      </c>
      <c r="E81" s="7">
        <f t="shared" si="6"/>
        <v>3.2685129967948208E-2</v>
      </c>
      <c r="F81" s="55">
        <f t="shared" si="7"/>
        <v>1</v>
      </c>
      <c r="G81" s="6">
        <v>60</v>
      </c>
      <c r="H81" s="1" t="str">
        <f t="shared" si="28"/>
        <v/>
      </c>
      <c r="I81" s="27" t="str">
        <f t="shared" si="29"/>
        <v/>
      </c>
      <c r="J81" s="72">
        <f>$G$12*EXP(($I$15+$J$15*$G$12+$K$15*$G$7/1000+$L$15*$G$10)*(1/D81-1/$G$11))</f>
        <v>20.892784125419659</v>
      </c>
      <c r="K81" s="1">
        <f t="shared" si="26"/>
        <v>20.892784125419659</v>
      </c>
      <c r="L81" s="121">
        <f t="shared" si="30"/>
        <v>0.30212898783758274</v>
      </c>
      <c r="M81" s="121">
        <f t="shared" si="31"/>
        <v>0.2451066802726207</v>
      </c>
      <c r="N81" s="7">
        <f t="shared" si="8"/>
        <v>2.0781572981234541E-3</v>
      </c>
      <c r="O81" s="7">
        <f t="shared" si="9"/>
        <v>0.21240615053372761</v>
      </c>
      <c r="P81" s="7">
        <f t="shared" si="10"/>
        <v>0.24382961231904263</v>
      </c>
      <c r="Q81" s="120">
        <f t="shared" si="11"/>
        <v>2.0781572981234541E-3</v>
      </c>
      <c r="R81" s="120">
        <f t="shared" si="12"/>
        <v>0.21032799323560414</v>
      </c>
      <c r="S81" s="120">
        <f t="shared" si="13"/>
        <v>3.1423461785315021E-2</v>
      </c>
      <c r="T81" s="121">
        <f t="shared" si="14"/>
        <v>1.2770679535780705E-3</v>
      </c>
      <c r="U81" s="7">
        <f t="shared" si="27"/>
        <v>17.229557750557653</v>
      </c>
      <c r="V81" s="118">
        <f t="shared" si="15"/>
        <v>0</v>
      </c>
      <c r="W81" s="119">
        <f t="shared" si="16"/>
        <v>0.21240615053372761</v>
      </c>
      <c r="X81" s="134">
        <f t="shared" si="17"/>
        <v>3.1423461785315021E-2</v>
      </c>
      <c r="Y81" s="135">
        <f t="shared" si="18"/>
        <v>1.2770679535780705E-3</v>
      </c>
      <c r="Z81" s="201">
        <f t="shared" si="19"/>
        <v>137.42547689973503</v>
      </c>
      <c r="AA81" s="201">
        <f t="shared" si="20"/>
        <v>20.999011507381251</v>
      </c>
      <c r="AB81" s="201">
        <f t="shared" si="21"/>
        <v>14.616009443403208</v>
      </c>
      <c r="AC81" s="201">
        <f t="shared" si="22"/>
        <v>11.070051312745044</v>
      </c>
      <c r="AD81" s="201">
        <f t="shared" si="23"/>
        <v>184.11054916326455</v>
      </c>
      <c r="AE81">
        <f t="shared" si="24"/>
        <v>45.788293576903897</v>
      </c>
      <c r="AF81" s="201">
        <f t="shared" si="25"/>
        <v>229.89884274016845</v>
      </c>
    </row>
    <row r="82" spans="2:32" x14ac:dyDescent="0.3">
      <c r="B82" s="22">
        <v>26</v>
      </c>
      <c r="C82" s="20"/>
      <c r="D82" s="25">
        <v>20.100000000000001</v>
      </c>
      <c r="E82" s="7">
        <f t="shared" si="6"/>
        <v>3.1730871199420314E-2</v>
      </c>
      <c r="F82" s="55">
        <f t="shared" si="7"/>
        <v>1</v>
      </c>
      <c r="G82" s="6">
        <v>61</v>
      </c>
      <c r="H82" s="1" t="str">
        <f t="shared" si="28"/>
        <v/>
      </c>
      <c r="I82" s="27" t="str">
        <f t="shared" si="29"/>
        <v/>
      </c>
      <c r="J82" s="72">
        <f>$G$12*EXP(($I$15+$J$15*$G$12+$K$15*$G$7/1000+$L$15*$G$10)*(1/D82-1/$G$11))</f>
        <v>20.767076902667231</v>
      </c>
      <c r="K82" s="1">
        <f t="shared" si="26"/>
        <v>20.767076902667231</v>
      </c>
      <c r="L82" s="121">
        <f t="shared" si="30"/>
        <v>0.29220181415942037</v>
      </c>
      <c r="M82" s="121">
        <f t="shared" si="31"/>
        <v>0.23705706956288888</v>
      </c>
      <c r="N82" s="7">
        <f t="shared" si="8"/>
        <v>1.4562058727420558E-3</v>
      </c>
      <c r="O82" s="7">
        <f t="shared" si="9"/>
        <v>0.20345281302399329</v>
      </c>
      <c r="P82" s="7">
        <f t="shared" si="10"/>
        <v>0.23573873475712934</v>
      </c>
      <c r="Q82" s="120">
        <f t="shared" si="11"/>
        <v>1.4562058727420558E-3</v>
      </c>
      <c r="R82" s="120">
        <f t="shared" si="12"/>
        <v>0.20199660715125123</v>
      </c>
      <c r="S82" s="120">
        <f t="shared" si="13"/>
        <v>3.2285921733136047E-2</v>
      </c>
      <c r="T82" s="121">
        <f t="shared" si="14"/>
        <v>1.3183348057595468E-3</v>
      </c>
      <c r="U82" s="7">
        <f t="shared" si="27"/>
        <v>16.96082974065634</v>
      </c>
      <c r="V82" s="118">
        <f t="shared" si="15"/>
        <v>0</v>
      </c>
      <c r="W82" s="119">
        <f t="shared" si="16"/>
        <v>0.20345281302399329</v>
      </c>
      <c r="X82" s="134">
        <f t="shared" si="17"/>
        <v>3.2285921733136047E-2</v>
      </c>
      <c r="Y82" s="135">
        <f t="shared" si="18"/>
        <v>1.3183348057595468E-3</v>
      </c>
      <c r="Z82" s="201">
        <f t="shared" si="19"/>
        <v>132.74613622248151</v>
      </c>
      <c r="AA82" s="201">
        <f t="shared" si="20"/>
        <v>20.13934551865869</v>
      </c>
      <c r="AB82" s="201">
        <f t="shared" si="21"/>
        <v>14.151743230766163</v>
      </c>
      <c r="AC82" s="201">
        <f t="shared" si="22"/>
        <v>10.796956517725267</v>
      </c>
      <c r="AD82" s="201">
        <f t="shared" si="23"/>
        <v>177.83418148963165</v>
      </c>
      <c r="AE82">
        <f t="shared" si="24"/>
        <v>44.227360936471392</v>
      </c>
      <c r="AF82" s="201">
        <f t="shared" si="25"/>
        <v>222.06154242610305</v>
      </c>
    </row>
    <row r="83" spans="2:32" x14ac:dyDescent="0.3">
      <c r="B83" s="22">
        <v>25</v>
      </c>
      <c r="C83" s="20"/>
      <c r="D83" s="25">
        <v>20.05</v>
      </c>
      <c r="E83" s="7">
        <f t="shared" si="6"/>
        <v>3.1573202518118272E-2</v>
      </c>
      <c r="F83" s="55">
        <f t="shared" si="7"/>
        <v>1</v>
      </c>
      <c r="G83" s="6">
        <v>62</v>
      </c>
      <c r="H83" s="1" t="str">
        <f t="shared" si="28"/>
        <v/>
      </c>
      <c r="I83" s="27" t="str">
        <f t="shared" si="29"/>
        <v/>
      </c>
      <c r="J83" s="72">
        <f>$G$12*EXP(($I$15+$J$15*$G$12+$K$15*$G$7/1000+$L$15*$G$10)*(1/D83-1/$G$11))</f>
        <v>20.745835096875062</v>
      </c>
      <c r="K83" s="1">
        <f t="shared" si="26"/>
        <v>20.745835096875062</v>
      </c>
      <c r="L83" s="121">
        <f t="shared" si="30"/>
        <v>0.29056247660194101</v>
      </c>
      <c r="M83" s="121">
        <f t="shared" si="31"/>
        <v>0.23572759305823388</v>
      </c>
      <c r="N83" s="7">
        <f t="shared" si="8"/>
        <v>1.3688010384505379E-3</v>
      </c>
      <c r="O83" s="7">
        <f t="shared" si="9"/>
        <v>0.20197032530216225</v>
      </c>
      <c r="P83" s="7">
        <f t="shared" si="10"/>
        <v>0.23440220585260335</v>
      </c>
      <c r="Q83" s="120">
        <f t="shared" si="11"/>
        <v>1.3688010384505379E-3</v>
      </c>
      <c r="R83" s="120">
        <f t="shared" si="12"/>
        <v>0.20060152426371169</v>
      </c>
      <c r="S83" s="120">
        <f t="shared" si="13"/>
        <v>3.2431880550441106E-2</v>
      </c>
      <c r="T83" s="121">
        <f t="shared" si="14"/>
        <v>1.3253872056305238E-3</v>
      </c>
      <c r="U83" s="7">
        <f t="shared" si="27"/>
        <v>16.916035512478611</v>
      </c>
      <c r="V83" s="118">
        <f t="shared" si="15"/>
        <v>0</v>
      </c>
      <c r="W83" s="119">
        <f t="shared" si="16"/>
        <v>0.20197032530216225</v>
      </c>
      <c r="X83" s="134">
        <f t="shared" si="17"/>
        <v>3.2431880550441106E-2</v>
      </c>
      <c r="Y83" s="135">
        <f t="shared" si="18"/>
        <v>1.3253872056305238E-3</v>
      </c>
      <c r="Z83" s="201">
        <f t="shared" si="19"/>
        <v>131.97366428329687</v>
      </c>
      <c r="AA83" s="201">
        <f t="shared" si="20"/>
        <v>19.998125924550045</v>
      </c>
      <c r="AB83" s="201">
        <f t="shared" si="21"/>
        <v>14.075258813749521</v>
      </c>
      <c r="AC83" s="201">
        <f t="shared" si="22"/>
        <v>10.751778294558564</v>
      </c>
      <c r="AD83" s="201">
        <f t="shared" si="23"/>
        <v>176.79882731615498</v>
      </c>
      <c r="AE83">
        <f t="shared" si="24"/>
        <v>43.969868353527744</v>
      </c>
      <c r="AF83" s="201">
        <f t="shared" si="25"/>
        <v>220.76869566968273</v>
      </c>
    </row>
    <row r="84" spans="2:32" x14ac:dyDescent="0.3">
      <c r="B84" s="22">
        <v>32</v>
      </c>
      <c r="C84" s="21">
        <v>20.5</v>
      </c>
      <c r="D84" s="25">
        <v>19.55</v>
      </c>
      <c r="E84" s="7">
        <f t="shared" si="6"/>
        <v>3.0018114154591324E-2</v>
      </c>
      <c r="F84" s="55">
        <f t="shared" si="7"/>
        <v>1</v>
      </c>
      <c r="G84" s="6">
        <v>63</v>
      </c>
      <c r="H84" s="1" t="str">
        <f t="shared" si="28"/>
        <v/>
      </c>
      <c r="I84" s="27" t="str">
        <f t="shared" si="29"/>
        <v/>
      </c>
      <c r="J84" s="72">
        <f>$G$12*EXP(($I$15+$J$15*$G$12+$K$15*$G$7/1000+$L$15*$G$10)*(1/D84-1/$G$11))</f>
        <v>20.528697152392212</v>
      </c>
      <c r="K84" s="122">
        <f t="shared" si="26"/>
        <v>20.5</v>
      </c>
      <c r="L84" s="121">
        <f t="shared" si="30"/>
        <v>0.2739979616095311</v>
      </c>
      <c r="M84" s="121">
        <f t="shared" si="31"/>
        <v>0.2222641955017568</v>
      </c>
      <c r="N84" s="7">
        <f t="shared" si="8"/>
        <v>7.0342019240290997E-4</v>
      </c>
      <c r="O84" s="7">
        <f t="shared" si="9"/>
        <v>0.18699685811412356</v>
      </c>
      <c r="P84" s="7">
        <f t="shared" si="10"/>
        <v>0.22086765903797606</v>
      </c>
      <c r="Q84" s="120">
        <f t="shared" si="11"/>
        <v>7.0342019240290997E-4</v>
      </c>
      <c r="R84" s="120">
        <f t="shared" si="12"/>
        <v>0.18629343792172065</v>
      </c>
      <c r="S84" s="120">
        <f t="shared" si="13"/>
        <v>3.3870800923852501E-2</v>
      </c>
      <c r="T84" s="121">
        <f t="shared" si="14"/>
        <v>1.3965364637807398E-3</v>
      </c>
      <c r="U84" s="7">
        <f t="shared" si="27"/>
        <v>16.464493204761737</v>
      </c>
      <c r="V84" s="118">
        <f t="shared" si="15"/>
        <v>0</v>
      </c>
      <c r="W84" s="119">
        <f t="shared" si="16"/>
        <v>0.18699685811412356</v>
      </c>
      <c r="X84" s="134">
        <f t="shared" si="17"/>
        <v>3.3870800923852501E-2</v>
      </c>
      <c r="Y84" s="135">
        <f t="shared" si="18"/>
        <v>1.3965364637807398E-3</v>
      </c>
      <c r="Z84" s="201">
        <f t="shared" si="19"/>
        <v>124.1278664849948</v>
      </c>
      <c r="AA84" s="201">
        <f t="shared" si="20"/>
        <v>18.589815694342711</v>
      </c>
      <c r="AB84" s="201">
        <f t="shared" si="21"/>
        <v>13.340227652148608</v>
      </c>
      <c r="AC84" s="201">
        <f t="shared" si="22"/>
        <v>10.315574474544976</v>
      </c>
      <c r="AD84" s="201">
        <f t="shared" si="23"/>
        <v>166.37348430603109</v>
      </c>
      <c r="AE84">
        <f t="shared" si="24"/>
        <v>41.377085546909932</v>
      </c>
      <c r="AF84" s="201">
        <f t="shared" si="25"/>
        <v>207.75056985294103</v>
      </c>
    </row>
    <row r="85" spans="2:32" x14ac:dyDescent="0.3">
      <c r="B85" s="22">
        <v>68</v>
      </c>
      <c r="C85" s="20"/>
      <c r="D85" s="25">
        <v>19.3</v>
      </c>
      <c r="E85" s="7">
        <f t="shared" si="6"/>
        <v>2.9255296188391552E-2</v>
      </c>
      <c r="F85" s="55">
        <f t="shared" si="7"/>
        <v>1</v>
      </c>
      <c r="G85" s="6">
        <v>64</v>
      </c>
      <c r="H85" s="1" t="str">
        <f t="shared" si="28"/>
        <v/>
      </c>
      <c r="I85" s="27" t="str">
        <f t="shared" si="29"/>
        <v/>
      </c>
      <c r="J85" s="72">
        <f>$G$12*EXP(($I$15+$J$15*$G$12+$K$15*$G$7/1000+$L$15*$G$10)*(1/D85-1/$G$11))</f>
        <v>20.416807535085695</v>
      </c>
      <c r="K85" s="1">
        <f t="shared" si="26"/>
        <v>20.416807535085695</v>
      </c>
      <c r="L85" s="121">
        <f t="shared" si="30"/>
        <v>0.26649519353847884</v>
      </c>
      <c r="M85" s="121">
        <f t="shared" si="31"/>
        <v>0.21620306174349893</v>
      </c>
      <c r="N85" s="7">
        <f t="shared" si="8"/>
        <v>4.8881475155040867E-4</v>
      </c>
      <c r="O85" s="7">
        <f t="shared" si="9"/>
        <v>0.18007030234196367</v>
      </c>
      <c r="P85" s="7">
        <f t="shared" si="10"/>
        <v>0.21476549445707049</v>
      </c>
      <c r="Q85" s="120">
        <f t="shared" si="11"/>
        <v>4.8881475155040867E-4</v>
      </c>
      <c r="R85" s="120">
        <f t="shared" si="12"/>
        <v>0.17958148759041326</v>
      </c>
      <c r="S85" s="120">
        <f t="shared" si="13"/>
        <v>3.4695192115106827E-2</v>
      </c>
      <c r="T85" s="121">
        <f t="shared" si="14"/>
        <v>1.4375672864284372E-3</v>
      </c>
      <c r="U85" s="7">
        <f t="shared" si="27"/>
        <v>16.243894685575135</v>
      </c>
      <c r="V85" s="118">
        <f t="shared" si="15"/>
        <v>0</v>
      </c>
      <c r="W85" s="119">
        <f t="shared" si="16"/>
        <v>0.18007030234196367</v>
      </c>
      <c r="X85" s="134">
        <f t="shared" si="17"/>
        <v>3.4695192115106827E-2</v>
      </c>
      <c r="Y85" s="135">
        <f t="shared" si="18"/>
        <v>1.4375672864284372E-3</v>
      </c>
      <c r="Z85" s="201">
        <f t="shared" si="19"/>
        <v>120.64205270092282</v>
      </c>
      <c r="AA85" s="201">
        <f t="shared" si="20"/>
        <v>17.949774779181809</v>
      </c>
      <c r="AB85" s="201">
        <f t="shared" si="21"/>
        <v>12.958363058568661</v>
      </c>
      <c r="AC85" s="201">
        <f t="shared" si="22"/>
        <v>10.085687419533382</v>
      </c>
      <c r="AD85" s="201">
        <f t="shared" si="23"/>
        <v>161.63587795820666</v>
      </c>
      <c r="AE85">
        <f t="shared" si="24"/>
        <v>40.198842848205999</v>
      </c>
      <c r="AF85" s="201">
        <f t="shared" si="25"/>
        <v>201.83472080641266</v>
      </c>
    </row>
    <row r="86" spans="2:32" x14ac:dyDescent="0.3">
      <c r="B86" s="22">
        <v>43</v>
      </c>
      <c r="C86" s="20"/>
      <c r="D86" s="25">
        <v>19.05</v>
      </c>
      <c r="E86" s="7">
        <f t="shared" si="6"/>
        <v>2.8502295699234251E-2</v>
      </c>
      <c r="F86" s="55">
        <f t="shared" si="7"/>
        <v>1</v>
      </c>
      <c r="G86" s="6">
        <v>65</v>
      </c>
      <c r="H86" s="1" t="str">
        <f t="shared" ref="H86:H101" si="32">IF(AND(C86&lt;&gt;"",G86&lt;=$B$6),C86,"")</f>
        <v/>
      </c>
      <c r="I86" s="27" t="str">
        <f t="shared" ref="I86:I95" si="33">IF(AND(D86&lt;&gt;"",G86&lt;=$B$6),D86,"")</f>
        <v/>
      </c>
      <c r="J86" s="72">
        <f>$G$12*EXP(($I$15+$J$15*$G$12+$K$15*$G$7/1000+$L$15*$G$10)*(1/D86-1/$G$11))</f>
        <v>20.302615214978562</v>
      </c>
      <c r="K86" s="1">
        <f t="shared" si="26"/>
        <v>20.302615214978562</v>
      </c>
      <c r="L86" s="121">
        <f t="shared" ref="L86:L95" si="34">$N$14*(D86/100)^$O$14*K86^$P$14</f>
        <v>0.25869137339952381</v>
      </c>
      <c r="M86" s="121">
        <f t="shared" ref="M86:M95" si="35">$N$15*(D86/100)^$O$15*K86^$P$15</f>
        <v>0.20986965826920889</v>
      </c>
      <c r="N86" s="7">
        <f t="shared" si="8"/>
        <v>3.3079590132153894E-4</v>
      </c>
      <c r="O86" s="7">
        <f t="shared" si="9"/>
        <v>0.17291270060492345</v>
      </c>
      <c r="P86" s="7">
        <f t="shared" si="10"/>
        <v>0.20839185938031629</v>
      </c>
      <c r="Q86" s="120">
        <f t="shared" si="11"/>
        <v>3.3079590132153894E-4</v>
      </c>
      <c r="R86" s="120">
        <f t="shared" si="12"/>
        <v>0.17258190470360191</v>
      </c>
      <c r="S86" s="120">
        <f t="shared" si="13"/>
        <v>3.5479158775392844E-2</v>
      </c>
      <c r="T86" s="121">
        <f t="shared" si="14"/>
        <v>1.4777988888926008E-3</v>
      </c>
      <c r="U86" s="7">
        <f t="shared" si="27"/>
        <v>16.019747003321068</v>
      </c>
      <c r="V86" s="118">
        <f t="shared" si="15"/>
        <v>0</v>
      </c>
      <c r="W86" s="119">
        <f t="shared" si="16"/>
        <v>0.17291270060492345</v>
      </c>
      <c r="X86" s="134">
        <f t="shared" si="17"/>
        <v>3.5479158775392844E-2</v>
      </c>
      <c r="Y86" s="135">
        <f t="shared" si="18"/>
        <v>1.4777988888926008E-3</v>
      </c>
      <c r="Z86" s="201">
        <f t="shared" si="19"/>
        <v>116.97175015193166</v>
      </c>
      <c r="AA86" s="201">
        <f t="shared" si="20"/>
        <v>17.295884015319334</v>
      </c>
      <c r="AB86" s="201">
        <f t="shared" si="21"/>
        <v>12.598616194068139</v>
      </c>
      <c r="AC86" s="201">
        <f t="shared" si="22"/>
        <v>9.8684866631285093</v>
      </c>
      <c r="AD86" s="201">
        <f t="shared" si="23"/>
        <v>156.73473702444767</v>
      </c>
      <c r="AE86">
        <f t="shared" si="24"/>
        <v>38.979929097980133</v>
      </c>
      <c r="AF86" s="201">
        <f t="shared" si="25"/>
        <v>195.71466612242779</v>
      </c>
    </row>
    <row r="87" spans="2:32" x14ac:dyDescent="0.3">
      <c r="B87" s="22">
        <v>79</v>
      </c>
      <c r="C87" s="20"/>
      <c r="D87" s="25">
        <v>18.600000000000001</v>
      </c>
      <c r="E87" s="7">
        <f t="shared" ref="E87:E101" si="36">PI()/40000*D87^2</f>
        <v>2.7171634860898124E-2</v>
      </c>
      <c r="F87" s="55">
        <f t="shared" ref="F87:F101" si="37">IF(D87&gt;0,1,0)</f>
        <v>1</v>
      </c>
      <c r="G87" s="6">
        <v>66</v>
      </c>
      <c r="H87" s="1" t="str">
        <f t="shared" si="32"/>
        <v/>
      </c>
      <c r="I87" s="27" t="str">
        <f t="shared" si="33"/>
        <v/>
      </c>
      <c r="J87" s="72">
        <f>$G$12*EXP(($I$15+$J$15*$G$12+$K$15*$G$7/1000+$L$15*$G$10)*(1/D87-1/$G$11))</f>
        <v>20.091041122263476</v>
      </c>
      <c r="K87" s="1">
        <f t="shared" ref="K87:K95" si="38">IF(C87="",J87,C87)</f>
        <v>20.091041122263476</v>
      </c>
      <c r="L87" s="121">
        <f t="shared" si="34"/>
        <v>0.24492133121480339</v>
      </c>
      <c r="M87" s="121">
        <f t="shared" si="35"/>
        <v>0.19869110924314837</v>
      </c>
      <c r="N87" s="7">
        <f t="shared" ref="N87:N95" si="39">$M87*EXP(-$N$16*$N$21^$O$16/$D87^$P$16)</f>
        <v>1.5276734392379748E-4</v>
      </c>
      <c r="O87" s="7">
        <f t="shared" ref="O87:O95" si="40">$M87*EXP(-$N$16*$O$21^$O$16/$D87^$P$16)</f>
        <v>0.16021281072810584</v>
      </c>
      <c r="P87" s="7">
        <f t="shared" ref="P87:P95" si="41">$M87*EXP(-$N$16*$P$21^$O$16/$D87^$P$16)</f>
        <v>0.19713698993516923</v>
      </c>
      <c r="Q87" s="120">
        <f t="shared" ref="Q87:Q95" si="42">N87</f>
        <v>1.5276734392379748E-4</v>
      </c>
      <c r="R87" s="120">
        <f t="shared" ref="R87:R95" si="43">O87-N87</f>
        <v>0.16006004338418203</v>
      </c>
      <c r="S87" s="120">
        <f t="shared" ref="S87:S95" si="44">P87-O87</f>
        <v>3.6924179207063396E-2</v>
      </c>
      <c r="T87" s="121">
        <f t="shared" ref="T87:T95" si="45">M87-P87</f>
        <v>1.5541193079791349E-3</v>
      </c>
      <c r="U87" s="7">
        <f t="shared" ref="U87:U95" si="46">D87*($S$16+$T$16*(LN(1-(($U$21/K87)^(1/$U$16))*(1-EXP($V$16/$W$16)))))</f>
        <v>15.616142855237857</v>
      </c>
      <c r="V87" s="118">
        <f t="shared" ref="V87:V101" si="47">IF(U87&gt;=$N$21,N87,0)</f>
        <v>0</v>
      </c>
      <c r="W87" s="119">
        <f t="shared" ref="W87:W101" si="48">O87-V87</f>
        <v>0.16021281072810584</v>
      </c>
      <c r="X87" s="134">
        <f t="shared" ref="X87:X101" si="49">P87-O87</f>
        <v>3.6924179207063396E-2</v>
      </c>
      <c r="Y87" s="135">
        <f t="shared" ref="Y87:Y101" si="50">M87-P87</f>
        <v>1.5541193079791349E-3</v>
      </c>
      <c r="Z87" s="201">
        <f t="shared" ref="Z87:Z101" si="51">$AF$7*D87^$AJ$9*K87^$AH$7</f>
        <v>110.5007092108882</v>
      </c>
      <c r="AA87" s="201">
        <f t="shared" ref="AA87:AA101" si="52">$AF$11*D87^$AJ$13*K87^$AH$11</f>
        <v>16.154844129933664</v>
      </c>
      <c r="AB87" s="201">
        <f t="shared" ref="AB87:AB101" si="53">$AF$15*D87^$AG$15*(K87/D87)^$AH$15</f>
        <v>11.966707070459604</v>
      </c>
      <c r="AC87" s="201">
        <f t="shared" ref="AC87:AC101" si="54">$AF$16*D87^$AG$16*(K87/D87)^$AH$16</f>
        <v>9.4836169292777832</v>
      </c>
      <c r="AD87" s="201">
        <f t="shared" ref="AD87:AD101" si="55">SUM(Z87:AC87)</f>
        <v>148.10587734055926</v>
      </c>
      <c r="AE87">
        <f t="shared" ref="AE87:AE101" si="56">$AJ$19*AD87</f>
        <v>36.833931694597091</v>
      </c>
      <c r="AF87" s="201">
        <f t="shared" ref="AF87:AF101" si="57">AD87+AE87</f>
        <v>184.93980903515634</v>
      </c>
    </row>
    <row r="88" spans="2:32" x14ac:dyDescent="0.3">
      <c r="B88" s="22">
        <v>77</v>
      </c>
      <c r="C88" s="20"/>
      <c r="D88" s="25">
        <v>17.5</v>
      </c>
      <c r="E88" s="7">
        <f t="shared" si="36"/>
        <v>2.4052818754046853E-2</v>
      </c>
      <c r="F88" s="55">
        <f t="shared" si="37"/>
        <v>1</v>
      </c>
      <c r="G88" s="6">
        <v>67</v>
      </c>
      <c r="H88" s="1" t="str">
        <f t="shared" si="32"/>
        <v/>
      </c>
      <c r="I88" s="27" t="str">
        <f t="shared" si="33"/>
        <v/>
      </c>
      <c r="J88" s="72">
        <f>$G$12*EXP(($I$15+$J$15*$G$12+$K$15*$G$7/1000+$L$15*$G$10)*(1/D88-1/$G$11))</f>
        <v>19.538729937529688</v>
      </c>
      <c r="K88" s="1">
        <f t="shared" si="38"/>
        <v>19.538729937529688</v>
      </c>
      <c r="L88" s="121">
        <f t="shared" si="34"/>
        <v>0.21276929604545416</v>
      </c>
      <c r="M88" s="121">
        <f t="shared" si="35"/>
        <v>0.17257458381092877</v>
      </c>
      <c r="N88" s="7">
        <f t="shared" si="39"/>
        <v>1.4510274808792572E-5</v>
      </c>
      <c r="O88" s="7">
        <f t="shared" si="40"/>
        <v>0.13020975555193798</v>
      </c>
      <c r="P88" s="7">
        <f t="shared" si="41"/>
        <v>0.17081026222752171</v>
      </c>
      <c r="Q88" s="120">
        <f t="shared" si="42"/>
        <v>1.4510274808792572E-5</v>
      </c>
      <c r="R88" s="120">
        <f t="shared" si="43"/>
        <v>0.1301952452771292</v>
      </c>
      <c r="S88" s="120">
        <f t="shared" si="44"/>
        <v>4.0600506675583736E-2</v>
      </c>
      <c r="T88" s="121">
        <f t="shared" si="45"/>
        <v>1.764321583407058E-3</v>
      </c>
      <c r="U88" s="7">
        <f t="shared" si="46"/>
        <v>14.62871676220986</v>
      </c>
      <c r="V88" s="118">
        <f t="shared" si="47"/>
        <v>0</v>
      </c>
      <c r="W88" s="119">
        <f t="shared" si="48"/>
        <v>0.13020975555193798</v>
      </c>
      <c r="X88" s="134">
        <f t="shared" si="49"/>
        <v>4.0600506675583736E-2</v>
      </c>
      <c r="Y88" s="135">
        <f t="shared" si="50"/>
        <v>1.764321583407058E-3</v>
      </c>
      <c r="Z88" s="201">
        <f t="shared" si="51"/>
        <v>95.421634167846449</v>
      </c>
      <c r="AA88" s="201">
        <f t="shared" si="52"/>
        <v>13.557244652314541</v>
      </c>
      <c r="AB88" s="201">
        <f t="shared" si="53"/>
        <v>10.505444726529083</v>
      </c>
      <c r="AC88" s="201">
        <f t="shared" si="54"/>
        <v>8.5758435820742847</v>
      </c>
      <c r="AD88" s="201">
        <f t="shared" si="55"/>
        <v>128.06016712876436</v>
      </c>
      <c r="AE88">
        <f t="shared" si="56"/>
        <v>31.848563564923698</v>
      </c>
      <c r="AF88" s="201">
        <f t="shared" si="57"/>
        <v>159.90873069368806</v>
      </c>
    </row>
    <row r="89" spans="2:32" x14ac:dyDescent="0.3">
      <c r="B89" s="22">
        <v>29</v>
      </c>
      <c r="C89" s="20"/>
      <c r="D89" s="25">
        <v>17.350000000000001</v>
      </c>
      <c r="E89" s="7">
        <f t="shared" si="36"/>
        <v>2.3642251864130839E-2</v>
      </c>
      <c r="F89" s="55">
        <f t="shared" si="37"/>
        <v>1</v>
      </c>
      <c r="G89" s="6">
        <v>68</v>
      </c>
      <c r="H89" s="1" t="str">
        <f t="shared" si="32"/>
        <v/>
      </c>
      <c r="I89" s="27" t="str">
        <f t="shared" si="33"/>
        <v/>
      </c>
      <c r="J89" s="72">
        <f>$G$12*EXP(($I$15+$J$15*$G$12+$K$15*$G$7/1000+$L$15*$G$10)*(1/D89-1/$G$11))</f>
        <v>19.459270739816322</v>
      </c>
      <c r="K89" s="1">
        <f t="shared" si="38"/>
        <v>19.459270739816322</v>
      </c>
      <c r="L89" s="121">
        <f t="shared" si="34"/>
        <v>0.20855179894339179</v>
      </c>
      <c r="M89" s="121">
        <f t="shared" si="35"/>
        <v>0.16914718612711818</v>
      </c>
      <c r="N89" s="7">
        <f t="shared" si="39"/>
        <v>9.8898101390645263E-6</v>
      </c>
      <c r="O89" s="7">
        <f t="shared" si="40"/>
        <v>0.12623951633691316</v>
      </c>
      <c r="P89" s="7">
        <f t="shared" si="41"/>
        <v>0.16735131202175915</v>
      </c>
      <c r="Q89" s="120">
        <f t="shared" si="42"/>
        <v>9.8898101390645263E-6</v>
      </c>
      <c r="R89" s="120">
        <f t="shared" si="43"/>
        <v>0.12622962652677411</v>
      </c>
      <c r="S89" s="120">
        <f t="shared" si="44"/>
        <v>4.1111795684845992E-2</v>
      </c>
      <c r="T89" s="121">
        <f t="shared" si="45"/>
        <v>1.7958741053590299E-3</v>
      </c>
      <c r="U89" s="7">
        <f t="shared" si="46"/>
        <v>14.493965062495597</v>
      </c>
      <c r="V89" s="118">
        <f t="shared" si="47"/>
        <v>0</v>
      </c>
      <c r="W89" s="119">
        <f t="shared" si="48"/>
        <v>0.12623951633691316</v>
      </c>
      <c r="X89" s="134">
        <f t="shared" si="49"/>
        <v>4.1111795684845992E-2</v>
      </c>
      <c r="Y89" s="135">
        <f t="shared" si="50"/>
        <v>1.7958741053590299E-3</v>
      </c>
      <c r="Z89" s="201">
        <f t="shared" si="51"/>
        <v>93.44725998524649</v>
      </c>
      <c r="AA89" s="201">
        <f t="shared" si="52"/>
        <v>13.223774102630719</v>
      </c>
      <c r="AB89" s="201">
        <f t="shared" si="53"/>
        <v>10.315225303862906</v>
      </c>
      <c r="AC89" s="201">
        <f t="shared" si="54"/>
        <v>8.4556927420255246</v>
      </c>
      <c r="AD89" s="201">
        <f t="shared" si="55"/>
        <v>125.44195213376562</v>
      </c>
      <c r="AE89">
        <f t="shared" si="56"/>
        <v>31.197413495667512</v>
      </c>
      <c r="AF89" s="201">
        <f t="shared" si="57"/>
        <v>156.63936562943314</v>
      </c>
    </row>
    <row r="90" spans="2:32" x14ac:dyDescent="0.3">
      <c r="B90" s="22">
        <v>69</v>
      </c>
      <c r="C90" s="20"/>
      <c r="D90" s="25">
        <v>16.25</v>
      </c>
      <c r="E90" s="7">
        <f t="shared" si="36"/>
        <v>2.0739420252213869E-2</v>
      </c>
      <c r="F90" s="55">
        <f t="shared" si="37"/>
        <v>1</v>
      </c>
      <c r="G90" s="6">
        <v>69</v>
      </c>
      <c r="H90" s="1" t="str">
        <f t="shared" si="32"/>
        <v/>
      </c>
      <c r="I90" s="27" t="str">
        <f t="shared" si="33"/>
        <v/>
      </c>
      <c r="J90" s="72">
        <f>$G$12*EXP(($I$15+$J$15*$G$12+$K$15*$G$7/1000+$L$15*$G$10)*(1/D90-1/$G$11))</f>
        <v>18.842994363404184</v>
      </c>
      <c r="K90" s="1">
        <f t="shared" si="38"/>
        <v>18.842994363404184</v>
      </c>
      <c r="L90" s="121">
        <f t="shared" si="34"/>
        <v>0.17885801826029543</v>
      </c>
      <c r="M90" s="121">
        <f t="shared" si="35"/>
        <v>0.14500587955596353</v>
      </c>
      <c r="N90" s="7">
        <f t="shared" si="39"/>
        <v>3.2340283762816955E-7</v>
      </c>
      <c r="O90" s="7">
        <f t="shared" si="40"/>
        <v>9.8114535756616092E-2</v>
      </c>
      <c r="P90" s="7">
        <f t="shared" si="41"/>
        <v>0.14295405569499361</v>
      </c>
      <c r="Q90" s="120">
        <f t="shared" si="42"/>
        <v>3.2340283762816955E-7</v>
      </c>
      <c r="R90" s="120">
        <f t="shared" si="43"/>
        <v>9.8114212353778457E-2</v>
      </c>
      <c r="S90" s="120">
        <f t="shared" si="44"/>
        <v>4.4839519938377523E-2</v>
      </c>
      <c r="T90" s="121">
        <f t="shared" si="45"/>
        <v>2.0518238609699146E-3</v>
      </c>
      <c r="U90" s="7">
        <f t="shared" si="46"/>
        <v>13.504904673424042</v>
      </c>
      <c r="V90" s="118">
        <f t="shared" si="47"/>
        <v>0</v>
      </c>
      <c r="W90" s="119">
        <f t="shared" si="48"/>
        <v>9.8114535756616092E-2</v>
      </c>
      <c r="X90" s="134">
        <f t="shared" si="49"/>
        <v>4.4839519938377523E-2</v>
      </c>
      <c r="Y90" s="135">
        <f t="shared" si="50"/>
        <v>2.0518238609699146E-3</v>
      </c>
      <c r="Z90" s="201">
        <f t="shared" si="51"/>
        <v>79.575022758254661</v>
      </c>
      <c r="AA90" s="201">
        <f t="shared" si="52"/>
        <v>10.927079828972484</v>
      </c>
      <c r="AB90" s="201">
        <f t="shared" si="53"/>
        <v>8.9852824768259172</v>
      </c>
      <c r="AC90" s="201">
        <f t="shared" si="54"/>
        <v>7.6013137057487157</v>
      </c>
      <c r="AD90" s="201">
        <f t="shared" si="55"/>
        <v>107.08869876980177</v>
      </c>
      <c r="AE90">
        <f t="shared" si="56"/>
        <v>26.632959384049698</v>
      </c>
      <c r="AF90" s="201">
        <f t="shared" si="57"/>
        <v>133.72165815385148</v>
      </c>
    </row>
    <row r="91" spans="2:32" x14ac:dyDescent="0.3">
      <c r="B91" s="22">
        <v>24</v>
      </c>
      <c r="C91" s="20"/>
      <c r="D91" s="25">
        <v>14.65</v>
      </c>
      <c r="E91" s="7">
        <f t="shared" si="36"/>
        <v>1.6856411732376883E-2</v>
      </c>
      <c r="F91" s="55">
        <f t="shared" si="37"/>
        <v>1</v>
      </c>
      <c r="G91" s="6">
        <v>70</v>
      </c>
      <c r="H91" s="1" t="str">
        <f t="shared" si="32"/>
        <v/>
      </c>
      <c r="I91" s="27" t="str">
        <f t="shared" si="33"/>
        <v/>
      </c>
      <c r="J91" s="72">
        <f>$G$12*EXP(($I$15+$J$15*$G$12+$K$15*$G$7/1000+$L$15*$G$10)*(1/D91-1/$G$11))</f>
        <v>17.826804145170726</v>
      </c>
      <c r="K91" s="1">
        <f t="shared" si="38"/>
        <v>17.826804145170726</v>
      </c>
      <c r="L91" s="121">
        <f t="shared" si="34"/>
        <v>0.13958902793195838</v>
      </c>
      <c r="M91" s="121">
        <f t="shared" si="35"/>
        <v>0.11305377538210584</v>
      </c>
      <c r="N91" s="7">
        <f t="shared" si="39"/>
        <v>1.3310910553114E-10</v>
      </c>
      <c r="O91" s="7">
        <f t="shared" si="40"/>
        <v>6.0988789303875614E-2</v>
      </c>
      <c r="P91" s="7">
        <f t="shared" si="41"/>
        <v>0.11053677997661812</v>
      </c>
      <c r="Q91" s="120">
        <f t="shared" si="42"/>
        <v>1.3310910553114E-10</v>
      </c>
      <c r="R91" s="120">
        <f t="shared" si="43"/>
        <v>6.0988789170766507E-2</v>
      </c>
      <c r="S91" s="120">
        <f t="shared" si="44"/>
        <v>4.9547990672742508E-2</v>
      </c>
      <c r="T91" s="121">
        <f t="shared" si="45"/>
        <v>2.5169954054877208E-3</v>
      </c>
      <c r="U91" s="7">
        <f t="shared" si="46"/>
        <v>12.062855531033254</v>
      </c>
      <c r="V91" s="118">
        <f t="shared" si="47"/>
        <v>0</v>
      </c>
      <c r="W91" s="119">
        <f t="shared" si="48"/>
        <v>6.0988789303875614E-2</v>
      </c>
      <c r="X91" s="134">
        <f t="shared" si="49"/>
        <v>4.9547990672742508E-2</v>
      </c>
      <c r="Y91" s="135">
        <f t="shared" si="50"/>
        <v>2.5169954054877208E-3</v>
      </c>
      <c r="Z91" s="201">
        <f t="shared" si="51"/>
        <v>61.327122208278588</v>
      </c>
      <c r="AA91" s="201">
        <f t="shared" si="52"/>
        <v>8.0402148510167937</v>
      </c>
      <c r="AB91" s="201">
        <f t="shared" si="53"/>
        <v>7.2499045012673706</v>
      </c>
      <c r="AC91" s="201">
        <f t="shared" si="54"/>
        <v>6.442825782536711</v>
      </c>
      <c r="AD91" s="201">
        <f t="shared" si="55"/>
        <v>83.060067343099462</v>
      </c>
      <c r="AE91">
        <f t="shared" si="56"/>
        <v>20.657038748228835</v>
      </c>
      <c r="AF91" s="201">
        <f t="shared" si="57"/>
        <v>103.7171060913283</v>
      </c>
    </row>
    <row r="92" spans="2:32" x14ac:dyDescent="0.3">
      <c r="B92" s="22">
        <v>9</v>
      </c>
      <c r="C92" s="21">
        <v>15.5</v>
      </c>
      <c r="D92" s="25">
        <v>14.3</v>
      </c>
      <c r="E92" s="7">
        <f t="shared" si="36"/>
        <v>1.6060607043314419E-2</v>
      </c>
      <c r="F92" s="55">
        <f t="shared" si="37"/>
        <v>1</v>
      </c>
      <c r="G92" s="6">
        <v>71</v>
      </c>
      <c r="H92" s="1" t="str">
        <f t="shared" si="32"/>
        <v/>
      </c>
      <c r="I92" s="27" t="str">
        <f t="shared" si="33"/>
        <v/>
      </c>
      <c r="J92" s="72">
        <f>$G$12*EXP(($I$15+$J$15*$G$12+$K$15*$G$7/1000+$L$15*$G$10)*(1/D92-1/$G$11))</f>
        <v>17.582822274351898</v>
      </c>
      <c r="K92" s="122">
        <f t="shared" si="38"/>
        <v>15.5</v>
      </c>
      <c r="L92" s="121">
        <f t="shared" si="34"/>
        <v>0.11501007918837794</v>
      </c>
      <c r="M92" s="121">
        <f t="shared" si="35"/>
        <v>9.2112798829801584E-2</v>
      </c>
      <c r="N92" s="7">
        <f t="shared" si="39"/>
        <v>1.0711416685144687E-11</v>
      </c>
      <c r="O92" s="7">
        <f t="shared" si="40"/>
        <v>4.635586867502834E-2</v>
      </c>
      <c r="P92" s="7">
        <f t="shared" si="41"/>
        <v>8.9833993319618166E-2</v>
      </c>
      <c r="Q92" s="120">
        <f t="shared" si="42"/>
        <v>1.0711416685144687E-11</v>
      </c>
      <c r="R92" s="120">
        <f t="shared" si="43"/>
        <v>4.6355868664316922E-2</v>
      </c>
      <c r="S92" s="120">
        <f t="shared" si="44"/>
        <v>4.3478124644589826E-2</v>
      </c>
      <c r="T92" s="121">
        <f t="shared" si="45"/>
        <v>2.2788055101834181E-3</v>
      </c>
      <c r="U92" s="7">
        <f t="shared" si="46"/>
        <v>11.477659291449729</v>
      </c>
      <c r="V92" s="118">
        <f t="shared" si="47"/>
        <v>0</v>
      </c>
      <c r="W92" s="119">
        <f t="shared" si="48"/>
        <v>4.635586867502834E-2</v>
      </c>
      <c r="X92" s="134">
        <f t="shared" si="49"/>
        <v>4.3478124644589826E-2</v>
      </c>
      <c r="Y92" s="135">
        <f t="shared" si="50"/>
        <v>2.2788055101834181E-3</v>
      </c>
      <c r="Z92" s="201">
        <f t="shared" si="51"/>
        <v>48.502249861626503</v>
      </c>
      <c r="AA92" s="201">
        <f t="shared" si="52"/>
        <v>6.5219170559846802</v>
      </c>
      <c r="AB92" s="201">
        <f t="shared" si="53"/>
        <v>7.6822179326542805</v>
      </c>
      <c r="AC92" s="201">
        <f t="shared" si="54"/>
        <v>6.7854411319367767</v>
      </c>
      <c r="AD92" s="201">
        <f t="shared" si="55"/>
        <v>69.491825982202243</v>
      </c>
      <c r="AE92">
        <f t="shared" si="56"/>
        <v>17.282617121773697</v>
      </c>
      <c r="AF92" s="201">
        <f t="shared" si="57"/>
        <v>86.774443103975941</v>
      </c>
    </row>
    <row r="93" spans="2:32" x14ac:dyDescent="0.3">
      <c r="B93" s="22">
        <v>56</v>
      </c>
      <c r="C93" s="20"/>
      <c r="D93" s="25">
        <v>14.05</v>
      </c>
      <c r="E93" s="7">
        <f t="shared" si="36"/>
        <v>1.5503956095006481E-2</v>
      </c>
      <c r="F93" s="55">
        <f t="shared" si="37"/>
        <v>1</v>
      </c>
      <c r="G93" s="6">
        <v>72</v>
      </c>
      <c r="H93" s="1" t="str">
        <f t="shared" si="32"/>
        <v/>
      </c>
      <c r="I93" s="27" t="str">
        <f t="shared" si="33"/>
        <v/>
      </c>
      <c r="J93" s="72">
        <f>$G$12*EXP(($I$15+$J$15*$G$12+$K$15*$G$7/1000+$L$15*$G$10)*(1/D93-1/$G$11))</f>
        <v>17.403279433841977</v>
      </c>
      <c r="K93" s="1">
        <f t="shared" si="38"/>
        <v>17.403279433841977</v>
      </c>
      <c r="L93" s="121">
        <f t="shared" si="34"/>
        <v>0.12607749196988369</v>
      </c>
      <c r="M93" s="121">
        <f t="shared" si="35"/>
        <v>0.10205392125969449</v>
      </c>
      <c r="N93" s="7">
        <f t="shared" si="39"/>
        <v>1.8635331443659663E-12</v>
      </c>
      <c r="O93" s="7">
        <f t="shared" si="40"/>
        <v>4.8582426544695655E-2</v>
      </c>
      <c r="P93" s="7">
        <f t="shared" si="41"/>
        <v>9.9327599349866832E-2</v>
      </c>
      <c r="Q93" s="120">
        <f t="shared" si="42"/>
        <v>1.8635331443659663E-12</v>
      </c>
      <c r="R93" s="120">
        <f t="shared" si="43"/>
        <v>4.8582426542832124E-2</v>
      </c>
      <c r="S93" s="120">
        <f t="shared" si="44"/>
        <v>5.0745172805171178E-2</v>
      </c>
      <c r="T93" s="121">
        <f t="shared" si="45"/>
        <v>2.7263219098276614E-3</v>
      </c>
      <c r="U93" s="7">
        <f t="shared" si="46"/>
        <v>11.520746119688498</v>
      </c>
      <c r="V93" s="118">
        <f t="shared" si="47"/>
        <v>0</v>
      </c>
      <c r="W93" s="119">
        <f t="shared" si="48"/>
        <v>4.8582426544695655E-2</v>
      </c>
      <c r="X93" s="134">
        <f t="shared" si="49"/>
        <v>5.0745172805171178E-2</v>
      </c>
      <c r="Y93" s="135">
        <f t="shared" si="50"/>
        <v>2.7263219098276614E-3</v>
      </c>
      <c r="Z93" s="201">
        <f t="shared" si="51"/>
        <v>55.082676710983669</v>
      </c>
      <c r="AA93" s="201">
        <f t="shared" si="52"/>
        <v>7.0912601046612043</v>
      </c>
      <c r="AB93" s="201">
        <f t="shared" si="53"/>
        <v>6.6581213941655815</v>
      </c>
      <c r="AC93" s="201">
        <f t="shared" si="54"/>
        <v>6.0342496736344575</v>
      </c>
      <c r="AD93" s="201">
        <f t="shared" si="55"/>
        <v>74.866307883444918</v>
      </c>
      <c r="AE93">
        <f t="shared" si="56"/>
        <v>18.619250770612751</v>
      </c>
      <c r="AF93" s="201">
        <f t="shared" si="57"/>
        <v>93.48555865405767</v>
      </c>
    </row>
    <row r="94" spans="2:32" x14ac:dyDescent="0.3">
      <c r="B94" s="22">
        <v>33</v>
      </c>
      <c r="C94" s="21">
        <v>11.5</v>
      </c>
      <c r="D94" s="25">
        <v>8.15</v>
      </c>
      <c r="E94" s="7">
        <f t="shared" si="36"/>
        <v>5.2168109508267009E-3</v>
      </c>
      <c r="F94" s="55">
        <f t="shared" si="37"/>
        <v>1</v>
      </c>
      <c r="G94" s="6">
        <v>73</v>
      </c>
      <c r="H94" s="1" t="str">
        <f t="shared" si="32"/>
        <v/>
      </c>
      <c r="I94" s="27" t="str">
        <f t="shared" si="33"/>
        <v/>
      </c>
      <c r="J94" s="72">
        <f>$G$12*EXP(($I$15+$J$15*$G$12+$K$15*$G$7/1000+$L$15*$G$10)*(1/D94-1/$G$11))</f>
        <v>11.377650882108517</v>
      </c>
      <c r="K94" s="122">
        <f t="shared" si="38"/>
        <v>11.5</v>
      </c>
      <c r="L94" s="121">
        <f t="shared" si="34"/>
        <v>3.0047185956224649E-2</v>
      </c>
      <c r="M94" s="121">
        <f t="shared" si="35"/>
        <v>2.3936776496919224E-2</v>
      </c>
      <c r="N94" s="7">
        <f t="shared" si="39"/>
        <v>4.3968028964070109E-121</v>
      </c>
      <c r="O94" s="7">
        <f t="shared" si="40"/>
        <v>6.5286556078339364E-6</v>
      </c>
      <c r="P94" s="7">
        <f t="shared" si="41"/>
        <v>1.7743429782391275E-2</v>
      </c>
      <c r="Q94" s="120">
        <f t="shared" si="42"/>
        <v>4.3968028964070109E-121</v>
      </c>
      <c r="R94" s="120">
        <f t="shared" si="43"/>
        <v>6.5286556078339364E-6</v>
      </c>
      <c r="S94" s="120">
        <f t="shared" si="44"/>
        <v>1.7736901126783441E-2</v>
      </c>
      <c r="T94" s="121">
        <f t="shared" si="45"/>
        <v>6.1933467145279496E-3</v>
      </c>
      <c r="U94" s="7">
        <f t="shared" si="46"/>
        <v>6.1125936938939907</v>
      </c>
      <c r="V94" s="118">
        <f t="shared" si="47"/>
        <v>0</v>
      </c>
      <c r="W94" s="119">
        <f t="shared" si="48"/>
        <v>6.5286556078339364E-6</v>
      </c>
      <c r="X94" s="134">
        <f t="shared" si="49"/>
        <v>1.7736901126783441E-2</v>
      </c>
      <c r="Y94" s="135">
        <f t="shared" si="50"/>
        <v>6.1933467145279496E-3</v>
      </c>
      <c r="Z94" s="201">
        <f t="shared" si="51"/>
        <v>11.843043882011729</v>
      </c>
      <c r="AA94" s="201">
        <f t="shared" si="52"/>
        <v>1.237962885064942</v>
      </c>
      <c r="AB94" s="201">
        <f t="shared" si="53"/>
        <v>2.394010121805402</v>
      </c>
      <c r="AC94" s="201">
        <f t="shared" si="54"/>
        <v>2.7628754429646576</v>
      </c>
      <c r="AD94" s="201">
        <f t="shared" si="55"/>
        <v>18.23789233184673</v>
      </c>
      <c r="AE94">
        <f t="shared" si="56"/>
        <v>4.5357638229302815</v>
      </c>
      <c r="AF94" s="201">
        <f t="shared" si="57"/>
        <v>22.773656154777012</v>
      </c>
    </row>
    <row r="95" spans="2:32" x14ac:dyDescent="0.3">
      <c r="B95" s="22">
        <v>20</v>
      </c>
      <c r="C95" s="21">
        <v>5.5</v>
      </c>
      <c r="D95" s="25">
        <v>4.05</v>
      </c>
      <c r="E95" s="7">
        <f t="shared" si="36"/>
        <v>1.2882493375126645E-3</v>
      </c>
      <c r="F95" s="55">
        <f t="shared" si="37"/>
        <v>1</v>
      </c>
      <c r="G95" s="6">
        <v>74</v>
      </c>
      <c r="H95" s="1" t="str">
        <f t="shared" si="32"/>
        <v/>
      </c>
      <c r="I95" s="27" t="str">
        <f t="shared" si="33"/>
        <v/>
      </c>
      <c r="J95" s="72">
        <f>$G$12*EXP(($I$15+$J$15*$G$12+$K$15*$G$7/1000+$L$15*$G$10)*(1/D95-1/$G$11))</f>
        <v>4.0839368162495955</v>
      </c>
      <c r="K95" s="122">
        <f t="shared" si="38"/>
        <v>5.5</v>
      </c>
      <c r="L95" s="121">
        <f t="shared" si="34"/>
        <v>3.823699193689026E-3</v>
      </c>
      <c r="M95" s="121">
        <f t="shared" si="35"/>
        <v>2.9319648302803831E-3</v>
      </c>
      <c r="N95" s="7">
        <f t="shared" si="39"/>
        <v>0</v>
      </c>
      <c r="O95" s="7">
        <f t="shared" si="40"/>
        <v>2.9805854227857314E-81</v>
      </c>
      <c r="P95" s="7">
        <f t="shared" si="41"/>
        <v>4.1867768158288698E-6</v>
      </c>
      <c r="Q95" s="120">
        <f t="shared" si="42"/>
        <v>0</v>
      </c>
      <c r="R95" s="120">
        <f t="shared" si="43"/>
        <v>2.9805854227857314E-81</v>
      </c>
      <c r="S95" s="120">
        <f t="shared" si="44"/>
        <v>4.1867768158288698E-6</v>
      </c>
      <c r="T95" s="121">
        <f t="shared" si="45"/>
        <v>2.9277780534645542E-3</v>
      </c>
      <c r="U95" s="7">
        <f t="shared" si="46"/>
        <v>2.1487393954070204</v>
      </c>
      <c r="V95" s="118">
        <f t="shared" si="47"/>
        <v>0</v>
      </c>
      <c r="W95" s="119">
        <f t="shared" si="48"/>
        <v>2.9805854227857314E-81</v>
      </c>
      <c r="X95" s="134">
        <f t="shared" si="49"/>
        <v>4.1867768158288698E-6</v>
      </c>
      <c r="Y95" s="135">
        <f t="shared" si="50"/>
        <v>2.9277780534645542E-3</v>
      </c>
      <c r="Z95" s="201">
        <f t="shared" si="51"/>
        <v>1.2416424386202969</v>
      </c>
      <c r="AA95" s="201">
        <f t="shared" si="52"/>
        <v>0.10531618533163868</v>
      </c>
      <c r="AB95" s="201">
        <f t="shared" si="53"/>
        <v>0.76679515232580786</v>
      </c>
      <c r="AC95" s="201">
        <f t="shared" si="54"/>
        <v>1.173046601982799</v>
      </c>
      <c r="AD95" s="201">
        <f t="shared" si="55"/>
        <v>3.2868003782605424</v>
      </c>
      <c r="AE95">
        <f t="shared" si="56"/>
        <v>0.81742725407339689</v>
      </c>
      <c r="AF95" s="201">
        <f t="shared" si="57"/>
        <v>4.1042276323339397</v>
      </c>
    </row>
    <row r="96" spans="2:32" x14ac:dyDescent="0.3">
      <c r="B96" s="22">
        <v>10</v>
      </c>
      <c r="C96" s="20"/>
      <c r="D96" s="25">
        <v>0</v>
      </c>
      <c r="E96" s="6">
        <f t="shared" si="36"/>
        <v>0</v>
      </c>
      <c r="F96" s="55">
        <f t="shared" si="37"/>
        <v>0</v>
      </c>
      <c r="G96" s="6">
        <v>75</v>
      </c>
      <c r="H96" s="1" t="str">
        <f t="shared" si="32"/>
        <v/>
      </c>
      <c r="I96" s="27"/>
      <c r="J96" s="72"/>
      <c r="K96" s="1"/>
      <c r="L96" s="121"/>
      <c r="M96" s="121"/>
      <c r="N96" s="7"/>
      <c r="O96" s="7"/>
      <c r="P96" s="7"/>
      <c r="Q96" s="120"/>
      <c r="R96" s="120"/>
      <c r="S96" s="120"/>
      <c r="T96" s="121"/>
      <c r="U96" s="7"/>
      <c r="V96" s="118">
        <f t="shared" si="47"/>
        <v>0</v>
      </c>
      <c r="W96" s="119">
        <f t="shared" si="48"/>
        <v>0</v>
      </c>
      <c r="X96" s="134"/>
      <c r="Y96" s="135"/>
      <c r="Z96" s="201"/>
      <c r="AA96" s="201"/>
      <c r="AB96" s="201"/>
      <c r="AC96" s="201"/>
      <c r="AD96" s="201"/>
      <c r="AF96" s="201"/>
    </row>
    <row r="97" spans="2:32" x14ac:dyDescent="0.3">
      <c r="B97" s="22">
        <v>14</v>
      </c>
      <c r="C97" s="20"/>
      <c r="D97" s="25">
        <v>0</v>
      </c>
      <c r="E97" s="6">
        <f t="shared" si="36"/>
        <v>0</v>
      </c>
      <c r="F97" s="55">
        <f t="shared" si="37"/>
        <v>0</v>
      </c>
      <c r="G97" s="6">
        <v>76</v>
      </c>
      <c r="H97" s="1" t="str">
        <f t="shared" si="32"/>
        <v/>
      </c>
      <c r="I97" s="27"/>
      <c r="J97" s="72"/>
      <c r="K97" s="1"/>
      <c r="L97" s="121"/>
      <c r="M97" s="121"/>
      <c r="N97" s="7"/>
      <c r="O97" s="7"/>
      <c r="P97" s="7"/>
      <c r="Q97" s="120"/>
      <c r="R97" s="120"/>
      <c r="S97" s="120"/>
      <c r="T97" s="121"/>
      <c r="U97" s="7"/>
      <c r="V97" s="118">
        <f t="shared" si="47"/>
        <v>0</v>
      </c>
      <c r="W97" s="119">
        <f t="shared" si="48"/>
        <v>0</v>
      </c>
      <c r="X97" s="134"/>
      <c r="Y97" s="135"/>
      <c r="Z97" s="201"/>
      <c r="AA97" s="201"/>
      <c r="AB97" s="201"/>
      <c r="AC97" s="201"/>
      <c r="AD97" s="201"/>
      <c r="AF97" s="201"/>
    </row>
    <row r="98" spans="2:32" x14ac:dyDescent="0.3">
      <c r="B98" s="22">
        <v>28</v>
      </c>
      <c r="C98" s="20"/>
      <c r="D98" s="25">
        <v>0</v>
      </c>
      <c r="E98" s="6">
        <f t="shared" si="36"/>
        <v>0</v>
      </c>
      <c r="F98" s="55">
        <f t="shared" si="37"/>
        <v>0</v>
      </c>
      <c r="G98" s="6">
        <v>77</v>
      </c>
      <c r="H98" s="1" t="str">
        <f t="shared" si="32"/>
        <v/>
      </c>
      <c r="I98" s="27"/>
      <c r="J98" s="72"/>
      <c r="K98" s="1"/>
      <c r="L98" s="121"/>
      <c r="M98" s="121"/>
      <c r="N98" s="7"/>
      <c r="O98" s="7"/>
      <c r="P98" s="7"/>
      <c r="Q98" s="120"/>
      <c r="R98" s="120"/>
      <c r="S98" s="120"/>
      <c r="T98" s="121"/>
      <c r="U98" s="7"/>
      <c r="V98" s="118">
        <f t="shared" si="47"/>
        <v>0</v>
      </c>
      <c r="W98" s="119">
        <f t="shared" si="48"/>
        <v>0</v>
      </c>
      <c r="X98" s="134"/>
      <c r="Y98" s="135"/>
      <c r="Z98" s="201"/>
      <c r="AA98" s="201"/>
      <c r="AB98" s="201"/>
      <c r="AC98" s="201"/>
      <c r="AD98" s="201"/>
      <c r="AF98" s="201"/>
    </row>
    <row r="99" spans="2:32" x14ac:dyDescent="0.3">
      <c r="B99" s="22">
        <v>50</v>
      </c>
      <c r="C99" s="20"/>
      <c r="D99" s="25">
        <v>0</v>
      </c>
      <c r="E99" s="6">
        <f t="shared" si="36"/>
        <v>0</v>
      </c>
      <c r="F99" s="55">
        <f t="shared" si="37"/>
        <v>0</v>
      </c>
      <c r="G99" s="6">
        <v>78</v>
      </c>
      <c r="H99" s="1" t="str">
        <f t="shared" si="32"/>
        <v/>
      </c>
      <c r="I99" s="27"/>
      <c r="J99" s="72"/>
      <c r="K99" s="1"/>
      <c r="L99" s="121"/>
      <c r="M99" s="121"/>
      <c r="N99" s="7"/>
      <c r="O99" s="7"/>
      <c r="P99" s="7"/>
      <c r="Q99" s="120"/>
      <c r="R99" s="120"/>
      <c r="S99" s="120"/>
      <c r="T99" s="121"/>
      <c r="U99" s="7"/>
      <c r="V99" s="118">
        <f t="shared" si="47"/>
        <v>0</v>
      </c>
      <c r="W99" s="119">
        <f t="shared" si="48"/>
        <v>0</v>
      </c>
      <c r="X99" s="134"/>
      <c r="Y99" s="135"/>
      <c r="Z99" s="201"/>
      <c r="AA99" s="201"/>
      <c r="AB99" s="201"/>
      <c r="AC99" s="201"/>
      <c r="AD99" s="201"/>
      <c r="AF99" s="201"/>
    </row>
    <row r="100" spans="2:32" x14ac:dyDescent="0.3">
      <c r="B100" s="22">
        <v>51</v>
      </c>
      <c r="C100" s="20"/>
      <c r="D100" s="25">
        <v>0</v>
      </c>
      <c r="E100" s="6">
        <f t="shared" si="36"/>
        <v>0</v>
      </c>
      <c r="F100" s="55">
        <f t="shared" si="37"/>
        <v>0</v>
      </c>
      <c r="G100" s="6">
        <v>79</v>
      </c>
      <c r="H100" s="1" t="str">
        <f t="shared" si="32"/>
        <v/>
      </c>
      <c r="I100" s="27"/>
      <c r="J100" s="72"/>
      <c r="K100" s="1"/>
      <c r="L100" s="121"/>
      <c r="M100" s="121"/>
      <c r="N100" s="7"/>
      <c r="O100" s="7"/>
      <c r="P100" s="7"/>
      <c r="Q100" s="120"/>
      <c r="R100" s="120"/>
      <c r="S100" s="120"/>
      <c r="T100" s="121"/>
      <c r="U100" s="7"/>
      <c r="V100" s="118">
        <f t="shared" si="47"/>
        <v>0</v>
      </c>
      <c r="W100" s="119">
        <f t="shared" si="48"/>
        <v>0</v>
      </c>
      <c r="X100" s="134"/>
      <c r="Y100" s="135"/>
      <c r="Z100" s="201"/>
      <c r="AA100" s="201"/>
      <c r="AB100" s="201"/>
      <c r="AC100" s="201"/>
      <c r="AD100" s="201"/>
      <c r="AF100" s="201"/>
    </row>
    <row r="101" spans="2:32" x14ac:dyDescent="0.3">
      <c r="B101" s="22">
        <v>63</v>
      </c>
      <c r="C101" s="20"/>
      <c r="D101" s="25">
        <v>0</v>
      </c>
      <c r="E101" s="6">
        <f t="shared" si="36"/>
        <v>0</v>
      </c>
      <c r="F101" s="55">
        <f t="shared" si="37"/>
        <v>0</v>
      </c>
      <c r="G101" s="6">
        <v>80</v>
      </c>
      <c r="H101" s="1" t="str">
        <f t="shared" si="32"/>
        <v/>
      </c>
      <c r="I101" s="27"/>
      <c r="J101" s="72"/>
      <c r="K101" s="1"/>
      <c r="L101" s="121"/>
      <c r="M101" s="121"/>
      <c r="N101" s="7"/>
      <c r="O101" s="7"/>
      <c r="P101" s="7"/>
      <c r="Q101" s="120"/>
      <c r="R101" s="120"/>
      <c r="S101" s="120"/>
      <c r="T101" s="121"/>
      <c r="U101" s="7"/>
      <c r="V101" s="118">
        <f t="shared" si="47"/>
        <v>0</v>
      </c>
      <c r="W101" s="119">
        <f t="shared" si="48"/>
        <v>0</v>
      </c>
      <c r="X101" s="134"/>
      <c r="Y101" s="135"/>
      <c r="Z101" s="201"/>
      <c r="AA101" s="201"/>
      <c r="AB101" s="201"/>
      <c r="AC101" s="201"/>
      <c r="AD101" s="201"/>
      <c r="AF101" s="201"/>
    </row>
  </sheetData>
  <sortState ref="B17:D96">
    <sortCondition descending="1" ref="D17:D96"/>
  </sortState>
  <mergeCells count="31">
    <mergeCell ref="AH20:AI21"/>
    <mergeCell ref="AH7:AH10"/>
    <mergeCell ref="AI7:AI10"/>
    <mergeCell ref="AG11:AG14"/>
    <mergeCell ref="AH11:AH14"/>
    <mergeCell ref="AI11:AI14"/>
    <mergeCell ref="AA2:AB15"/>
    <mergeCell ref="AG7:AG10"/>
    <mergeCell ref="AF7:AF10"/>
    <mergeCell ref="AE7:AE10"/>
    <mergeCell ref="AD7:AD10"/>
    <mergeCell ref="AD11:AD14"/>
    <mergeCell ref="AE11:AE14"/>
    <mergeCell ref="AF11:AF14"/>
    <mergeCell ref="AD17:AD18"/>
    <mergeCell ref="AE17:AH18"/>
    <mergeCell ref="AI17:AI18"/>
    <mergeCell ref="AE19:AH19"/>
    <mergeCell ref="Z20:AF20"/>
    <mergeCell ref="AD1:AI1"/>
    <mergeCell ref="AD2:AI2"/>
    <mergeCell ref="AD3:AI3"/>
    <mergeCell ref="AD4:AI4"/>
    <mergeCell ref="AD5:AI5"/>
    <mergeCell ref="N20:P20"/>
    <mergeCell ref="Q20:T20"/>
    <mergeCell ref="S5:T5"/>
    <mergeCell ref="U5:V5"/>
    <mergeCell ref="Q19:T19"/>
    <mergeCell ref="V20:Y20"/>
    <mergeCell ref="U19:Y1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121920</xdr:colOff>
                <xdr:row>1</xdr:row>
                <xdr:rowOff>160020</xdr:rowOff>
              </from>
              <to>
                <xdr:col>10</xdr:col>
                <xdr:colOff>175260</xdr:colOff>
                <xdr:row>6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8</xdr:col>
                <xdr:colOff>22860</xdr:colOff>
                <xdr:row>9</xdr:row>
                <xdr:rowOff>167640</xdr:rowOff>
              </from>
              <to>
                <xdr:col>13</xdr:col>
                <xdr:colOff>45720</xdr:colOff>
                <xdr:row>12</xdr:row>
                <xdr:rowOff>91440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13</xdr:col>
                <xdr:colOff>205740</xdr:colOff>
                <xdr:row>5</xdr:row>
                <xdr:rowOff>182880</xdr:rowOff>
              </from>
              <to>
                <xdr:col>15</xdr:col>
                <xdr:colOff>121920</xdr:colOff>
                <xdr:row>8</xdr:row>
                <xdr:rowOff>99060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 sizeWithCells="1">
              <from>
                <xdr:col>13</xdr:col>
                <xdr:colOff>114300</xdr:colOff>
                <xdr:row>8</xdr:row>
                <xdr:rowOff>114300</xdr:rowOff>
              </from>
              <to>
                <xdr:col>15</xdr:col>
                <xdr:colOff>579120</xdr:colOff>
                <xdr:row>11</xdr:row>
                <xdr:rowOff>167640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autoPict="0" r:id="rId13">
            <anchor moveWithCells="1" sizeWithCells="1">
              <from>
                <xdr:col>32</xdr:col>
                <xdr:colOff>129540</xdr:colOff>
                <xdr:row>6</xdr:row>
                <xdr:rowOff>45720</xdr:rowOff>
              </from>
              <to>
                <xdr:col>32</xdr:col>
                <xdr:colOff>2476500</xdr:colOff>
                <xdr:row>9</xdr:row>
                <xdr:rowOff>30480</xdr:rowOff>
              </to>
            </anchor>
          </objectPr>
        </oleObject>
      </mc:Choice>
      <mc:Fallback>
        <oleObject progId="Equation.3" shapeId="2053" r:id="rId12"/>
      </mc:Fallback>
    </mc:AlternateContent>
    <mc:AlternateContent xmlns:mc="http://schemas.openxmlformats.org/markup-compatibility/2006">
      <mc:Choice Requires="x14">
        <oleObject progId="Equation.3" shapeId="2054" r:id="rId14">
          <objectPr defaultSize="0" autoPict="0" r:id="rId15">
            <anchor moveWithCells="1" sizeWithCells="1">
              <from>
                <xdr:col>32</xdr:col>
                <xdr:colOff>114300</xdr:colOff>
                <xdr:row>9</xdr:row>
                <xdr:rowOff>175260</xdr:rowOff>
              </from>
              <to>
                <xdr:col>32</xdr:col>
                <xdr:colOff>2308860</xdr:colOff>
                <xdr:row>13</xdr:row>
                <xdr:rowOff>22860</xdr:rowOff>
              </to>
            </anchor>
          </objectPr>
        </oleObject>
      </mc:Choice>
      <mc:Fallback>
        <oleObject progId="Equation.3" shapeId="2054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opLeftCell="AB1" workbookViewId="0">
      <selection activeCell="AK9" sqref="AK9"/>
    </sheetView>
  </sheetViews>
  <sheetFormatPr defaultRowHeight="14.4" x14ac:dyDescent="0.3"/>
  <cols>
    <col min="13" max="14" width="8.88671875" style="5"/>
    <col min="15" max="15" width="1.6640625" customWidth="1"/>
    <col min="19" max="19" width="2.88671875" customWidth="1"/>
    <col min="20" max="20" width="5" customWidth="1"/>
    <col min="21" max="21" width="2.88671875" customWidth="1"/>
    <col min="36" max="36" width="8.33203125" customWidth="1"/>
    <col min="37" max="37" width="9.5546875" customWidth="1"/>
    <col min="38" max="38" width="10.5546875" customWidth="1"/>
  </cols>
  <sheetData>
    <row r="1" spans="1:50" x14ac:dyDescent="0.3">
      <c r="X1" s="110" t="s">
        <v>101</v>
      </c>
    </row>
    <row r="2" spans="1:50" ht="15" thickBot="1" x14ac:dyDescent="0.35">
      <c r="X2" s="110"/>
    </row>
    <row r="3" spans="1:50" ht="15.6" customHeight="1" thickTop="1" thickBot="1" x14ac:dyDescent="0.35">
      <c r="A3" s="156" t="s">
        <v>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  <c r="X3" s="156" t="s">
        <v>46</v>
      </c>
      <c r="Y3" s="157"/>
      <c r="Z3" s="157"/>
      <c r="AA3" s="157"/>
      <c r="AB3" s="157"/>
      <c r="AC3" s="157"/>
      <c r="AD3" s="158"/>
      <c r="AP3" s="156" t="s">
        <v>73</v>
      </c>
      <c r="AQ3" s="157"/>
      <c r="AR3" s="157"/>
      <c r="AS3" s="157"/>
      <c r="AT3" s="157"/>
      <c r="AU3" s="157"/>
      <c r="AV3" s="158"/>
    </row>
    <row r="4" spans="1:50" ht="15.6" customHeight="1" thickTop="1" thickBot="1" x14ac:dyDescent="0.35">
      <c r="B4" s="159" t="s">
        <v>48</v>
      </c>
      <c r="C4" s="159" t="s">
        <v>49</v>
      </c>
      <c r="D4" s="161" t="s">
        <v>74</v>
      </c>
      <c r="E4" s="162"/>
      <c r="F4" s="162"/>
      <c r="G4" s="163"/>
      <c r="H4" s="159" t="s">
        <v>47</v>
      </c>
      <c r="I4" s="161" t="s">
        <v>50</v>
      </c>
      <c r="J4" s="162"/>
      <c r="K4" s="162"/>
      <c r="L4" s="162"/>
      <c r="M4" s="164" t="s">
        <v>75</v>
      </c>
      <c r="N4" s="164" t="s">
        <v>76</v>
      </c>
      <c r="P4" s="2" t="s">
        <v>77</v>
      </c>
      <c r="Q4" s="2"/>
      <c r="R4" s="2">
        <v>40</v>
      </c>
      <c r="S4" s="2"/>
      <c r="T4" s="2"/>
      <c r="U4" s="2"/>
      <c r="V4" s="2"/>
      <c r="X4" s="159" t="s">
        <v>47</v>
      </c>
      <c r="Y4" s="159" t="s">
        <v>48</v>
      </c>
      <c r="Z4" s="159" t="s">
        <v>49</v>
      </c>
      <c r="AA4" s="161" t="s">
        <v>50</v>
      </c>
      <c r="AB4" s="162"/>
      <c r="AC4" s="162"/>
      <c r="AD4" s="163"/>
      <c r="AP4" s="148" t="s">
        <v>47</v>
      </c>
      <c r="AQ4" s="148" t="s">
        <v>48</v>
      </c>
      <c r="AR4" s="148" t="s">
        <v>49</v>
      </c>
      <c r="AS4" s="165" t="s">
        <v>50</v>
      </c>
      <c r="AT4" s="166"/>
      <c r="AU4" s="166"/>
      <c r="AV4" s="167"/>
    </row>
    <row r="5" spans="1:50" ht="27" thickBot="1" x14ac:dyDescent="0.35">
      <c r="B5" s="160"/>
      <c r="C5" s="160"/>
      <c r="D5" s="64" t="s">
        <v>78</v>
      </c>
      <c r="E5" s="64" t="s">
        <v>79</v>
      </c>
      <c r="F5" s="64" t="s">
        <v>80</v>
      </c>
      <c r="G5" s="64" t="s">
        <v>81</v>
      </c>
      <c r="H5" s="160"/>
      <c r="I5" s="64" t="s">
        <v>51</v>
      </c>
      <c r="J5" s="64" t="s">
        <v>52</v>
      </c>
      <c r="K5" s="64" t="s">
        <v>53</v>
      </c>
      <c r="L5" s="66" t="s">
        <v>54</v>
      </c>
      <c r="M5" s="164"/>
      <c r="N5" s="164"/>
      <c r="P5" s="2"/>
      <c r="Q5" s="2" t="s">
        <v>82</v>
      </c>
      <c r="R5" s="2">
        <f>PI()*R4^2</f>
        <v>5026.5482457436692</v>
      </c>
      <c r="S5" s="2"/>
      <c r="T5" s="2"/>
      <c r="U5" s="2"/>
      <c r="V5" s="2"/>
      <c r="X5" s="160"/>
      <c r="Y5" s="160"/>
      <c r="Z5" s="160"/>
      <c r="AA5" s="81" t="s">
        <v>51</v>
      </c>
      <c r="AB5" s="81" t="s">
        <v>52</v>
      </c>
      <c r="AC5" s="81" t="s">
        <v>53</v>
      </c>
      <c r="AD5" s="82" t="s">
        <v>54</v>
      </c>
      <c r="AE5" s="83" t="s">
        <v>75</v>
      </c>
      <c r="AF5" s="83" t="s">
        <v>57</v>
      </c>
      <c r="AG5" s="84"/>
      <c r="AP5" s="149"/>
      <c r="AQ5" s="149"/>
      <c r="AR5" s="149"/>
      <c r="AS5" s="81" t="s">
        <v>51</v>
      </c>
      <c r="AT5" s="81" t="s">
        <v>52</v>
      </c>
      <c r="AU5" s="81" t="s">
        <v>53</v>
      </c>
      <c r="AV5" s="82" t="s">
        <v>54</v>
      </c>
      <c r="AW5" s="83" t="s">
        <v>75</v>
      </c>
      <c r="AX5" s="83" t="s">
        <v>57</v>
      </c>
    </row>
    <row r="6" spans="1:50" ht="15" thickBot="1" x14ac:dyDescent="0.35">
      <c r="B6" s="85" t="s">
        <v>55</v>
      </c>
      <c r="C6" s="85">
        <v>25.46</v>
      </c>
      <c r="D6" s="85">
        <v>7.4</v>
      </c>
      <c r="E6" s="85">
        <v>2.7</v>
      </c>
      <c r="F6" s="85">
        <v>2.2000000000000002</v>
      </c>
      <c r="G6" s="85">
        <v>1.8</v>
      </c>
      <c r="H6" s="86">
        <v>1</v>
      </c>
      <c r="I6" s="85">
        <v>3</v>
      </c>
      <c r="J6" s="85">
        <v>4.4000000000000004</v>
      </c>
      <c r="K6" s="85">
        <v>2.2999999999999998</v>
      </c>
      <c r="L6" s="87">
        <v>4.7</v>
      </c>
      <c r="M6" s="6">
        <f>AVERAGE(I6:L6)</f>
        <v>3.5999999999999996</v>
      </c>
      <c r="N6" s="88">
        <f>PI()*M6^2</f>
        <v>40.715040790523709</v>
      </c>
      <c r="P6" s="2"/>
      <c r="Q6" s="2"/>
      <c r="R6" s="2"/>
      <c r="S6" s="2"/>
      <c r="T6" s="2"/>
      <c r="U6" s="2"/>
      <c r="V6" s="2"/>
      <c r="X6" s="65">
        <v>1</v>
      </c>
      <c r="Y6" s="81" t="s">
        <v>55</v>
      </c>
      <c r="Z6" s="64">
        <v>25.46</v>
      </c>
      <c r="AA6" s="81">
        <v>3</v>
      </c>
      <c r="AB6" s="81">
        <v>4.4000000000000004</v>
      </c>
      <c r="AC6" s="81">
        <v>2.2999999999999998</v>
      </c>
      <c r="AD6" s="82">
        <v>4.7</v>
      </c>
      <c r="AE6" s="1">
        <f>AVERAGE(AA6:AD6)</f>
        <v>3.5999999999999996</v>
      </c>
      <c r="AF6" s="1">
        <f>PI()*AE6^2</f>
        <v>40.715040790523709</v>
      </c>
      <c r="AH6" t="s">
        <v>83</v>
      </c>
      <c r="AI6" s="67" t="s">
        <v>84</v>
      </c>
      <c r="AJ6" s="89">
        <f>100/(AK16*2*SQRT(AK18))</f>
        <v>0.77446383251579887</v>
      </c>
      <c r="AL6" s="67" t="s">
        <v>85</v>
      </c>
      <c r="AM6" s="89">
        <f>AK15/AK11*100</f>
        <v>38.625898437499998</v>
      </c>
      <c r="AP6" s="90">
        <v>1</v>
      </c>
      <c r="AQ6" s="81" t="s">
        <v>55</v>
      </c>
      <c r="AR6" s="81">
        <v>28.01</v>
      </c>
      <c r="AS6" s="81">
        <v>2.1</v>
      </c>
      <c r="AT6" s="81">
        <v>4.5999999999999996</v>
      </c>
      <c r="AU6" s="81">
        <v>3.9</v>
      </c>
      <c r="AV6" s="82">
        <v>2.2999999999999998</v>
      </c>
      <c r="AW6" s="1">
        <f>AVERAGE(AS6:AV6)</f>
        <v>3.2249999999999996</v>
      </c>
      <c r="AX6" s="1">
        <f>PI()*AW6^2</f>
        <v>32.674527092742338</v>
      </c>
    </row>
    <row r="7" spans="1:50" ht="15" thickBot="1" x14ac:dyDescent="0.35">
      <c r="B7" s="85" t="s">
        <v>55</v>
      </c>
      <c r="C7" s="85">
        <v>42.02</v>
      </c>
      <c r="D7" s="85">
        <v>9.8000000000000007</v>
      </c>
      <c r="E7" s="85">
        <v>3</v>
      </c>
      <c r="F7" s="85">
        <v>3.1</v>
      </c>
      <c r="G7" s="85">
        <v>3.6</v>
      </c>
      <c r="H7" s="86">
        <v>2</v>
      </c>
      <c r="I7" s="85">
        <v>5.2</v>
      </c>
      <c r="J7" s="85">
        <v>7.4</v>
      </c>
      <c r="K7" s="85">
        <v>4.5</v>
      </c>
      <c r="L7" s="87">
        <v>6.2</v>
      </c>
      <c r="M7" s="6">
        <f t="shared" ref="M7:M36" si="0">AVERAGE(I7:L7)</f>
        <v>5.8250000000000002</v>
      </c>
      <c r="N7" s="88">
        <f t="shared" ref="N7:N36" si="1">PI()*M7^2</f>
        <v>106.59620223171017</v>
      </c>
      <c r="P7" s="2" t="s">
        <v>86</v>
      </c>
      <c r="Q7" s="2"/>
      <c r="R7" s="91">
        <f>SUM(N6:N36)</f>
        <v>1941.5494203128876</v>
      </c>
      <c r="S7" s="2"/>
      <c r="T7" s="2"/>
      <c r="U7" s="2"/>
      <c r="V7" s="2"/>
      <c r="X7" s="65">
        <v>2</v>
      </c>
      <c r="Y7" s="81" t="s">
        <v>55</v>
      </c>
      <c r="Z7" s="64">
        <v>42.02</v>
      </c>
      <c r="AA7" s="81">
        <v>5.2</v>
      </c>
      <c r="AB7" s="81">
        <v>7.4</v>
      </c>
      <c r="AC7" s="81">
        <v>4.5</v>
      </c>
      <c r="AD7" s="82">
        <v>6.2</v>
      </c>
      <c r="AE7" s="1">
        <f t="shared" ref="AE7:AE36" si="2">AVERAGE(AA7:AD7)</f>
        <v>5.8250000000000002</v>
      </c>
      <c r="AF7" s="1">
        <f t="shared" ref="AF7:AF36" si="3">PI()*AE7^2</f>
        <v>106.59620223171017</v>
      </c>
      <c r="AH7" t="s">
        <v>87</v>
      </c>
      <c r="AI7" s="67" t="s">
        <v>84</v>
      </c>
      <c r="AJ7" s="89">
        <f>100/(AL16*2*SQRT(AL18))</f>
        <v>0.74806195594976199</v>
      </c>
      <c r="AL7" s="67" t="s">
        <v>85</v>
      </c>
      <c r="AM7" s="89">
        <f>AL15/AK11*100</f>
        <v>40.651767578125003</v>
      </c>
      <c r="AP7" s="90">
        <v>2</v>
      </c>
      <c r="AQ7" s="81" t="s">
        <v>55</v>
      </c>
      <c r="AR7" s="81">
        <v>31.83</v>
      </c>
      <c r="AS7" s="81">
        <v>1.8</v>
      </c>
      <c r="AT7" s="81">
        <v>3.8</v>
      </c>
      <c r="AU7" s="81">
        <v>2.8</v>
      </c>
      <c r="AV7" s="82">
        <v>3.9</v>
      </c>
      <c r="AW7" s="1">
        <f t="shared" ref="AW7:AW52" si="4">AVERAGE(AS7:AV7)</f>
        <v>3.0749999999999997</v>
      </c>
      <c r="AX7" s="1">
        <f t="shared" ref="AX7:AX52" si="5">PI()*AW7^2</f>
        <v>29.705722035099981</v>
      </c>
    </row>
    <row r="8" spans="1:50" ht="15" thickBot="1" x14ac:dyDescent="0.35">
      <c r="B8" s="85" t="s">
        <v>55</v>
      </c>
      <c r="C8" s="85">
        <v>34.06</v>
      </c>
      <c r="D8" s="85">
        <v>9.3000000000000007</v>
      </c>
      <c r="E8" s="85">
        <v>3.1</v>
      </c>
      <c r="F8" s="85">
        <v>2.9</v>
      </c>
      <c r="G8" s="85">
        <v>2.2000000000000002</v>
      </c>
      <c r="H8" s="86">
        <v>3</v>
      </c>
      <c r="I8" s="85">
        <v>4.5999999999999996</v>
      </c>
      <c r="J8" s="85">
        <v>6.2</v>
      </c>
      <c r="K8" s="85">
        <v>2.7</v>
      </c>
      <c r="L8" s="87">
        <v>3.9</v>
      </c>
      <c r="M8" s="6">
        <f t="shared" si="0"/>
        <v>4.3499999999999996</v>
      </c>
      <c r="N8" s="88">
        <f t="shared" si="1"/>
        <v>59.446786987552848</v>
      </c>
      <c r="P8" s="2"/>
      <c r="Q8" s="2"/>
      <c r="R8" s="2"/>
      <c r="S8" s="2"/>
      <c r="T8" s="2"/>
      <c r="U8" s="2"/>
      <c r="V8" s="2"/>
      <c r="X8" s="65">
        <v>3</v>
      </c>
      <c r="Y8" s="81" t="s">
        <v>55</v>
      </c>
      <c r="Z8" s="64">
        <v>34.06</v>
      </c>
      <c r="AA8" s="81">
        <v>4.5999999999999996</v>
      </c>
      <c r="AB8" s="81">
        <v>6.2</v>
      </c>
      <c r="AC8" s="81">
        <v>2.7</v>
      </c>
      <c r="AD8" s="82">
        <v>3.9</v>
      </c>
      <c r="AE8" s="1">
        <f t="shared" si="2"/>
        <v>4.3499999999999996</v>
      </c>
      <c r="AF8" s="1">
        <f t="shared" si="3"/>
        <v>59.446786987552848</v>
      </c>
      <c r="AP8" s="90">
        <v>3</v>
      </c>
      <c r="AQ8" s="81" t="s">
        <v>55</v>
      </c>
      <c r="AR8" s="81">
        <v>42.65</v>
      </c>
      <c r="AS8" s="81">
        <v>3.5</v>
      </c>
      <c r="AT8" s="81">
        <v>7</v>
      </c>
      <c r="AU8" s="81">
        <v>3.9</v>
      </c>
      <c r="AV8" s="82">
        <v>5.3</v>
      </c>
      <c r="AW8" s="1">
        <f t="shared" si="4"/>
        <v>4.9249999999999998</v>
      </c>
      <c r="AX8" s="1">
        <f t="shared" si="5"/>
        <v>76.201293308228927</v>
      </c>
    </row>
    <row r="9" spans="1:50" ht="15" thickBot="1" x14ac:dyDescent="0.35">
      <c r="B9" s="85" t="s">
        <v>55</v>
      </c>
      <c r="C9" s="85">
        <v>22.6</v>
      </c>
      <c r="D9" s="85">
        <v>7.1</v>
      </c>
      <c r="E9" s="85">
        <v>2.1</v>
      </c>
      <c r="F9" s="85">
        <v>1.6</v>
      </c>
      <c r="G9" s="85">
        <v>1.5</v>
      </c>
      <c r="H9" s="86">
        <v>4</v>
      </c>
      <c r="I9" s="85">
        <v>1.9</v>
      </c>
      <c r="J9" s="85">
        <v>3</v>
      </c>
      <c r="K9" s="85">
        <v>3.1</v>
      </c>
      <c r="L9" s="87">
        <v>3.3</v>
      </c>
      <c r="M9" s="6">
        <f t="shared" si="0"/>
        <v>2.8250000000000002</v>
      </c>
      <c r="N9" s="88">
        <f t="shared" si="1"/>
        <v>25.071872871055046</v>
      </c>
      <c r="P9" s="2"/>
      <c r="Q9" s="92" t="s">
        <v>88</v>
      </c>
      <c r="R9" s="93">
        <f>R7</f>
        <v>1941.5494203128876</v>
      </c>
      <c r="S9" s="94" t="s">
        <v>89</v>
      </c>
      <c r="T9" s="95">
        <v>100</v>
      </c>
      <c r="U9" s="94" t="s">
        <v>90</v>
      </c>
      <c r="V9" s="96">
        <f>R9/R10*100</f>
        <v>38.625898437499998</v>
      </c>
      <c r="X9" s="65">
        <v>4</v>
      </c>
      <c r="Y9" s="81" t="s">
        <v>55</v>
      </c>
      <c r="Z9" s="64">
        <v>22.6</v>
      </c>
      <c r="AA9" s="81">
        <v>1.9</v>
      </c>
      <c r="AB9" s="81">
        <v>3</v>
      </c>
      <c r="AC9" s="81">
        <v>3.1</v>
      </c>
      <c r="AD9" s="82">
        <v>3.3</v>
      </c>
      <c r="AE9" s="1">
        <f t="shared" si="2"/>
        <v>2.8250000000000002</v>
      </c>
      <c r="AF9" s="1">
        <f t="shared" si="3"/>
        <v>25.071872871055046</v>
      </c>
      <c r="AH9" s="97" t="s">
        <v>91</v>
      </c>
      <c r="AI9" s="97"/>
      <c r="AJ9" s="97"/>
      <c r="AK9" s="97"/>
      <c r="AL9" s="97"/>
      <c r="AM9" s="97"/>
      <c r="AN9" s="97"/>
      <c r="AP9" s="90">
        <v>4</v>
      </c>
      <c r="AQ9" s="81" t="s">
        <v>55</v>
      </c>
      <c r="AR9" s="81">
        <v>19.739999999999998</v>
      </c>
      <c r="AS9" s="81">
        <v>4.4000000000000004</v>
      </c>
      <c r="AT9" s="81">
        <v>1.8</v>
      </c>
      <c r="AU9" s="81">
        <v>2.6</v>
      </c>
      <c r="AV9" s="82">
        <v>0.8</v>
      </c>
      <c r="AW9" s="1">
        <f t="shared" si="4"/>
        <v>2.4000000000000004</v>
      </c>
      <c r="AX9" s="1">
        <f t="shared" si="5"/>
        <v>18.095573684677213</v>
      </c>
    </row>
    <row r="10" spans="1:50" ht="15" thickBot="1" x14ac:dyDescent="0.35">
      <c r="B10" s="85" t="s">
        <v>55</v>
      </c>
      <c r="C10" s="85">
        <v>44.56</v>
      </c>
      <c r="D10" s="85">
        <v>8.8000000000000007</v>
      </c>
      <c r="E10" s="85">
        <v>3</v>
      </c>
      <c r="F10" s="85">
        <v>1.4</v>
      </c>
      <c r="G10" s="85">
        <v>2.7</v>
      </c>
      <c r="H10" s="86">
        <v>5</v>
      </c>
      <c r="I10" s="85">
        <v>2</v>
      </c>
      <c r="J10" s="85">
        <v>4.2</v>
      </c>
      <c r="K10" s="85">
        <v>4.0999999999999996</v>
      </c>
      <c r="L10" s="87">
        <v>5.4</v>
      </c>
      <c r="M10" s="6">
        <f t="shared" si="0"/>
        <v>3.9250000000000003</v>
      </c>
      <c r="N10" s="88">
        <f t="shared" si="1"/>
        <v>48.398198323959264</v>
      </c>
      <c r="P10" s="2"/>
      <c r="Q10" s="2"/>
      <c r="R10" s="98">
        <f>R5</f>
        <v>5026.5482457436692</v>
      </c>
      <c r="S10" s="2"/>
      <c r="T10" s="2"/>
      <c r="U10" s="2"/>
      <c r="V10" s="2"/>
      <c r="X10" s="65">
        <v>5</v>
      </c>
      <c r="Y10" s="81" t="s">
        <v>55</v>
      </c>
      <c r="Z10" s="64">
        <v>44.56</v>
      </c>
      <c r="AA10" s="81">
        <v>2</v>
      </c>
      <c r="AB10" s="81">
        <v>4.2</v>
      </c>
      <c r="AC10" s="81">
        <v>4.0999999999999996</v>
      </c>
      <c r="AD10" s="82">
        <v>5.4</v>
      </c>
      <c r="AE10" s="1">
        <f t="shared" si="2"/>
        <v>3.9250000000000003</v>
      </c>
      <c r="AF10" s="1">
        <f t="shared" si="3"/>
        <v>48.398198323959264</v>
      </c>
      <c r="AJ10" s="67" t="s">
        <v>92</v>
      </c>
      <c r="AK10" s="16">
        <v>40</v>
      </c>
      <c r="AP10" s="90">
        <v>5</v>
      </c>
      <c r="AQ10" s="81" t="s">
        <v>55</v>
      </c>
      <c r="AR10" s="81">
        <v>34.380000000000003</v>
      </c>
      <c r="AS10" s="81">
        <v>4.3</v>
      </c>
      <c r="AT10" s="81">
        <v>0</v>
      </c>
      <c r="AU10" s="81">
        <v>5.0999999999999996</v>
      </c>
      <c r="AV10" s="82">
        <v>0</v>
      </c>
      <c r="AW10" s="1">
        <f t="shared" si="4"/>
        <v>2.3499999999999996</v>
      </c>
      <c r="AX10" s="1">
        <f t="shared" si="5"/>
        <v>17.349445429449627</v>
      </c>
    </row>
    <row r="11" spans="1:50" ht="15" thickBot="1" x14ac:dyDescent="0.35">
      <c r="B11" s="85" t="s">
        <v>55</v>
      </c>
      <c r="C11" s="85">
        <v>44.88</v>
      </c>
      <c r="D11" s="85">
        <v>7.8</v>
      </c>
      <c r="E11" s="85">
        <v>2.4</v>
      </c>
      <c r="F11" s="85">
        <v>1.9</v>
      </c>
      <c r="G11" s="85">
        <v>2.4</v>
      </c>
      <c r="H11" s="86">
        <v>6</v>
      </c>
      <c r="I11" s="85">
        <v>5</v>
      </c>
      <c r="J11" s="85">
        <v>4.9000000000000004</v>
      </c>
      <c r="K11" s="85">
        <v>5.6</v>
      </c>
      <c r="L11" s="87">
        <v>4.9000000000000004</v>
      </c>
      <c r="M11" s="6">
        <f t="shared" si="0"/>
        <v>5.0999999999999996</v>
      </c>
      <c r="N11" s="88">
        <f t="shared" si="1"/>
        <v>81.712824919870513</v>
      </c>
      <c r="P11" s="2"/>
      <c r="Q11" s="2"/>
      <c r="R11" s="2"/>
      <c r="S11" s="2"/>
      <c r="T11" s="2"/>
      <c r="U11" s="2"/>
      <c r="V11" s="2"/>
      <c r="X11" s="65">
        <v>6</v>
      </c>
      <c r="Y11" s="81" t="s">
        <v>55</v>
      </c>
      <c r="Z11" s="64">
        <v>44.88</v>
      </c>
      <c r="AA11" s="81">
        <v>5</v>
      </c>
      <c r="AB11" s="81">
        <v>4.9000000000000004</v>
      </c>
      <c r="AC11" s="81">
        <v>5.6</v>
      </c>
      <c r="AD11" s="82">
        <v>4.9000000000000004</v>
      </c>
      <c r="AE11" s="1">
        <f t="shared" si="2"/>
        <v>5.0999999999999996</v>
      </c>
      <c r="AF11" s="1">
        <f t="shared" si="3"/>
        <v>81.712824919870513</v>
      </c>
      <c r="AJ11" s="67" t="s">
        <v>12</v>
      </c>
      <c r="AK11" s="68">
        <f>PI()*AK10^2</f>
        <v>5026.5482457436692</v>
      </c>
      <c r="AP11" s="90">
        <v>6</v>
      </c>
      <c r="AQ11" s="81" t="s">
        <v>55</v>
      </c>
      <c r="AR11" s="81">
        <v>31.19</v>
      </c>
      <c r="AS11" s="81">
        <v>0</v>
      </c>
      <c r="AT11" s="81">
        <v>5.4</v>
      </c>
      <c r="AU11" s="81">
        <v>1.4</v>
      </c>
      <c r="AV11" s="82">
        <v>4.8</v>
      </c>
      <c r="AW11" s="1">
        <f t="shared" si="4"/>
        <v>2.9000000000000004</v>
      </c>
      <c r="AX11" s="1">
        <f t="shared" si="5"/>
        <v>26.420794216690165</v>
      </c>
    </row>
    <row r="12" spans="1:50" ht="15" thickBot="1" x14ac:dyDescent="0.35">
      <c r="B12" s="85" t="s">
        <v>55</v>
      </c>
      <c r="C12" s="85">
        <v>31.19</v>
      </c>
      <c r="D12" s="85">
        <v>10.4</v>
      </c>
      <c r="E12" s="85">
        <v>4.2</v>
      </c>
      <c r="F12" s="85">
        <v>5.0999999999999996</v>
      </c>
      <c r="G12" s="85">
        <v>2.7</v>
      </c>
      <c r="H12" s="86">
        <v>7</v>
      </c>
      <c r="I12" s="85">
        <v>2.5</v>
      </c>
      <c r="J12" s="85">
        <v>6.5</v>
      </c>
      <c r="K12" s="85">
        <v>2.2000000000000002</v>
      </c>
      <c r="L12" s="87">
        <v>4.2</v>
      </c>
      <c r="M12" s="6">
        <f t="shared" si="0"/>
        <v>3.8499999999999996</v>
      </c>
      <c r="N12" s="88">
        <f t="shared" si="1"/>
        <v>46.566257107834701</v>
      </c>
      <c r="P12" s="2"/>
      <c r="Q12" s="2"/>
      <c r="R12" s="2"/>
      <c r="S12" s="2"/>
      <c r="T12" s="2"/>
      <c r="U12" s="2"/>
      <c r="V12" s="2"/>
      <c r="X12" s="65">
        <v>7</v>
      </c>
      <c r="Y12" s="81" t="s">
        <v>55</v>
      </c>
      <c r="Z12" s="64">
        <v>31.19</v>
      </c>
      <c r="AA12" s="81">
        <v>2.5</v>
      </c>
      <c r="AB12" s="81">
        <v>6.5</v>
      </c>
      <c r="AC12" s="81">
        <v>2.2000000000000002</v>
      </c>
      <c r="AD12" s="82">
        <v>4.2</v>
      </c>
      <c r="AE12" s="1">
        <f t="shared" si="2"/>
        <v>3.8499999999999996</v>
      </c>
      <c r="AF12" s="1">
        <f t="shared" si="3"/>
        <v>46.566257107834701</v>
      </c>
      <c r="AJ12" s="67" t="s">
        <v>93</v>
      </c>
      <c r="AK12" s="89">
        <f>10000/AK11</f>
        <v>1.9894367886486917</v>
      </c>
      <c r="AP12" s="90">
        <v>7</v>
      </c>
      <c r="AQ12" s="81" t="s">
        <v>55</v>
      </c>
      <c r="AR12" s="81">
        <v>23.55</v>
      </c>
      <c r="AS12" s="81">
        <v>1.1000000000000001</v>
      </c>
      <c r="AT12" s="81">
        <v>1.5</v>
      </c>
      <c r="AU12" s="81">
        <v>1.5</v>
      </c>
      <c r="AV12" s="82">
        <v>1</v>
      </c>
      <c r="AW12" s="1">
        <f t="shared" si="4"/>
        <v>1.2749999999999999</v>
      </c>
      <c r="AX12" s="1">
        <f t="shared" si="5"/>
        <v>5.1070515574919071</v>
      </c>
    </row>
    <row r="13" spans="1:50" ht="15" thickBot="1" x14ac:dyDescent="0.35">
      <c r="B13" s="85" t="s">
        <v>55</v>
      </c>
      <c r="C13" s="85">
        <v>60.8</v>
      </c>
      <c r="D13" s="85">
        <v>14</v>
      </c>
      <c r="E13" s="85">
        <v>2.4</v>
      </c>
      <c r="F13" s="85">
        <v>2.2000000000000002</v>
      </c>
      <c r="G13" s="85">
        <v>3.4</v>
      </c>
      <c r="H13" s="86">
        <v>8</v>
      </c>
      <c r="I13" s="85">
        <v>6.6</v>
      </c>
      <c r="J13" s="85">
        <v>9.1</v>
      </c>
      <c r="K13" s="85">
        <v>8.3000000000000007</v>
      </c>
      <c r="L13" s="87">
        <v>7.8</v>
      </c>
      <c r="M13" s="6">
        <f t="shared" si="0"/>
        <v>7.95</v>
      </c>
      <c r="N13" s="88">
        <f t="shared" si="1"/>
        <v>198.5565096885089</v>
      </c>
      <c r="X13" s="65">
        <v>8</v>
      </c>
      <c r="Y13" s="81" t="s">
        <v>55</v>
      </c>
      <c r="Z13" s="64">
        <v>60.8</v>
      </c>
      <c r="AA13" s="81">
        <v>6.6</v>
      </c>
      <c r="AB13" s="81">
        <v>9.1</v>
      </c>
      <c r="AC13" s="81">
        <v>8.3000000000000007</v>
      </c>
      <c r="AD13" s="82">
        <v>7.8</v>
      </c>
      <c r="AE13" s="1">
        <f t="shared" si="2"/>
        <v>7.95</v>
      </c>
      <c r="AF13" s="1">
        <f t="shared" si="3"/>
        <v>198.5565096885089</v>
      </c>
      <c r="AP13" s="90">
        <v>8</v>
      </c>
      <c r="AQ13" s="81" t="s">
        <v>55</v>
      </c>
      <c r="AR13" s="81">
        <v>29.92</v>
      </c>
      <c r="AS13" s="81">
        <v>5.4</v>
      </c>
      <c r="AT13" s="81">
        <v>5.6</v>
      </c>
      <c r="AU13" s="81">
        <v>3.1</v>
      </c>
      <c r="AV13" s="82">
        <v>4.0999999999999996</v>
      </c>
      <c r="AW13" s="1">
        <f t="shared" si="4"/>
        <v>4.55</v>
      </c>
      <c r="AX13" s="1">
        <f t="shared" si="5"/>
        <v>65.038821910942687</v>
      </c>
    </row>
    <row r="14" spans="1:50" ht="15" thickBot="1" x14ac:dyDescent="0.35">
      <c r="B14" s="85" t="s">
        <v>55</v>
      </c>
      <c r="C14" s="85">
        <v>27.69</v>
      </c>
      <c r="D14" s="85">
        <v>8.4</v>
      </c>
      <c r="E14" s="85">
        <v>3.3</v>
      </c>
      <c r="F14" s="85">
        <v>2.5</v>
      </c>
      <c r="G14" s="85">
        <v>2.2000000000000002</v>
      </c>
      <c r="H14" s="86">
        <v>9</v>
      </c>
      <c r="I14" s="85">
        <v>2.4</v>
      </c>
      <c r="J14" s="85">
        <v>4.2</v>
      </c>
      <c r="K14" s="85">
        <v>5.0999999999999996</v>
      </c>
      <c r="L14" s="87">
        <v>3.8</v>
      </c>
      <c r="M14" s="6">
        <f t="shared" si="0"/>
        <v>3.875</v>
      </c>
      <c r="N14" s="88">
        <f t="shared" si="1"/>
        <v>47.172977189059239</v>
      </c>
      <c r="X14" s="65">
        <v>9</v>
      </c>
      <c r="Y14" s="81" t="s">
        <v>55</v>
      </c>
      <c r="Z14" s="64">
        <v>27.69</v>
      </c>
      <c r="AA14" s="81">
        <v>2.4</v>
      </c>
      <c r="AB14" s="81">
        <v>4.2</v>
      </c>
      <c r="AC14" s="81">
        <v>5.0999999999999996</v>
      </c>
      <c r="AD14" s="82">
        <v>3.8</v>
      </c>
      <c r="AE14" s="1">
        <f t="shared" si="2"/>
        <v>3.875</v>
      </c>
      <c r="AF14" s="1">
        <f t="shared" si="3"/>
        <v>47.172977189059239</v>
      </c>
      <c r="AK14" s="40" t="s">
        <v>83</v>
      </c>
      <c r="AL14" s="40" t="s">
        <v>87</v>
      </c>
      <c r="AP14" s="90">
        <v>9</v>
      </c>
      <c r="AQ14" s="81" t="s">
        <v>55</v>
      </c>
      <c r="AR14" s="81">
        <v>51.25</v>
      </c>
      <c r="AS14" s="81">
        <v>5.5</v>
      </c>
      <c r="AT14" s="81">
        <v>3.6</v>
      </c>
      <c r="AU14" s="81">
        <v>0</v>
      </c>
      <c r="AV14" s="82">
        <v>7.2</v>
      </c>
      <c r="AW14" s="1">
        <f t="shared" si="4"/>
        <v>4.0750000000000002</v>
      </c>
      <c r="AX14" s="1">
        <f t="shared" si="5"/>
        <v>52.168109508267008</v>
      </c>
    </row>
    <row r="15" spans="1:50" ht="15" thickBot="1" x14ac:dyDescent="0.35">
      <c r="B15" s="85" t="s">
        <v>55</v>
      </c>
      <c r="C15" s="85">
        <v>27.37</v>
      </c>
      <c r="D15" s="85">
        <v>7.2</v>
      </c>
      <c r="E15" s="85">
        <v>2.8</v>
      </c>
      <c r="F15" s="85">
        <v>1.6</v>
      </c>
      <c r="G15" s="85">
        <v>2</v>
      </c>
      <c r="H15" s="86">
        <v>10</v>
      </c>
      <c r="I15" s="85">
        <v>2.9</v>
      </c>
      <c r="J15" s="85">
        <v>5.5</v>
      </c>
      <c r="K15" s="85">
        <v>2.6</v>
      </c>
      <c r="L15" s="87">
        <v>3.8</v>
      </c>
      <c r="M15" s="6">
        <f t="shared" si="0"/>
        <v>3.7</v>
      </c>
      <c r="N15" s="88">
        <f t="shared" si="1"/>
        <v>43.008403427644275</v>
      </c>
      <c r="X15" s="65">
        <v>10</v>
      </c>
      <c r="Y15" s="81" t="s">
        <v>55</v>
      </c>
      <c r="Z15" s="64">
        <v>27.37</v>
      </c>
      <c r="AA15" s="81">
        <v>2.9</v>
      </c>
      <c r="AB15" s="81">
        <v>5.5</v>
      </c>
      <c r="AC15" s="81">
        <v>2.6</v>
      </c>
      <c r="AD15" s="82">
        <v>3.8</v>
      </c>
      <c r="AE15" s="1">
        <f t="shared" si="2"/>
        <v>3.7</v>
      </c>
      <c r="AF15" s="1">
        <f t="shared" si="3"/>
        <v>43.008403427644275</v>
      </c>
      <c r="AH15" s="151" t="s">
        <v>94</v>
      </c>
      <c r="AI15" s="151"/>
      <c r="AJ15" s="151"/>
      <c r="AK15" s="63">
        <f>SUM(AF6:AF36)</f>
        <v>1941.5494203128876</v>
      </c>
      <c r="AL15" s="63">
        <f>SUM(AX6:AX52)</f>
        <v>2043.3807100620361</v>
      </c>
      <c r="AP15" s="90">
        <v>10</v>
      </c>
      <c r="AQ15" s="81" t="s">
        <v>55</v>
      </c>
      <c r="AR15" s="81">
        <v>31.19</v>
      </c>
      <c r="AS15" s="81">
        <v>6.2</v>
      </c>
      <c r="AT15" s="81">
        <v>0</v>
      </c>
      <c r="AU15" s="81">
        <v>5.0999999999999996</v>
      </c>
      <c r="AV15" s="82">
        <v>0</v>
      </c>
      <c r="AW15" s="1">
        <f t="shared" si="4"/>
        <v>2.8250000000000002</v>
      </c>
      <c r="AX15" s="1">
        <f t="shared" si="5"/>
        <v>25.071872871055046</v>
      </c>
    </row>
    <row r="16" spans="1:50" ht="15" thickBot="1" x14ac:dyDescent="0.35">
      <c r="B16" s="85" t="s">
        <v>55</v>
      </c>
      <c r="C16" s="85">
        <v>48.38</v>
      </c>
      <c r="D16" s="85">
        <v>8.5</v>
      </c>
      <c r="E16" s="85">
        <v>3.5</v>
      </c>
      <c r="F16" s="85">
        <v>2</v>
      </c>
      <c r="G16" s="85">
        <v>2.2999999999999998</v>
      </c>
      <c r="H16" s="86">
        <v>11</v>
      </c>
      <c r="I16" s="85">
        <v>5.4</v>
      </c>
      <c r="J16" s="85">
        <v>3.6</v>
      </c>
      <c r="K16" s="85">
        <v>2.8</v>
      </c>
      <c r="L16" s="87">
        <v>4.3</v>
      </c>
      <c r="M16" s="6">
        <f t="shared" si="0"/>
        <v>4.0250000000000004</v>
      </c>
      <c r="N16" s="88">
        <f t="shared" si="1"/>
        <v>50.895764483563148</v>
      </c>
      <c r="X16" s="65">
        <v>11</v>
      </c>
      <c r="Y16" s="81" t="s">
        <v>55</v>
      </c>
      <c r="Z16" s="64">
        <v>48.38</v>
      </c>
      <c r="AA16" s="81">
        <v>5.4</v>
      </c>
      <c r="AB16" s="81">
        <v>3.6</v>
      </c>
      <c r="AC16" s="81">
        <v>2.8</v>
      </c>
      <c r="AD16" s="82">
        <v>4.3</v>
      </c>
      <c r="AE16" s="1">
        <f t="shared" si="2"/>
        <v>4.0250000000000004</v>
      </c>
      <c r="AF16" s="1">
        <f t="shared" si="3"/>
        <v>50.895764483563148</v>
      </c>
      <c r="AH16" s="152" t="s">
        <v>100</v>
      </c>
      <c r="AI16" s="153"/>
      <c r="AJ16" s="154"/>
      <c r="AK16" s="99">
        <f>AVERAGE(AE6:AE36)*2</f>
        <v>8.2209677419354854</v>
      </c>
      <c r="AL16" s="99">
        <f>AVERAGE(AW6:AW52)*2</f>
        <v>6.9122340425531927</v>
      </c>
      <c r="AP16" s="90">
        <v>11</v>
      </c>
      <c r="AQ16" s="81" t="s">
        <v>55</v>
      </c>
      <c r="AR16" s="81">
        <v>28.65</v>
      </c>
      <c r="AS16" s="81">
        <v>2.1</v>
      </c>
      <c r="AT16" s="81">
        <v>4.4000000000000004</v>
      </c>
      <c r="AU16" s="81">
        <v>5.5</v>
      </c>
      <c r="AV16" s="82">
        <v>0</v>
      </c>
      <c r="AW16" s="1">
        <f t="shared" si="4"/>
        <v>3</v>
      </c>
      <c r="AX16" s="1">
        <f t="shared" si="5"/>
        <v>28.274333882308138</v>
      </c>
    </row>
    <row r="17" spans="2:50" ht="15" thickBot="1" x14ac:dyDescent="0.35">
      <c r="B17" s="85" t="s">
        <v>55</v>
      </c>
      <c r="C17" s="85">
        <v>52.84</v>
      </c>
      <c r="D17" s="85">
        <v>11.3</v>
      </c>
      <c r="E17" s="85">
        <v>3.7</v>
      </c>
      <c r="F17" s="85">
        <v>2.5</v>
      </c>
      <c r="G17" s="85">
        <v>3.5</v>
      </c>
      <c r="H17" s="86">
        <v>12</v>
      </c>
      <c r="I17" s="85">
        <v>5.6</v>
      </c>
      <c r="J17" s="85">
        <v>5.7</v>
      </c>
      <c r="K17" s="85">
        <v>8.1</v>
      </c>
      <c r="L17" s="87">
        <v>4.7</v>
      </c>
      <c r="M17" s="6">
        <f t="shared" si="0"/>
        <v>6.0249999999999995</v>
      </c>
      <c r="N17" s="88">
        <f t="shared" si="1"/>
        <v>114.04177682071797</v>
      </c>
      <c r="Q17" s="100"/>
      <c r="X17" s="65">
        <v>12</v>
      </c>
      <c r="Y17" s="81" t="s">
        <v>55</v>
      </c>
      <c r="Z17" s="64">
        <v>52.84</v>
      </c>
      <c r="AA17" s="81">
        <v>5.6</v>
      </c>
      <c r="AB17" s="81">
        <v>5.7</v>
      </c>
      <c r="AC17" s="81">
        <v>8.1</v>
      </c>
      <c r="AD17" s="82">
        <v>4.7</v>
      </c>
      <c r="AE17" s="1">
        <f t="shared" si="2"/>
        <v>6.0249999999999995</v>
      </c>
      <c r="AF17" s="1">
        <f t="shared" si="3"/>
        <v>114.04177682071797</v>
      </c>
      <c r="AH17" s="155" t="s">
        <v>95</v>
      </c>
      <c r="AI17" s="155"/>
      <c r="AJ17" s="155"/>
      <c r="AK17" s="101">
        <f>COUNT(X6:X36)</f>
        <v>31</v>
      </c>
      <c r="AL17" s="101">
        <f>COUNT(AP6:AP52)</f>
        <v>47</v>
      </c>
      <c r="AP17" s="90">
        <v>12</v>
      </c>
      <c r="AQ17" s="81" t="s">
        <v>55</v>
      </c>
      <c r="AR17" s="81">
        <v>47.43</v>
      </c>
      <c r="AS17" s="81">
        <v>4.7</v>
      </c>
      <c r="AT17" s="81">
        <v>8.6999999999999993</v>
      </c>
      <c r="AU17" s="81">
        <v>4.2</v>
      </c>
      <c r="AV17" s="82">
        <v>6.7</v>
      </c>
      <c r="AW17" s="1">
        <f t="shared" si="4"/>
        <v>6.0749999999999993</v>
      </c>
      <c r="AX17" s="1">
        <f t="shared" si="5"/>
        <v>115.94244037613979</v>
      </c>
    </row>
    <row r="18" spans="2:50" ht="15" thickBot="1" x14ac:dyDescent="0.35">
      <c r="B18" s="85" t="s">
        <v>55</v>
      </c>
      <c r="C18" s="85">
        <v>42.65</v>
      </c>
      <c r="D18" s="85">
        <v>10.3</v>
      </c>
      <c r="E18" s="85">
        <v>3.9</v>
      </c>
      <c r="F18" s="85">
        <v>2.7</v>
      </c>
      <c r="G18" s="85">
        <v>2</v>
      </c>
      <c r="H18" s="86">
        <v>13</v>
      </c>
      <c r="I18" s="85">
        <v>3.7</v>
      </c>
      <c r="J18" s="85">
        <v>6.1</v>
      </c>
      <c r="K18" s="85">
        <v>4.7</v>
      </c>
      <c r="L18" s="87">
        <v>2</v>
      </c>
      <c r="M18" s="6">
        <f t="shared" si="0"/>
        <v>4.125</v>
      </c>
      <c r="N18" s="88">
        <f t="shared" si="1"/>
        <v>53.456162496238825</v>
      </c>
      <c r="Q18" s="100"/>
      <c r="X18" s="65">
        <v>13</v>
      </c>
      <c r="Y18" s="81" t="s">
        <v>55</v>
      </c>
      <c r="Z18" s="64">
        <v>42.65</v>
      </c>
      <c r="AA18" s="81">
        <v>3.7</v>
      </c>
      <c r="AB18" s="81">
        <v>6.1</v>
      </c>
      <c r="AC18" s="81">
        <v>4.7</v>
      </c>
      <c r="AD18" s="82">
        <v>2</v>
      </c>
      <c r="AE18" s="1">
        <f t="shared" si="2"/>
        <v>4.125</v>
      </c>
      <c r="AF18" s="1">
        <f t="shared" si="3"/>
        <v>53.456162496238825</v>
      </c>
      <c r="AH18" s="155" t="s">
        <v>96</v>
      </c>
      <c r="AI18" s="155"/>
      <c r="AJ18" s="155"/>
      <c r="AK18" s="102">
        <f>AK17*AK12</f>
        <v>61.672540448109444</v>
      </c>
      <c r="AL18" s="102">
        <f>AL17*AK12</f>
        <v>93.503529066488511</v>
      </c>
      <c r="AP18" s="90">
        <v>13</v>
      </c>
      <c r="AQ18" s="81" t="s">
        <v>55</v>
      </c>
      <c r="AR18" s="81">
        <v>36.92</v>
      </c>
      <c r="AS18" s="81">
        <v>3.9</v>
      </c>
      <c r="AT18" s="81">
        <v>6.4</v>
      </c>
      <c r="AU18" s="81">
        <v>1.9</v>
      </c>
      <c r="AV18" s="82">
        <v>3.3</v>
      </c>
      <c r="AW18" s="1">
        <f t="shared" si="4"/>
        <v>3.875</v>
      </c>
      <c r="AX18" s="1">
        <f t="shared" si="5"/>
        <v>47.172977189059239</v>
      </c>
    </row>
    <row r="19" spans="2:50" ht="15" thickBot="1" x14ac:dyDescent="0.35">
      <c r="B19" s="85" t="s">
        <v>55</v>
      </c>
      <c r="C19" s="85">
        <v>54.43</v>
      </c>
      <c r="D19" s="85">
        <v>10.9</v>
      </c>
      <c r="E19" s="85">
        <v>3.6</v>
      </c>
      <c r="F19" s="85">
        <v>1.6</v>
      </c>
      <c r="G19" s="85">
        <v>2.5</v>
      </c>
      <c r="H19" s="86">
        <v>14</v>
      </c>
      <c r="I19" s="85">
        <v>5.0999999999999996</v>
      </c>
      <c r="J19" s="85">
        <v>7.1</v>
      </c>
      <c r="K19" s="85">
        <v>6.7</v>
      </c>
      <c r="L19" s="87">
        <v>5.5</v>
      </c>
      <c r="M19" s="6">
        <f t="shared" si="0"/>
        <v>6.1</v>
      </c>
      <c r="N19" s="88">
        <f t="shared" si="1"/>
        <v>116.89866264007618</v>
      </c>
      <c r="Q19" s="100"/>
      <c r="X19" s="65">
        <v>14</v>
      </c>
      <c r="Y19" s="81" t="s">
        <v>55</v>
      </c>
      <c r="Z19" s="64">
        <v>54.43</v>
      </c>
      <c r="AA19" s="81">
        <v>5.0999999999999996</v>
      </c>
      <c r="AB19" s="81">
        <v>7.1</v>
      </c>
      <c r="AC19" s="81">
        <v>6.7</v>
      </c>
      <c r="AD19" s="82">
        <v>5.5</v>
      </c>
      <c r="AE19" s="1">
        <f t="shared" si="2"/>
        <v>6.1</v>
      </c>
      <c r="AF19" s="1">
        <f t="shared" si="3"/>
        <v>116.89866264007618</v>
      </c>
      <c r="AH19" s="97"/>
      <c r="AI19" s="97"/>
      <c r="AJ19" s="97"/>
      <c r="AK19" s="97"/>
      <c r="AL19" s="97"/>
      <c r="AM19" s="97"/>
      <c r="AN19" s="97"/>
      <c r="AP19" s="90">
        <v>14</v>
      </c>
      <c r="AQ19" s="81" t="s">
        <v>55</v>
      </c>
      <c r="AR19" s="81">
        <v>43.29</v>
      </c>
      <c r="AS19" s="81">
        <v>2.4</v>
      </c>
      <c r="AT19" s="81">
        <v>5.5</v>
      </c>
      <c r="AU19" s="81">
        <v>5.3</v>
      </c>
      <c r="AV19" s="82">
        <v>3.5</v>
      </c>
      <c r="AW19" s="1">
        <f t="shared" si="4"/>
        <v>4.1749999999999998</v>
      </c>
      <c r="AX19" s="1">
        <f t="shared" si="5"/>
        <v>54.759923447478585</v>
      </c>
    </row>
    <row r="20" spans="2:50" ht="15" thickBot="1" x14ac:dyDescent="0.35">
      <c r="B20" s="85" t="s">
        <v>55</v>
      </c>
      <c r="C20" s="85">
        <v>58.25</v>
      </c>
      <c r="D20" s="85">
        <v>7.7</v>
      </c>
      <c r="E20" s="85">
        <v>1.8</v>
      </c>
      <c r="F20" s="85">
        <v>1.6</v>
      </c>
      <c r="G20" s="85">
        <v>3.6</v>
      </c>
      <c r="H20" s="86">
        <v>15</v>
      </c>
      <c r="I20" s="85">
        <v>6.7</v>
      </c>
      <c r="J20" s="85">
        <v>7.1</v>
      </c>
      <c r="K20" s="85">
        <v>7.2</v>
      </c>
      <c r="L20" s="87">
        <v>6.6</v>
      </c>
      <c r="M20" s="6">
        <f t="shared" si="0"/>
        <v>6.9</v>
      </c>
      <c r="N20" s="88">
        <f t="shared" si="1"/>
        <v>149.57122623741006</v>
      </c>
      <c r="X20" s="65">
        <v>15</v>
      </c>
      <c r="Y20" s="81" t="s">
        <v>55</v>
      </c>
      <c r="Z20" s="64">
        <v>58.25</v>
      </c>
      <c r="AA20" s="81">
        <v>6.7</v>
      </c>
      <c r="AB20" s="81">
        <v>7.1</v>
      </c>
      <c r="AC20" s="81">
        <v>7.2</v>
      </c>
      <c r="AD20" s="82">
        <v>6.6</v>
      </c>
      <c r="AE20" s="1">
        <f t="shared" si="2"/>
        <v>6.9</v>
      </c>
      <c r="AF20" s="1">
        <f t="shared" si="3"/>
        <v>149.57122623741006</v>
      </c>
      <c r="AP20" s="90">
        <v>15</v>
      </c>
      <c r="AQ20" s="81" t="s">
        <v>55</v>
      </c>
      <c r="AR20" s="81">
        <v>16.55</v>
      </c>
      <c r="AS20" s="81">
        <v>2.4</v>
      </c>
      <c r="AT20" s="81">
        <v>2.2000000000000002</v>
      </c>
      <c r="AU20" s="81">
        <v>2.2999999999999998</v>
      </c>
      <c r="AV20" s="82">
        <v>1.9</v>
      </c>
      <c r="AW20" s="1">
        <f t="shared" si="4"/>
        <v>2.1999999999999997</v>
      </c>
      <c r="AX20" s="1">
        <f t="shared" si="5"/>
        <v>15.205308443374596</v>
      </c>
    </row>
    <row r="21" spans="2:50" ht="15" customHeight="1" thickBot="1" x14ac:dyDescent="0.35">
      <c r="B21" s="85" t="s">
        <v>55</v>
      </c>
      <c r="C21" s="85">
        <v>47.43</v>
      </c>
      <c r="D21" s="85">
        <v>6.5</v>
      </c>
      <c r="E21" s="85">
        <v>3.4</v>
      </c>
      <c r="F21" s="85">
        <v>2.6</v>
      </c>
      <c r="G21" s="85">
        <v>2.9</v>
      </c>
      <c r="H21" s="86">
        <v>16</v>
      </c>
      <c r="I21" s="85">
        <v>5.0999999999999996</v>
      </c>
      <c r="J21" s="85">
        <v>5.5</v>
      </c>
      <c r="K21" s="85">
        <v>4.3</v>
      </c>
      <c r="L21" s="87">
        <v>5.4</v>
      </c>
      <c r="M21" s="6">
        <f t="shared" si="0"/>
        <v>5.0749999999999993</v>
      </c>
      <c r="N21" s="88">
        <f t="shared" si="1"/>
        <v>80.913682288613586</v>
      </c>
      <c r="X21" s="65">
        <v>16</v>
      </c>
      <c r="Y21" s="81" t="s">
        <v>55</v>
      </c>
      <c r="Z21" s="64">
        <v>47.43</v>
      </c>
      <c r="AA21" s="81">
        <v>5.0999999999999996</v>
      </c>
      <c r="AB21" s="81">
        <v>5.5</v>
      </c>
      <c r="AC21" s="81">
        <v>4.3</v>
      </c>
      <c r="AD21" s="82">
        <v>5.4</v>
      </c>
      <c r="AE21" s="1">
        <f t="shared" si="2"/>
        <v>5.0749999999999993</v>
      </c>
      <c r="AF21" s="1">
        <f t="shared" si="3"/>
        <v>80.913682288613586</v>
      </c>
      <c r="AH21" s="2" t="s">
        <v>97</v>
      </c>
      <c r="AI21" s="2"/>
      <c r="AJ21" s="2"/>
      <c r="AK21" s="2"/>
      <c r="AL21" s="2"/>
      <c r="AM21" s="2"/>
      <c r="AN21" s="2"/>
      <c r="AP21" s="90">
        <v>16</v>
      </c>
      <c r="AQ21" s="81" t="s">
        <v>55</v>
      </c>
      <c r="AR21" s="81">
        <v>30.88</v>
      </c>
      <c r="AS21" s="81">
        <v>5.7</v>
      </c>
      <c r="AT21" s="81">
        <v>4.7</v>
      </c>
      <c r="AU21" s="81">
        <v>5.5</v>
      </c>
      <c r="AV21" s="82">
        <v>5.2</v>
      </c>
      <c r="AW21" s="1">
        <f t="shared" si="4"/>
        <v>5.2750000000000004</v>
      </c>
      <c r="AX21" s="1">
        <f t="shared" si="5"/>
        <v>87.41677908154449</v>
      </c>
    </row>
    <row r="22" spans="2:50" ht="15" thickBot="1" x14ac:dyDescent="0.35">
      <c r="B22" s="85" t="s">
        <v>55</v>
      </c>
      <c r="C22" s="85">
        <v>35.97</v>
      </c>
      <c r="D22" s="85">
        <v>7.4</v>
      </c>
      <c r="E22" s="85">
        <v>2.2000000000000002</v>
      </c>
      <c r="F22" s="85">
        <v>2.6</v>
      </c>
      <c r="G22" s="85">
        <v>3.1</v>
      </c>
      <c r="H22" s="86">
        <v>17</v>
      </c>
      <c r="I22" s="85">
        <v>5.0999999999999996</v>
      </c>
      <c r="J22" s="85">
        <v>4.5</v>
      </c>
      <c r="K22" s="85">
        <v>5.7</v>
      </c>
      <c r="L22" s="87">
        <v>4.5</v>
      </c>
      <c r="M22" s="6">
        <f t="shared" si="0"/>
        <v>4.95</v>
      </c>
      <c r="N22" s="88">
        <f t="shared" si="1"/>
        <v>76.976873994583912</v>
      </c>
      <c r="X22" s="65">
        <v>17</v>
      </c>
      <c r="Y22" s="81" t="s">
        <v>55</v>
      </c>
      <c r="Z22" s="64">
        <v>35.97</v>
      </c>
      <c r="AA22" s="81">
        <v>5.0999999999999996</v>
      </c>
      <c r="AB22" s="81">
        <v>4.5</v>
      </c>
      <c r="AC22" s="81">
        <v>5.7</v>
      </c>
      <c r="AD22" s="82">
        <v>4.5</v>
      </c>
      <c r="AE22" s="1">
        <f t="shared" si="2"/>
        <v>4.95</v>
      </c>
      <c r="AF22" s="1">
        <f t="shared" si="3"/>
        <v>76.976873994583912</v>
      </c>
      <c r="AH22" s="150" t="s">
        <v>102</v>
      </c>
      <c r="AI22" s="150"/>
      <c r="AJ22" s="150"/>
      <c r="AK22" s="150"/>
      <c r="AL22" s="150"/>
      <c r="AM22" s="150"/>
      <c r="AN22" s="150"/>
      <c r="AP22" s="90">
        <v>17</v>
      </c>
      <c r="AQ22" s="81" t="s">
        <v>55</v>
      </c>
      <c r="AR22" s="81">
        <v>31.19</v>
      </c>
      <c r="AS22" s="81">
        <v>5</v>
      </c>
      <c r="AT22" s="81">
        <v>4.3</v>
      </c>
      <c r="AU22" s="81">
        <v>4.4000000000000004</v>
      </c>
      <c r="AV22" s="82">
        <v>5.7</v>
      </c>
      <c r="AW22" s="1">
        <f t="shared" si="4"/>
        <v>4.8500000000000005</v>
      </c>
      <c r="AX22" s="1">
        <f t="shared" si="5"/>
        <v>73.898113194065928</v>
      </c>
    </row>
    <row r="23" spans="2:50" ht="15" thickBot="1" x14ac:dyDescent="0.35">
      <c r="B23" s="85" t="s">
        <v>55</v>
      </c>
      <c r="C23" s="85">
        <v>31.83</v>
      </c>
      <c r="D23" s="85">
        <v>7.4</v>
      </c>
      <c r="E23" s="85">
        <v>3.2</v>
      </c>
      <c r="F23" s="85">
        <v>3.2</v>
      </c>
      <c r="G23" s="85">
        <v>2.8</v>
      </c>
      <c r="H23" s="86">
        <v>18</v>
      </c>
      <c r="I23" s="85">
        <v>6.1</v>
      </c>
      <c r="J23" s="85">
        <v>5.9</v>
      </c>
      <c r="K23" s="85">
        <v>5.4</v>
      </c>
      <c r="L23" s="87">
        <v>5.0999999999999996</v>
      </c>
      <c r="M23" s="6">
        <f t="shared" si="0"/>
        <v>5.625</v>
      </c>
      <c r="N23" s="88">
        <f t="shared" si="1"/>
        <v>99.401955054989543</v>
      </c>
      <c r="X23" s="65">
        <v>18</v>
      </c>
      <c r="Y23" s="81" t="s">
        <v>55</v>
      </c>
      <c r="Z23" s="64">
        <v>31.83</v>
      </c>
      <c r="AA23" s="81">
        <v>6.1</v>
      </c>
      <c r="AB23" s="81">
        <v>5.9</v>
      </c>
      <c r="AC23" s="81">
        <v>5.4</v>
      </c>
      <c r="AD23" s="82">
        <v>5.0999999999999996</v>
      </c>
      <c r="AE23" s="1">
        <f t="shared" si="2"/>
        <v>5.625</v>
      </c>
      <c r="AF23" s="1">
        <f t="shared" si="3"/>
        <v>99.401955054989543</v>
      </c>
      <c r="AH23" s="150"/>
      <c r="AI23" s="150"/>
      <c r="AJ23" s="150"/>
      <c r="AK23" s="150"/>
      <c r="AL23" s="150"/>
      <c r="AM23" s="150"/>
      <c r="AN23" s="150"/>
      <c r="AP23" s="90">
        <v>18</v>
      </c>
      <c r="AQ23" s="81" t="s">
        <v>55</v>
      </c>
      <c r="AR23" s="81">
        <v>47.75</v>
      </c>
      <c r="AS23" s="81">
        <v>5.6</v>
      </c>
      <c r="AT23" s="81">
        <v>6.7</v>
      </c>
      <c r="AU23" s="81">
        <v>5.9</v>
      </c>
      <c r="AV23" s="82">
        <v>5</v>
      </c>
      <c r="AW23" s="1">
        <f t="shared" si="4"/>
        <v>5.8000000000000007</v>
      </c>
      <c r="AX23" s="1">
        <f t="shared" si="5"/>
        <v>105.68317686676066</v>
      </c>
    </row>
    <row r="24" spans="2:50" ht="15" thickBot="1" x14ac:dyDescent="0.35">
      <c r="B24" s="85" t="s">
        <v>55</v>
      </c>
      <c r="C24" s="85">
        <v>25.78</v>
      </c>
      <c r="D24" s="85">
        <v>6.4</v>
      </c>
      <c r="E24" s="85">
        <v>1.8</v>
      </c>
      <c r="F24" s="85">
        <v>2.2000000000000002</v>
      </c>
      <c r="G24" s="85">
        <v>2.4</v>
      </c>
      <c r="H24" s="86">
        <v>19</v>
      </c>
      <c r="I24" s="85">
        <v>2.9</v>
      </c>
      <c r="J24" s="85">
        <v>4.8</v>
      </c>
      <c r="K24" s="85">
        <v>4</v>
      </c>
      <c r="L24" s="87">
        <v>3.6</v>
      </c>
      <c r="M24" s="6">
        <f t="shared" si="0"/>
        <v>3.8249999999999997</v>
      </c>
      <c r="N24" s="88">
        <f t="shared" si="1"/>
        <v>45.963464017427164</v>
      </c>
      <c r="X24" s="65">
        <v>19</v>
      </c>
      <c r="Y24" s="81" t="s">
        <v>55</v>
      </c>
      <c r="Z24" s="64">
        <v>25.78</v>
      </c>
      <c r="AA24" s="81">
        <v>2.9</v>
      </c>
      <c r="AB24" s="81">
        <v>4.8</v>
      </c>
      <c r="AC24" s="81">
        <v>4</v>
      </c>
      <c r="AD24" s="82">
        <v>3.6</v>
      </c>
      <c r="AE24" s="1">
        <f t="shared" si="2"/>
        <v>3.8249999999999997</v>
      </c>
      <c r="AF24" s="1">
        <f t="shared" si="3"/>
        <v>45.963464017427164</v>
      </c>
      <c r="AH24" s="150"/>
      <c r="AI24" s="150"/>
      <c r="AJ24" s="150"/>
      <c r="AK24" s="150"/>
      <c r="AL24" s="150"/>
      <c r="AM24" s="150"/>
      <c r="AN24" s="150"/>
      <c r="AP24" s="90">
        <v>19</v>
      </c>
      <c r="AQ24" s="81" t="s">
        <v>55</v>
      </c>
      <c r="AR24" s="81">
        <v>38.200000000000003</v>
      </c>
      <c r="AS24" s="81">
        <v>4.9000000000000004</v>
      </c>
      <c r="AT24" s="81">
        <v>4.9000000000000004</v>
      </c>
      <c r="AU24" s="81">
        <v>5.6</v>
      </c>
      <c r="AV24" s="82">
        <v>6.7</v>
      </c>
      <c r="AW24" s="1">
        <f t="shared" si="4"/>
        <v>5.5250000000000004</v>
      </c>
      <c r="AX24" s="1">
        <f t="shared" si="5"/>
        <v>95.899079246236951</v>
      </c>
    </row>
    <row r="25" spans="2:50" ht="15" thickBot="1" x14ac:dyDescent="0.35">
      <c r="B25" s="85" t="s">
        <v>55</v>
      </c>
      <c r="C25" s="85">
        <v>74.17</v>
      </c>
      <c r="D25" s="85">
        <v>9.4</v>
      </c>
      <c r="E25" s="85">
        <v>3.3</v>
      </c>
      <c r="F25" s="85">
        <v>1.3</v>
      </c>
      <c r="G25" s="85">
        <v>2.8</v>
      </c>
      <c r="H25" s="86">
        <v>20</v>
      </c>
      <c r="I25" s="85">
        <v>7.5</v>
      </c>
      <c r="J25" s="85">
        <v>9.6</v>
      </c>
      <c r="K25" s="85">
        <v>5.3</v>
      </c>
      <c r="L25" s="87">
        <v>7.9</v>
      </c>
      <c r="M25" s="6">
        <f t="shared" si="0"/>
        <v>7.5750000000000011</v>
      </c>
      <c r="N25" s="88">
        <f t="shared" si="1"/>
        <v>180.26654995839087</v>
      </c>
      <c r="X25" s="65">
        <v>20</v>
      </c>
      <c r="Y25" s="81" t="s">
        <v>55</v>
      </c>
      <c r="Z25" s="64">
        <v>74.17</v>
      </c>
      <c r="AA25" s="81">
        <v>7.5</v>
      </c>
      <c r="AB25" s="81">
        <v>9.6</v>
      </c>
      <c r="AC25" s="81">
        <v>5.3</v>
      </c>
      <c r="AD25" s="82">
        <v>7.9</v>
      </c>
      <c r="AE25" s="1">
        <f t="shared" si="2"/>
        <v>7.5750000000000011</v>
      </c>
      <c r="AF25" s="1">
        <f t="shared" si="3"/>
        <v>180.26654995839087</v>
      </c>
      <c r="AH25" s="150"/>
      <c r="AI25" s="150"/>
      <c r="AJ25" s="150"/>
      <c r="AK25" s="150"/>
      <c r="AL25" s="150"/>
      <c r="AM25" s="150"/>
      <c r="AN25" s="150"/>
      <c r="AP25" s="90">
        <v>20</v>
      </c>
      <c r="AQ25" s="81" t="s">
        <v>55</v>
      </c>
      <c r="AR25" s="81">
        <v>25.15</v>
      </c>
      <c r="AS25" s="81">
        <v>2.9</v>
      </c>
      <c r="AT25" s="81">
        <v>3.8</v>
      </c>
      <c r="AU25" s="81">
        <v>2.9</v>
      </c>
      <c r="AV25" s="82">
        <v>1.9</v>
      </c>
      <c r="AW25" s="1">
        <f t="shared" si="4"/>
        <v>2.875</v>
      </c>
      <c r="AX25" s="1">
        <f t="shared" si="5"/>
        <v>25.967226777328133</v>
      </c>
    </row>
    <row r="26" spans="2:50" ht="15" thickBot="1" x14ac:dyDescent="0.35">
      <c r="B26" s="85" t="s">
        <v>55</v>
      </c>
      <c r="C26" s="85">
        <v>22.28</v>
      </c>
      <c r="D26" s="85">
        <v>5.4</v>
      </c>
      <c r="E26" s="85">
        <v>1.9</v>
      </c>
      <c r="F26" s="85">
        <v>2.4</v>
      </c>
      <c r="G26" s="85">
        <v>1.2</v>
      </c>
      <c r="H26" s="86">
        <v>21</v>
      </c>
      <c r="I26" s="85">
        <v>2.6</v>
      </c>
      <c r="J26" s="85">
        <v>1.4</v>
      </c>
      <c r="K26" s="85">
        <v>1.9</v>
      </c>
      <c r="L26" s="87">
        <v>2.4</v>
      </c>
      <c r="M26" s="6">
        <f t="shared" si="0"/>
        <v>2.0750000000000002</v>
      </c>
      <c r="N26" s="88">
        <f t="shared" si="1"/>
        <v>13.526519869112557</v>
      </c>
      <c r="X26" s="65">
        <v>21</v>
      </c>
      <c r="Y26" s="81" t="s">
        <v>55</v>
      </c>
      <c r="Z26" s="64">
        <v>22.28</v>
      </c>
      <c r="AA26" s="81">
        <v>2.6</v>
      </c>
      <c r="AB26" s="81">
        <v>1.4</v>
      </c>
      <c r="AC26" s="81">
        <v>1.9</v>
      </c>
      <c r="AD26" s="82">
        <v>2.4</v>
      </c>
      <c r="AE26" s="1">
        <f t="shared" si="2"/>
        <v>2.0750000000000002</v>
      </c>
      <c r="AF26" s="1">
        <f t="shared" si="3"/>
        <v>13.526519869112557</v>
      </c>
      <c r="AH26" s="150"/>
      <c r="AI26" s="150"/>
      <c r="AJ26" s="150"/>
      <c r="AK26" s="150"/>
      <c r="AL26" s="150"/>
      <c r="AM26" s="150"/>
      <c r="AN26" s="150"/>
      <c r="AP26" s="90">
        <v>21</v>
      </c>
      <c r="AQ26" s="81" t="s">
        <v>55</v>
      </c>
      <c r="AR26" s="81">
        <v>21.01</v>
      </c>
      <c r="AS26" s="81">
        <v>3</v>
      </c>
      <c r="AT26" s="81">
        <v>3.9</v>
      </c>
      <c r="AU26" s="81">
        <v>2.2999999999999998</v>
      </c>
      <c r="AV26" s="82">
        <v>1.8</v>
      </c>
      <c r="AW26" s="1">
        <f t="shared" si="4"/>
        <v>2.75</v>
      </c>
      <c r="AX26" s="1">
        <f t="shared" si="5"/>
        <v>23.758294442772812</v>
      </c>
    </row>
    <row r="27" spans="2:50" ht="15" thickBot="1" x14ac:dyDescent="0.35">
      <c r="B27" s="85" t="s">
        <v>55</v>
      </c>
      <c r="C27" s="85">
        <v>16.87</v>
      </c>
      <c r="D27" s="85">
        <v>6.7</v>
      </c>
      <c r="E27" s="85">
        <v>2.4</v>
      </c>
      <c r="F27" s="85">
        <v>1.9</v>
      </c>
      <c r="G27" s="85">
        <v>1.2</v>
      </c>
      <c r="H27" s="86">
        <v>22</v>
      </c>
      <c r="I27" s="85">
        <v>2</v>
      </c>
      <c r="J27" s="85">
        <v>0.3</v>
      </c>
      <c r="K27" s="85">
        <v>1.8</v>
      </c>
      <c r="L27" s="87">
        <v>0.8</v>
      </c>
      <c r="M27" s="6">
        <f t="shared" si="0"/>
        <v>1.2249999999999999</v>
      </c>
      <c r="N27" s="88">
        <f t="shared" si="1"/>
        <v>4.7143524757931825</v>
      </c>
      <c r="X27" s="65">
        <v>22</v>
      </c>
      <c r="Y27" s="81" t="s">
        <v>55</v>
      </c>
      <c r="Z27" s="64">
        <v>16.87</v>
      </c>
      <c r="AA27" s="81">
        <v>2</v>
      </c>
      <c r="AB27" s="81">
        <v>0.3</v>
      </c>
      <c r="AC27" s="81">
        <v>1.8</v>
      </c>
      <c r="AD27" s="82">
        <v>0.8</v>
      </c>
      <c r="AE27" s="1">
        <f t="shared" si="2"/>
        <v>1.2249999999999999</v>
      </c>
      <c r="AF27" s="1">
        <f t="shared" si="3"/>
        <v>4.7143524757931825</v>
      </c>
      <c r="AH27" s="150"/>
      <c r="AI27" s="150"/>
      <c r="AJ27" s="150"/>
      <c r="AK27" s="150"/>
      <c r="AL27" s="150"/>
      <c r="AM27" s="150"/>
      <c r="AN27" s="150"/>
      <c r="AP27" s="90">
        <v>22</v>
      </c>
      <c r="AQ27" s="81" t="s">
        <v>55</v>
      </c>
      <c r="AR27" s="81">
        <v>19.739999999999998</v>
      </c>
      <c r="AS27" s="81">
        <v>1.9</v>
      </c>
      <c r="AT27" s="81">
        <v>2.5</v>
      </c>
      <c r="AU27" s="81">
        <v>1.2</v>
      </c>
      <c r="AV27" s="82">
        <v>3.2</v>
      </c>
      <c r="AW27" s="1">
        <f t="shared" si="4"/>
        <v>2.2000000000000002</v>
      </c>
      <c r="AX27" s="1">
        <f t="shared" si="5"/>
        <v>15.205308443374602</v>
      </c>
    </row>
    <row r="28" spans="2:50" ht="15" thickBot="1" x14ac:dyDescent="0.35">
      <c r="B28" s="85" t="s">
        <v>55</v>
      </c>
      <c r="C28" s="85">
        <v>20.37</v>
      </c>
      <c r="D28" s="85">
        <v>7</v>
      </c>
      <c r="E28" s="85">
        <v>2.5</v>
      </c>
      <c r="F28" s="85">
        <v>2.5</v>
      </c>
      <c r="G28" s="85">
        <v>1.3</v>
      </c>
      <c r="H28" s="86">
        <v>23</v>
      </c>
      <c r="I28" s="85">
        <v>0.8</v>
      </c>
      <c r="J28" s="85">
        <v>2.1</v>
      </c>
      <c r="K28" s="85">
        <v>2</v>
      </c>
      <c r="L28" s="87">
        <v>1.6</v>
      </c>
      <c r="M28" s="6">
        <f t="shared" si="0"/>
        <v>1.625</v>
      </c>
      <c r="N28" s="88">
        <f t="shared" si="1"/>
        <v>8.2957681008855477</v>
      </c>
      <c r="X28" s="65">
        <v>23</v>
      </c>
      <c r="Y28" s="81" t="s">
        <v>55</v>
      </c>
      <c r="Z28" s="64">
        <v>20.37</v>
      </c>
      <c r="AA28" s="81">
        <v>0.8</v>
      </c>
      <c r="AB28" s="81">
        <v>2.1</v>
      </c>
      <c r="AC28" s="81">
        <v>2</v>
      </c>
      <c r="AD28" s="82">
        <v>1.6</v>
      </c>
      <c r="AE28" s="1">
        <f t="shared" si="2"/>
        <v>1.625</v>
      </c>
      <c r="AF28" s="1">
        <f t="shared" si="3"/>
        <v>8.2957681008855477</v>
      </c>
      <c r="AH28" s="150"/>
      <c r="AI28" s="150"/>
      <c r="AJ28" s="150"/>
      <c r="AK28" s="150"/>
      <c r="AL28" s="150"/>
      <c r="AM28" s="150"/>
      <c r="AN28" s="150"/>
      <c r="AP28" s="90">
        <v>23</v>
      </c>
      <c r="AQ28" s="81" t="s">
        <v>55</v>
      </c>
      <c r="AR28" s="81">
        <v>19.739999999999998</v>
      </c>
      <c r="AS28" s="81">
        <v>2.2000000000000002</v>
      </c>
      <c r="AT28" s="81">
        <v>1.5</v>
      </c>
      <c r="AU28" s="81">
        <v>1</v>
      </c>
      <c r="AV28" s="82">
        <v>2.9</v>
      </c>
      <c r="AW28" s="1">
        <f t="shared" si="4"/>
        <v>1.9</v>
      </c>
      <c r="AX28" s="1">
        <f t="shared" si="5"/>
        <v>11.341149479459153</v>
      </c>
    </row>
    <row r="29" spans="2:50" ht="15" thickBot="1" x14ac:dyDescent="0.35">
      <c r="B29" s="85" t="s">
        <v>56</v>
      </c>
      <c r="C29" s="85">
        <v>25.46</v>
      </c>
      <c r="D29" s="85">
        <v>6.9</v>
      </c>
      <c r="E29" s="85">
        <v>2.1</v>
      </c>
      <c r="F29" s="85">
        <v>2.1</v>
      </c>
      <c r="G29" s="85" t="s">
        <v>98</v>
      </c>
      <c r="H29" s="86">
        <v>24</v>
      </c>
      <c r="I29" s="85">
        <v>3.4</v>
      </c>
      <c r="J29" s="85">
        <v>2.9</v>
      </c>
      <c r="K29" s="85">
        <v>3.5</v>
      </c>
      <c r="L29" s="87">
        <v>3</v>
      </c>
      <c r="M29" s="6">
        <f t="shared" si="0"/>
        <v>3.2</v>
      </c>
      <c r="N29" s="88">
        <f t="shared" si="1"/>
        <v>32.169908772759484</v>
      </c>
      <c r="X29" s="65">
        <v>24</v>
      </c>
      <c r="Y29" s="103" t="s">
        <v>56</v>
      </c>
      <c r="Z29" s="64">
        <v>25.46</v>
      </c>
      <c r="AA29" s="64">
        <v>3.4</v>
      </c>
      <c r="AB29" s="64">
        <v>2.9</v>
      </c>
      <c r="AC29" s="64">
        <v>3.5</v>
      </c>
      <c r="AD29" s="66">
        <v>3</v>
      </c>
      <c r="AE29" s="1">
        <f t="shared" si="2"/>
        <v>3.2</v>
      </c>
      <c r="AF29" s="1">
        <f t="shared" si="3"/>
        <v>32.169908772759484</v>
      </c>
      <c r="AH29" s="150"/>
      <c r="AI29" s="150"/>
      <c r="AJ29" s="150"/>
      <c r="AK29" s="150"/>
      <c r="AL29" s="150"/>
      <c r="AM29" s="150"/>
      <c r="AN29" s="150"/>
      <c r="AP29" s="90">
        <v>24</v>
      </c>
      <c r="AQ29" s="81" t="s">
        <v>55</v>
      </c>
      <c r="AR29" s="81">
        <v>19.100000000000001</v>
      </c>
      <c r="AS29" s="81">
        <v>0</v>
      </c>
      <c r="AT29" s="81">
        <v>2.8</v>
      </c>
      <c r="AU29" s="81">
        <v>0</v>
      </c>
      <c r="AV29" s="82">
        <v>3.8</v>
      </c>
      <c r="AW29" s="1">
        <f t="shared" si="4"/>
        <v>1.65</v>
      </c>
      <c r="AX29" s="1">
        <f t="shared" si="5"/>
        <v>8.55298599939821</v>
      </c>
    </row>
    <row r="30" spans="2:50" ht="15" thickBot="1" x14ac:dyDescent="0.35">
      <c r="B30" s="85" t="s">
        <v>56</v>
      </c>
      <c r="C30" s="85">
        <v>30.24</v>
      </c>
      <c r="D30" s="85">
        <v>7.5</v>
      </c>
      <c r="E30" s="85">
        <v>1.8</v>
      </c>
      <c r="F30" s="85">
        <v>1.8</v>
      </c>
      <c r="G30" s="85" t="s">
        <v>98</v>
      </c>
      <c r="H30" s="86">
        <v>25</v>
      </c>
      <c r="I30" s="85">
        <v>4.8</v>
      </c>
      <c r="J30" s="85">
        <v>3.4</v>
      </c>
      <c r="K30" s="85">
        <v>4.3</v>
      </c>
      <c r="L30" s="87">
        <v>3.9</v>
      </c>
      <c r="M30" s="6">
        <f t="shared" si="0"/>
        <v>4.0999999999999996</v>
      </c>
      <c r="N30" s="88">
        <f t="shared" si="1"/>
        <v>52.810172506844417</v>
      </c>
      <c r="X30" s="65">
        <v>25</v>
      </c>
      <c r="Y30" s="103" t="s">
        <v>56</v>
      </c>
      <c r="Z30" s="64">
        <v>30.24</v>
      </c>
      <c r="AA30" s="64">
        <v>4.8</v>
      </c>
      <c r="AB30" s="64">
        <v>3.4</v>
      </c>
      <c r="AC30" s="64">
        <v>4.3</v>
      </c>
      <c r="AD30" s="66">
        <v>3.9</v>
      </c>
      <c r="AE30" s="1">
        <f t="shared" si="2"/>
        <v>4.0999999999999996</v>
      </c>
      <c r="AF30" s="1">
        <f t="shared" si="3"/>
        <v>52.810172506844417</v>
      </c>
      <c r="AP30" s="90">
        <v>25</v>
      </c>
      <c r="AQ30" s="81" t="s">
        <v>55</v>
      </c>
      <c r="AR30" s="81">
        <v>29.6</v>
      </c>
      <c r="AS30" s="81">
        <v>2.6</v>
      </c>
      <c r="AT30" s="81">
        <v>2.4</v>
      </c>
      <c r="AU30" s="81">
        <v>2.4</v>
      </c>
      <c r="AV30" s="82">
        <v>2.6</v>
      </c>
      <c r="AW30" s="1">
        <f t="shared" si="4"/>
        <v>2.5</v>
      </c>
      <c r="AX30" s="1">
        <f t="shared" si="5"/>
        <v>19.634954084936208</v>
      </c>
    </row>
    <row r="31" spans="2:50" ht="15" thickBot="1" x14ac:dyDescent="0.35">
      <c r="B31" s="85" t="s">
        <v>56</v>
      </c>
      <c r="C31" s="85">
        <v>17.190000000000001</v>
      </c>
      <c r="D31" s="85">
        <v>4.7</v>
      </c>
      <c r="E31" s="85">
        <v>1.5</v>
      </c>
      <c r="F31" s="85">
        <v>1.5</v>
      </c>
      <c r="G31" s="85" t="s">
        <v>98</v>
      </c>
      <c r="H31" s="86">
        <v>26</v>
      </c>
      <c r="I31" s="85">
        <v>1.9</v>
      </c>
      <c r="J31" s="85">
        <v>1.7</v>
      </c>
      <c r="K31" s="85">
        <v>2.1</v>
      </c>
      <c r="L31" s="87">
        <v>1.7</v>
      </c>
      <c r="M31" s="6">
        <f t="shared" si="0"/>
        <v>1.8499999999999999</v>
      </c>
      <c r="N31" s="88">
        <f t="shared" si="1"/>
        <v>10.752100856911065</v>
      </c>
      <c r="X31" s="65">
        <v>26</v>
      </c>
      <c r="Y31" s="103" t="s">
        <v>56</v>
      </c>
      <c r="Z31" s="64">
        <v>17.190000000000001</v>
      </c>
      <c r="AA31" s="64">
        <v>1.9</v>
      </c>
      <c r="AB31" s="64">
        <v>1.7</v>
      </c>
      <c r="AC31" s="64">
        <v>2.1</v>
      </c>
      <c r="AD31" s="66">
        <v>1.7</v>
      </c>
      <c r="AE31" s="1">
        <f t="shared" si="2"/>
        <v>1.8499999999999999</v>
      </c>
      <c r="AF31" s="1">
        <f t="shared" si="3"/>
        <v>10.752100856911065</v>
      </c>
      <c r="AP31" s="90">
        <v>26</v>
      </c>
      <c r="AQ31" s="81" t="s">
        <v>55</v>
      </c>
      <c r="AR31" s="81">
        <v>19.739999999999998</v>
      </c>
      <c r="AS31" s="81">
        <v>2.2999999999999998</v>
      </c>
      <c r="AT31" s="81">
        <v>1.1000000000000001</v>
      </c>
      <c r="AU31" s="81">
        <v>2.7</v>
      </c>
      <c r="AV31" s="82">
        <v>1.95</v>
      </c>
      <c r="AW31" s="1">
        <f t="shared" si="4"/>
        <v>2.0124999999999997</v>
      </c>
      <c r="AX31" s="1">
        <f t="shared" si="5"/>
        <v>12.723941120890782</v>
      </c>
    </row>
    <row r="32" spans="2:50" ht="15" thickBot="1" x14ac:dyDescent="0.35">
      <c r="B32" s="85" t="s">
        <v>56</v>
      </c>
      <c r="C32" s="85">
        <v>20.37</v>
      </c>
      <c r="D32" s="85">
        <v>5.3</v>
      </c>
      <c r="E32" s="85">
        <v>1.8</v>
      </c>
      <c r="F32" s="85">
        <v>1.8</v>
      </c>
      <c r="G32" s="85" t="s">
        <v>98</v>
      </c>
      <c r="H32" s="86">
        <v>27</v>
      </c>
      <c r="I32" s="85">
        <v>2.6</v>
      </c>
      <c r="J32" s="85">
        <v>2.5</v>
      </c>
      <c r="K32" s="85">
        <v>2.7</v>
      </c>
      <c r="L32" s="87">
        <v>2</v>
      </c>
      <c r="M32" s="6">
        <f t="shared" si="0"/>
        <v>2.4500000000000002</v>
      </c>
      <c r="N32" s="88">
        <f t="shared" si="1"/>
        <v>18.857409903172737</v>
      </c>
      <c r="X32" s="65">
        <v>27</v>
      </c>
      <c r="Y32" s="103" t="s">
        <v>56</v>
      </c>
      <c r="Z32" s="64">
        <v>20.37</v>
      </c>
      <c r="AA32" s="64">
        <v>2.6</v>
      </c>
      <c r="AB32" s="64">
        <v>2.5</v>
      </c>
      <c r="AC32" s="64">
        <v>2.7</v>
      </c>
      <c r="AD32" s="66">
        <v>2</v>
      </c>
      <c r="AE32" s="1">
        <f t="shared" si="2"/>
        <v>2.4500000000000002</v>
      </c>
      <c r="AF32" s="1">
        <f t="shared" si="3"/>
        <v>18.857409903172737</v>
      </c>
      <c r="AP32" s="90">
        <v>27</v>
      </c>
      <c r="AQ32" s="81" t="s">
        <v>55</v>
      </c>
      <c r="AR32" s="81">
        <v>29.6</v>
      </c>
      <c r="AS32" s="81">
        <v>0</v>
      </c>
      <c r="AT32" s="81">
        <v>5.6</v>
      </c>
      <c r="AU32" s="81">
        <v>6.6</v>
      </c>
      <c r="AV32" s="82">
        <v>5.0999999999999996</v>
      </c>
      <c r="AW32" s="1">
        <f t="shared" si="4"/>
        <v>4.3249999999999993</v>
      </c>
      <c r="AX32" s="1">
        <f t="shared" si="5"/>
        <v>58.765454080805554</v>
      </c>
    </row>
    <row r="33" spans="2:50" ht="15" thickBot="1" x14ac:dyDescent="0.35">
      <c r="B33" s="85" t="s">
        <v>56</v>
      </c>
      <c r="C33" s="85">
        <v>13.69</v>
      </c>
      <c r="D33" s="85">
        <v>4.2</v>
      </c>
      <c r="E33" s="85">
        <v>1.5</v>
      </c>
      <c r="F33" s="85">
        <v>1.5</v>
      </c>
      <c r="G33" s="85" t="s">
        <v>98</v>
      </c>
      <c r="H33" s="86">
        <v>28</v>
      </c>
      <c r="I33" s="85">
        <v>1.4</v>
      </c>
      <c r="J33" s="85">
        <v>1.7</v>
      </c>
      <c r="K33" s="85">
        <v>1.6</v>
      </c>
      <c r="L33" s="87">
        <v>1.9</v>
      </c>
      <c r="M33" s="6">
        <f t="shared" si="0"/>
        <v>1.65</v>
      </c>
      <c r="N33" s="88">
        <f t="shared" si="1"/>
        <v>8.55298599939821</v>
      </c>
      <c r="X33" s="65">
        <v>28</v>
      </c>
      <c r="Y33" s="103" t="s">
        <v>56</v>
      </c>
      <c r="Z33" s="64">
        <v>13.69</v>
      </c>
      <c r="AA33" s="64">
        <v>1.4</v>
      </c>
      <c r="AB33" s="64">
        <v>1.7</v>
      </c>
      <c r="AC33" s="64">
        <v>1.6</v>
      </c>
      <c r="AD33" s="66">
        <v>1.9</v>
      </c>
      <c r="AE33" s="1">
        <f t="shared" si="2"/>
        <v>1.65</v>
      </c>
      <c r="AF33" s="1">
        <f t="shared" si="3"/>
        <v>8.55298599939821</v>
      </c>
      <c r="AP33" s="90">
        <v>28</v>
      </c>
      <c r="AQ33" s="81" t="s">
        <v>55</v>
      </c>
      <c r="AR33" s="81">
        <v>19.100000000000001</v>
      </c>
      <c r="AS33" s="81">
        <v>1.6</v>
      </c>
      <c r="AT33" s="81">
        <v>2</v>
      </c>
      <c r="AU33" s="81">
        <v>1.7</v>
      </c>
      <c r="AV33" s="82">
        <v>1.1000000000000001</v>
      </c>
      <c r="AW33" s="1">
        <f t="shared" si="4"/>
        <v>1.6</v>
      </c>
      <c r="AX33" s="1">
        <f t="shared" si="5"/>
        <v>8.0424771931898711</v>
      </c>
    </row>
    <row r="34" spans="2:50" ht="15" thickBot="1" x14ac:dyDescent="0.35">
      <c r="B34" s="85" t="s">
        <v>56</v>
      </c>
      <c r="C34" s="85">
        <v>48.06</v>
      </c>
      <c r="D34" s="85">
        <v>10.6</v>
      </c>
      <c r="E34" s="85">
        <v>2.2999999999999998</v>
      </c>
      <c r="F34" s="85">
        <v>2.2999999999999998</v>
      </c>
      <c r="G34" s="85" t="s">
        <v>98</v>
      </c>
      <c r="H34" s="86">
        <v>29</v>
      </c>
      <c r="I34" s="85">
        <v>5.3</v>
      </c>
      <c r="J34" s="85">
        <v>6.1</v>
      </c>
      <c r="K34" s="85">
        <v>5.8</v>
      </c>
      <c r="L34" s="87">
        <v>4.5999999999999996</v>
      </c>
      <c r="M34" s="6">
        <f t="shared" si="0"/>
        <v>5.4499999999999993</v>
      </c>
      <c r="N34" s="88">
        <f t="shared" si="1"/>
        <v>93.313155793250814</v>
      </c>
      <c r="X34" s="65">
        <v>29</v>
      </c>
      <c r="Y34" s="103" t="s">
        <v>56</v>
      </c>
      <c r="Z34" s="64">
        <v>48.06</v>
      </c>
      <c r="AA34" s="64">
        <v>5.3</v>
      </c>
      <c r="AB34" s="64">
        <v>6.1</v>
      </c>
      <c r="AC34" s="64">
        <v>5.8</v>
      </c>
      <c r="AD34" s="66">
        <v>4.5999999999999996</v>
      </c>
      <c r="AE34" s="1">
        <f t="shared" si="2"/>
        <v>5.4499999999999993</v>
      </c>
      <c r="AF34" s="1">
        <f t="shared" si="3"/>
        <v>93.313155793250814</v>
      </c>
      <c r="AP34" s="104">
        <v>29</v>
      </c>
      <c r="AQ34" s="105" t="s">
        <v>99</v>
      </c>
      <c r="AR34" s="105">
        <v>30.24</v>
      </c>
      <c r="AS34" s="105">
        <v>2.8</v>
      </c>
      <c r="AT34" s="105">
        <v>3.1</v>
      </c>
      <c r="AU34" s="105">
        <v>2.9</v>
      </c>
      <c r="AV34" s="106">
        <v>3.5</v>
      </c>
      <c r="AW34" s="1">
        <f t="shared" si="4"/>
        <v>3.0750000000000002</v>
      </c>
      <c r="AX34" s="1">
        <f t="shared" si="5"/>
        <v>29.705722035099992</v>
      </c>
    </row>
    <row r="35" spans="2:50" ht="15" thickBot="1" x14ac:dyDescent="0.35">
      <c r="B35" s="85" t="s">
        <v>56</v>
      </c>
      <c r="C35" s="85">
        <v>18.46</v>
      </c>
      <c r="D35" s="85">
        <v>5.5</v>
      </c>
      <c r="E35" s="85">
        <v>1.7</v>
      </c>
      <c r="F35" s="85">
        <v>1.7</v>
      </c>
      <c r="G35" s="85" t="s">
        <v>98</v>
      </c>
      <c r="H35" s="86">
        <v>30</v>
      </c>
      <c r="I35" s="85">
        <v>2.1</v>
      </c>
      <c r="J35" s="85">
        <v>2.2999999999999998</v>
      </c>
      <c r="K35" s="85">
        <v>2</v>
      </c>
      <c r="L35" s="87">
        <v>2.4</v>
      </c>
      <c r="M35" s="6">
        <f t="shared" si="0"/>
        <v>2.2000000000000002</v>
      </c>
      <c r="N35" s="88">
        <f t="shared" si="1"/>
        <v>15.205308443374602</v>
      </c>
      <c r="X35" s="65">
        <v>30</v>
      </c>
      <c r="Y35" s="103" t="s">
        <v>56</v>
      </c>
      <c r="Z35" s="64">
        <v>18.46</v>
      </c>
      <c r="AA35" s="64">
        <v>2.1</v>
      </c>
      <c r="AB35" s="64">
        <v>2.2999999999999998</v>
      </c>
      <c r="AC35" s="64">
        <v>2</v>
      </c>
      <c r="AD35" s="66">
        <v>2.4</v>
      </c>
      <c r="AE35" s="1">
        <f t="shared" si="2"/>
        <v>2.2000000000000002</v>
      </c>
      <c r="AF35" s="1">
        <f t="shared" si="3"/>
        <v>15.205308443374602</v>
      </c>
      <c r="AP35" s="107">
        <v>30</v>
      </c>
      <c r="AQ35" s="108" t="s">
        <v>56</v>
      </c>
      <c r="AR35" s="108">
        <v>37.56</v>
      </c>
      <c r="AS35" s="108">
        <v>4.0999999999999996</v>
      </c>
      <c r="AT35" s="108">
        <v>4.2</v>
      </c>
      <c r="AU35" s="108">
        <v>4</v>
      </c>
      <c r="AV35" s="109">
        <v>4.5</v>
      </c>
      <c r="AW35" s="1">
        <f t="shared" si="4"/>
        <v>4.2</v>
      </c>
      <c r="AX35" s="1">
        <f t="shared" si="5"/>
        <v>55.41769440932395</v>
      </c>
    </row>
    <row r="36" spans="2:50" ht="15" thickBot="1" x14ac:dyDescent="0.35">
      <c r="B36" s="85" t="s">
        <v>56</v>
      </c>
      <c r="C36" s="85">
        <v>21.96</v>
      </c>
      <c r="D36" s="85">
        <v>5.0999999999999996</v>
      </c>
      <c r="E36" s="85">
        <v>1.5</v>
      </c>
      <c r="F36" s="85">
        <v>1.5</v>
      </c>
      <c r="G36" s="85" t="s">
        <v>98</v>
      </c>
      <c r="H36" s="86">
        <v>31</v>
      </c>
      <c r="I36" s="85">
        <v>2.2000000000000002</v>
      </c>
      <c r="J36" s="85">
        <v>2.7</v>
      </c>
      <c r="K36" s="85">
        <v>2.2000000000000002</v>
      </c>
      <c r="L36" s="87">
        <v>2.4</v>
      </c>
      <c r="M36" s="6">
        <f t="shared" si="0"/>
        <v>2.375</v>
      </c>
      <c r="N36" s="88">
        <f t="shared" si="1"/>
        <v>17.720546061654925</v>
      </c>
      <c r="X36" s="65">
        <v>31</v>
      </c>
      <c r="Y36" s="103" t="s">
        <v>56</v>
      </c>
      <c r="Z36" s="64">
        <v>21.96</v>
      </c>
      <c r="AA36" s="64">
        <v>2.2000000000000002</v>
      </c>
      <c r="AB36" s="64">
        <v>2.7</v>
      </c>
      <c r="AC36" s="64">
        <v>2.2000000000000002</v>
      </c>
      <c r="AD36" s="66">
        <v>2.4</v>
      </c>
      <c r="AE36" s="1">
        <f t="shared" si="2"/>
        <v>2.375</v>
      </c>
      <c r="AF36" s="1">
        <f t="shared" si="3"/>
        <v>17.720546061654925</v>
      </c>
      <c r="AP36" s="107">
        <v>31</v>
      </c>
      <c r="AQ36" s="108" t="s">
        <v>56</v>
      </c>
      <c r="AR36" s="108">
        <v>47.75</v>
      </c>
      <c r="AS36" s="108">
        <v>5</v>
      </c>
      <c r="AT36" s="108">
        <v>5.8</v>
      </c>
      <c r="AU36" s="108">
        <v>4.7</v>
      </c>
      <c r="AV36" s="109">
        <v>5.0999999999999996</v>
      </c>
      <c r="AW36" s="1">
        <f t="shared" si="4"/>
        <v>5.15</v>
      </c>
      <c r="AX36" s="1">
        <f t="shared" si="5"/>
        <v>83.322891154835304</v>
      </c>
    </row>
    <row r="37" spans="2:50" ht="15" thickBot="1" x14ac:dyDescent="0.35">
      <c r="AP37" s="107">
        <v>32</v>
      </c>
      <c r="AQ37" s="108" t="s">
        <v>56</v>
      </c>
      <c r="AR37" s="108">
        <v>49.34</v>
      </c>
      <c r="AS37" s="108">
        <v>5.7</v>
      </c>
      <c r="AT37" s="108">
        <v>5.8</v>
      </c>
      <c r="AU37" s="108">
        <v>5.9</v>
      </c>
      <c r="AV37" s="109">
        <v>5.9</v>
      </c>
      <c r="AW37" s="1">
        <f t="shared" si="4"/>
        <v>5.8249999999999993</v>
      </c>
      <c r="AX37" s="1">
        <f t="shared" si="5"/>
        <v>106.59620223171015</v>
      </c>
    </row>
    <row r="38" spans="2:50" ht="15" thickBot="1" x14ac:dyDescent="0.35">
      <c r="AP38" s="107">
        <v>33</v>
      </c>
      <c r="AQ38" s="108" t="s">
        <v>56</v>
      </c>
      <c r="AR38" s="108">
        <v>25.15</v>
      </c>
      <c r="AS38" s="108">
        <v>3.7</v>
      </c>
      <c r="AT38" s="108">
        <v>2.4</v>
      </c>
      <c r="AU38" s="108">
        <v>3.5</v>
      </c>
      <c r="AV38" s="109">
        <v>3.1</v>
      </c>
      <c r="AW38" s="1">
        <f t="shared" si="4"/>
        <v>3.1749999999999998</v>
      </c>
      <c r="AX38" s="1">
        <f t="shared" si="5"/>
        <v>31.669217443593606</v>
      </c>
    </row>
    <row r="39" spans="2:50" ht="15" thickBot="1" x14ac:dyDescent="0.35">
      <c r="AP39" s="107">
        <v>34</v>
      </c>
      <c r="AQ39" s="108" t="s">
        <v>56</v>
      </c>
      <c r="AR39" s="108">
        <v>23.87</v>
      </c>
      <c r="AS39" s="108">
        <v>3.2</v>
      </c>
      <c r="AT39" s="108">
        <v>2.6</v>
      </c>
      <c r="AU39" s="108">
        <v>3.4</v>
      </c>
      <c r="AV39" s="109">
        <v>2.9</v>
      </c>
      <c r="AW39" s="1">
        <f t="shared" si="4"/>
        <v>3.0250000000000004</v>
      </c>
      <c r="AX39" s="1">
        <f t="shared" si="5"/>
        <v>28.747536275755106</v>
      </c>
    </row>
    <row r="40" spans="2:50" ht="15" thickBot="1" x14ac:dyDescent="0.35">
      <c r="AP40" s="107">
        <v>35</v>
      </c>
      <c r="AQ40" s="108" t="s">
        <v>56</v>
      </c>
      <c r="AR40" s="108">
        <v>49.02</v>
      </c>
      <c r="AS40" s="108">
        <v>5.2</v>
      </c>
      <c r="AT40" s="108">
        <v>5.4</v>
      </c>
      <c r="AU40" s="108">
        <v>4.9000000000000004</v>
      </c>
      <c r="AV40" s="109">
        <v>5.5</v>
      </c>
      <c r="AW40" s="1">
        <f t="shared" si="4"/>
        <v>5.25</v>
      </c>
      <c r="AX40" s="1">
        <f t="shared" si="5"/>
        <v>86.59014751456867</v>
      </c>
    </row>
    <row r="41" spans="2:50" ht="15" thickBot="1" x14ac:dyDescent="0.35">
      <c r="AP41" s="107">
        <v>36</v>
      </c>
      <c r="AQ41" s="108" t="s">
        <v>56</v>
      </c>
      <c r="AR41" s="108">
        <v>54.11</v>
      </c>
      <c r="AS41" s="108">
        <v>5.5</v>
      </c>
      <c r="AT41" s="108">
        <v>7.6</v>
      </c>
      <c r="AU41" s="108">
        <v>5.9</v>
      </c>
      <c r="AV41" s="109">
        <v>5.4</v>
      </c>
      <c r="AW41" s="1">
        <f t="shared" si="4"/>
        <v>6.1</v>
      </c>
      <c r="AX41" s="1">
        <f t="shared" si="5"/>
        <v>116.89866264007618</v>
      </c>
    </row>
    <row r="42" spans="2:50" ht="15" thickBot="1" x14ac:dyDescent="0.35">
      <c r="AP42" s="107">
        <v>37</v>
      </c>
      <c r="AQ42" s="108" t="s">
        <v>56</v>
      </c>
      <c r="AR42" s="108">
        <v>20.69</v>
      </c>
      <c r="AS42" s="108">
        <v>2.4</v>
      </c>
      <c r="AT42" s="108">
        <v>2.4</v>
      </c>
      <c r="AU42" s="108">
        <v>2.2999999999999998</v>
      </c>
      <c r="AV42" s="109">
        <v>2.2000000000000002</v>
      </c>
      <c r="AW42" s="1">
        <f t="shared" si="4"/>
        <v>2.3250000000000002</v>
      </c>
      <c r="AX42" s="1">
        <f t="shared" si="5"/>
        <v>16.982271788061325</v>
      </c>
    </row>
    <row r="43" spans="2:50" ht="15" thickBot="1" x14ac:dyDescent="0.35">
      <c r="AP43" s="107">
        <v>38</v>
      </c>
      <c r="AQ43" s="108" t="s">
        <v>56</v>
      </c>
      <c r="AR43" s="108">
        <v>22.28</v>
      </c>
      <c r="AS43" s="108">
        <v>2.7</v>
      </c>
      <c r="AT43" s="108">
        <v>3.1</v>
      </c>
      <c r="AU43" s="108">
        <v>3.5</v>
      </c>
      <c r="AV43" s="109">
        <v>3.5</v>
      </c>
      <c r="AW43" s="1">
        <f t="shared" si="4"/>
        <v>3.2</v>
      </c>
      <c r="AX43" s="1">
        <f t="shared" si="5"/>
        <v>32.169908772759484</v>
      </c>
    </row>
    <row r="44" spans="2:50" ht="15" thickBot="1" x14ac:dyDescent="0.35">
      <c r="AP44" s="107">
        <v>39</v>
      </c>
      <c r="AQ44" s="108" t="s">
        <v>56</v>
      </c>
      <c r="AR44" s="108">
        <v>28.01</v>
      </c>
      <c r="AS44" s="108">
        <v>3.2</v>
      </c>
      <c r="AT44" s="108">
        <v>3.1</v>
      </c>
      <c r="AU44" s="108">
        <v>3.3</v>
      </c>
      <c r="AV44" s="109">
        <v>2.8</v>
      </c>
      <c r="AW44" s="1">
        <f t="shared" si="4"/>
        <v>3.1000000000000005</v>
      </c>
      <c r="AX44" s="1">
        <f t="shared" si="5"/>
        <v>30.190705400997921</v>
      </c>
    </row>
    <row r="45" spans="2:50" ht="15" thickBot="1" x14ac:dyDescent="0.35">
      <c r="AP45" s="107">
        <v>40</v>
      </c>
      <c r="AQ45" s="108" t="s">
        <v>56</v>
      </c>
      <c r="AR45" s="108">
        <v>29.28</v>
      </c>
      <c r="AS45" s="108">
        <v>3.6</v>
      </c>
      <c r="AT45" s="108">
        <v>2.7</v>
      </c>
      <c r="AU45" s="108">
        <v>4</v>
      </c>
      <c r="AV45" s="109">
        <v>4.3</v>
      </c>
      <c r="AW45" s="1">
        <f t="shared" si="4"/>
        <v>3.6500000000000004</v>
      </c>
      <c r="AX45" s="1">
        <f t="shared" si="5"/>
        <v>41.853868127450028</v>
      </c>
    </row>
    <row r="46" spans="2:50" ht="15" thickBot="1" x14ac:dyDescent="0.35">
      <c r="AP46" s="107">
        <v>41</v>
      </c>
      <c r="AQ46" s="108" t="s">
        <v>56</v>
      </c>
      <c r="AR46" s="108">
        <v>44.25</v>
      </c>
      <c r="AS46" s="108">
        <v>4.5999999999999996</v>
      </c>
      <c r="AT46" s="108">
        <v>6</v>
      </c>
      <c r="AU46" s="108">
        <v>5.3</v>
      </c>
      <c r="AV46" s="109">
        <v>4.0999999999999996</v>
      </c>
      <c r="AW46" s="1">
        <f t="shared" si="4"/>
        <v>5</v>
      </c>
      <c r="AX46" s="1">
        <f t="shared" si="5"/>
        <v>78.539816339744831</v>
      </c>
    </row>
    <row r="47" spans="2:50" ht="15" thickBot="1" x14ac:dyDescent="0.35">
      <c r="AP47" s="107">
        <v>42</v>
      </c>
      <c r="AQ47" s="108" t="s">
        <v>56</v>
      </c>
      <c r="AR47" s="108">
        <v>23.87</v>
      </c>
      <c r="AS47" s="108">
        <v>3</v>
      </c>
      <c r="AT47" s="108">
        <v>2.7</v>
      </c>
      <c r="AU47" s="108">
        <v>2.9</v>
      </c>
      <c r="AV47" s="109">
        <v>2.8</v>
      </c>
      <c r="AW47" s="1">
        <f t="shared" si="4"/>
        <v>2.8499999999999996</v>
      </c>
      <c r="AX47" s="1">
        <f t="shared" si="5"/>
        <v>25.517586328783089</v>
      </c>
    </row>
    <row r="48" spans="2:50" ht="15" thickBot="1" x14ac:dyDescent="0.35">
      <c r="AP48" s="104">
        <v>43</v>
      </c>
      <c r="AQ48" s="105" t="s">
        <v>99</v>
      </c>
      <c r="AR48" s="105">
        <v>15.28</v>
      </c>
      <c r="AS48" s="105">
        <v>2.2000000000000002</v>
      </c>
      <c r="AT48" s="105">
        <v>1.6</v>
      </c>
      <c r="AU48" s="105">
        <v>1.7</v>
      </c>
      <c r="AV48" s="106">
        <v>2.1</v>
      </c>
      <c r="AW48" s="1">
        <f t="shared" si="4"/>
        <v>1.9</v>
      </c>
      <c r="AX48" s="1">
        <f t="shared" si="5"/>
        <v>11.341149479459153</v>
      </c>
    </row>
    <row r="49" spans="42:50" ht="15" thickBot="1" x14ac:dyDescent="0.35">
      <c r="AP49" s="104">
        <v>44</v>
      </c>
      <c r="AQ49" s="105" t="s">
        <v>99</v>
      </c>
      <c r="AR49" s="105">
        <v>11.14</v>
      </c>
      <c r="AS49" s="105">
        <v>1</v>
      </c>
      <c r="AT49" s="105">
        <v>1.6</v>
      </c>
      <c r="AU49" s="105">
        <v>1.7</v>
      </c>
      <c r="AV49" s="106">
        <v>1.2</v>
      </c>
      <c r="AW49" s="1">
        <f t="shared" si="4"/>
        <v>1.375</v>
      </c>
      <c r="AX49" s="1">
        <f t="shared" si="5"/>
        <v>5.9395736106932029</v>
      </c>
    </row>
    <row r="50" spans="42:50" ht="15" thickBot="1" x14ac:dyDescent="0.35">
      <c r="AP50" s="107">
        <v>45</v>
      </c>
      <c r="AQ50" s="108" t="s">
        <v>56</v>
      </c>
      <c r="AR50" s="108">
        <v>26.42</v>
      </c>
      <c r="AS50" s="108">
        <v>3.1</v>
      </c>
      <c r="AT50" s="108">
        <v>3.4</v>
      </c>
      <c r="AU50" s="108">
        <v>3.2</v>
      </c>
      <c r="AV50" s="109">
        <v>3.3</v>
      </c>
      <c r="AW50" s="1">
        <f t="shared" si="4"/>
        <v>3.25</v>
      </c>
      <c r="AX50" s="1">
        <f t="shared" si="5"/>
        <v>33.183072403542191</v>
      </c>
    </row>
    <row r="51" spans="42:50" ht="15" thickBot="1" x14ac:dyDescent="0.35">
      <c r="AP51" s="107">
        <v>46</v>
      </c>
      <c r="AQ51" s="108" t="s">
        <v>56</v>
      </c>
      <c r="AR51" s="108">
        <v>8.2799999999999994</v>
      </c>
      <c r="AS51" s="108">
        <v>1.2</v>
      </c>
      <c r="AT51" s="108">
        <v>1.1000000000000001</v>
      </c>
      <c r="AU51" s="108">
        <v>1</v>
      </c>
      <c r="AV51" s="109">
        <v>1.2</v>
      </c>
      <c r="AW51" s="1">
        <f t="shared" si="4"/>
        <v>1.125</v>
      </c>
      <c r="AX51" s="1">
        <f t="shared" si="5"/>
        <v>3.9760782021995817</v>
      </c>
    </row>
    <row r="52" spans="42:50" ht="15" thickBot="1" x14ac:dyDescent="0.35">
      <c r="AP52" s="104">
        <v>47</v>
      </c>
      <c r="AQ52" s="105" t="s">
        <v>99</v>
      </c>
      <c r="AR52" s="105">
        <v>46.15</v>
      </c>
      <c r="AS52" s="105">
        <v>4.9000000000000004</v>
      </c>
      <c r="AT52" s="105">
        <v>4.5999999999999996</v>
      </c>
      <c r="AU52" s="105">
        <v>3.9</v>
      </c>
      <c r="AV52" s="106">
        <v>5.3</v>
      </c>
      <c r="AW52" s="1">
        <f t="shared" si="4"/>
        <v>4.6749999999999998</v>
      </c>
      <c r="AX52" s="1">
        <f t="shared" si="5"/>
        <v>68.661470939613423</v>
      </c>
    </row>
  </sheetData>
  <mergeCells count="23">
    <mergeCell ref="A3:L3"/>
    <mergeCell ref="X3:AD3"/>
    <mergeCell ref="AP3:AV3"/>
    <mergeCell ref="B4:B5"/>
    <mergeCell ref="C4:C5"/>
    <mergeCell ref="D4:G4"/>
    <mergeCell ref="H4:H5"/>
    <mergeCell ref="I4:L4"/>
    <mergeCell ref="M4:M5"/>
    <mergeCell ref="N4:N5"/>
    <mergeCell ref="AR4:AR5"/>
    <mergeCell ref="AS4:AV4"/>
    <mergeCell ref="X4:X5"/>
    <mergeCell ref="Y4:Y5"/>
    <mergeCell ref="Z4:Z5"/>
    <mergeCell ref="AA4:AD4"/>
    <mergeCell ref="AP4:AP5"/>
    <mergeCell ref="AQ4:AQ5"/>
    <mergeCell ref="AH22:AN29"/>
    <mergeCell ref="AH15:AJ15"/>
    <mergeCell ref="AH16:AJ16"/>
    <mergeCell ref="AH17:AJ17"/>
    <mergeCell ref="AH18:AJ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123</vt:lpstr>
      <vt:lpstr>123_m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2023-03-10T15:01:34Z</dcterms:created>
  <dcterms:modified xsi:type="dcterms:W3CDTF">2023-10-24T16:35:10Z</dcterms:modified>
</cp:coreProperties>
</file>