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G_Backup\Susana\Aulas\1_InventarioFlorestal\"/>
    </mc:Choice>
  </mc:AlternateContent>
  <bookViews>
    <workbookView xWindow="0" yWindow="0" windowWidth="23040" windowHeight="8616" activeTab="1"/>
  </bookViews>
  <sheets>
    <sheet name="Alternativa_resolver" sheetId="3" r:id="rId1"/>
    <sheet name="Aula_20Se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9" i="2" l="1"/>
  <c r="AI68" i="2"/>
  <c r="AI66" i="2"/>
  <c r="AI64" i="2"/>
  <c r="AI63" i="2"/>
  <c r="AI62" i="2"/>
  <c r="W72" i="2"/>
  <c r="AA7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C81" i="2"/>
  <c r="AD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W71" i="2"/>
  <c r="X71" i="2"/>
  <c r="Y71" i="2"/>
  <c r="Z7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81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81" i="2"/>
  <c r="AA72" i="2" l="1"/>
  <c r="R70" i="2" l="1"/>
  <c r="R71" i="2" s="1"/>
  <c r="G110" i="2" l="1"/>
  <c r="F110" i="2"/>
  <c r="G109" i="2"/>
  <c r="F109" i="2"/>
  <c r="J108" i="2"/>
  <c r="I108" i="2"/>
  <c r="G108" i="2"/>
  <c r="F108" i="2"/>
  <c r="J107" i="2"/>
  <c r="G107" i="2"/>
  <c r="F107" i="2"/>
  <c r="K106" i="2"/>
  <c r="J106" i="2"/>
  <c r="I106" i="2"/>
  <c r="G106" i="2"/>
  <c r="F106" i="2"/>
  <c r="J105" i="2"/>
  <c r="G105" i="2"/>
  <c r="F105" i="2"/>
  <c r="G104" i="2"/>
  <c r="F104" i="2"/>
  <c r="G103" i="2"/>
  <c r="F103" i="2"/>
  <c r="G102" i="2"/>
  <c r="F102" i="2"/>
  <c r="I102" i="2" s="1"/>
  <c r="G101" i="2"/>
  <c r="F101" i="2"/>
  <c r="I100" i="2"/>
  <c r="G100" i="2"/>
  <c r="F100" i="2"/>
  <c r="G99" i="2"/>
  <c r="F99" i="2"/>
  <c r="P53" i="2" s="1"/>
  <c r="P54" i="2" s="1"/>
  <c r="P55" i="2" s="1"/>
  <c r="I98" i="2"/>
  <c r="H98" i="2"/>
  <c r="G98" i="2"/>
  <c r="K98" i="2" s="1"/>
  <c r="F98" i="2"/>
  <c r="G97" i="2"/>
  <c r="F97" i="2"/>
  <c r="G96" i="2"/>
  <c r="F96" i="2"/>
  <c r="I95" i="2"/>
  <c r="G95" i="2"/>
  <c r="F95" i="2"/>
  <c r="G94" i="2"/>
  <c r="K94" i="2" s="1"/>
  <c r="F94" i="2"/>
  <c r="G93" i="2"/>
  <c r="F93" i="2"/>
  <c r="G92" i="2"/>
  <c r="F92" i="2"/>
  <c r="I92" i="2" s="1"/>
  <c r="G91" i="2"/>
  <c r="F91" i="2"/>
  <c r="G90" i="2"/>
  <c r="F90" i="2"/>
  <c r="H90" i="2" s="1"/>
  <c r="G89" i="2"/>
  <c r="F89" i="2"/>
  <c r="G88" i="2"/>
  <c r="F88" i="2"/>
  <c r="G87" i="2"/>
  <c r="J87" i="2" s="1"/>
  <c r="F87" i="2"/>
  <c r="K86" i="2"/>
  <c r="G86" i="2"/>
  <c r="F86" i="2"/>
  <c r="G85" i="2"/>
  <c r="F85" i="2"/>
  <c r="K84" i="2"/>
  <c r="I84" i="2"/>
  <c r="G84" i="2"/>
  <c r="F84" i="2"/>
  <c r="G83" i="2"/>
  <c r="F83" i="2"/>
  <c r="G82" i="2"/>
  <c r="F82" i="2"/>
  <c r="L81" i="2"/>
  <c r="K81" i="2"/>
  <c r="G81" i="2"/>
  <c r="F81" i="2"/>
  <c r="O80" i="2"/>
  <c r="M80" i="2"/>
  <c r="G80" i="2"/>
  <c r="P80" i="2" s="1"/>
  <c r="F80" i="2"/>
  <c r="P79" i="2"/>
  <c r="O79" i="2"/>
  <c r="N79" i="2"/>
  <c r="M79" i="2"/>
  <c r="K79" i="2"/>
  <c r="J79" i="2"/>
  <c r="I79" i="2"/>
  <c r="H79" i="2"/>
  <c r="K72" i="2"/>
  <c r="K73" i="2" s="1"/>
  <c r="J72" i="2"/>
  <c r="J73" i="2" s="1"/>
  <c r="I72" i="2"/>
  <c r="I73" i="2" s="1"/>
  <c r="H72" i="2"/>
  <c r="H73" i="2" s="1"/>
  <c r="U70" i="2"/>
  <c r="U71" i="2" s="1"/>
  <c r="T70" i="2"/>
  <c r="T71" i="2" s="1"/>
  <c r="S70" i="2"/>
  <c r="S71" i="2" s="1"/>
  <c r="P69" i="2"/>
  <c r="P70" i="2" s="1"/>
  <c r="O69" i="2"/>
  <c r="O70" i="2" s="1"/>
  <c r="N69" i="2"/>
  <c r="M69" i="2"/>
  <c r="M70" i="2" s="1"/>
  <c r="O68" i="2"/>
  <c r="M68" i="2"/>
  <c r="M71" i="2" s="1"/>
  <c r="M72" i="2" s="1"/>
  <c r="M73" i="2" s="1"/>
  <c r="O53" i="2"/>
  <c r="O54" i="2" s="1"/>
  <c r="O55" i="2" s="1"/>
  <c r="M53" i="2"/>
  <c r="M54" i="2" s="1"/>
  <c r="M55" i="2" s="1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Y17" i="2"/>
  <c r="Y18" i="2" s="1"/>
  <c r="F17" i="2"/>
  <c r="AA16" i="2"/>
  <c r="Z16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U129" i="3"/>
  <c r="U128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N106" i="3"/>
  <c r="U105" i="3"/>
  <c r="U104" i="3"/>
  <c r="T104" i="3"/>
  <c r="W103" i="3"/>
  <c r="T103" i="3"/>
  <c r="T102" i="3"/>
  <c r="T101" i="3"/>
  <c r="I101" i="3"/>
  <c r="T100" i="3"/>
  <c r="I100" i="3"/>
  <c r="T99" i="3"/>
  <c r="I99" i="3"/>
  <c r="T98" i="3"/>
  <c r="I98" i="3"/>
  <c r="T97" i="3"/>
  <c r="I97" i="3"/>
  <c r="T96" i="3"/>
  <c r="I96" i="3"/>
  <c r="T95" i="3"/>
  <c r="I95" i="3"/>
  <c r="T94" i="3"/>
  <c r="I94" i="3"/>
  <c r="T93" i="3"/>
  <c r="I93" i="3"/>
  <c r="T92" i="3"/>
  <c r="I92" i="3"/>
  <c r="T91" i="3"/>
  <c r="I91" i="3"/>
  <c r="T90" i="3"/>
  <c r="I90" i="3"/>
  <c r="T89" i="3"/>
  <c r="I89" i="3"/>
  <c r="T88" i="3"/>
  <c r="I88" i="3"/>
  <c r="T87" i="3"/>
  <c r="I87" i="3"/>
  <c r="T86" i="3"/>
  <c r="I86" i="3"/>
  <c r="T85" i="3"/>
  <c r="I85" i="3"/>
  <c r="I84" i="3"/>
  <c r="I83" i="3"/>
  <c r="N82" i="3"/>
  <c r="I82" i="3"/>
  <c r="I81" i="3"/>
  <c r="I80" i="3"/>
  <c r="I79" i="3"/>
  <c r="I78" i="3"/>
  <c r="U77" i="3"/>
  <c r="I77" i="3"/>
  <c r="U76" i="3"/>
  <c r="T76" i="3"/>
  <c r="I76" i="3"/>
  <c r="T75" i="3"/>
  <c r="I75" i="3"/>
  <c r="T74" i="3"/>
  <c r="T73" i="3"/>
  <c r="T72" i="3"/>
  <c r="T71" i="3"/>
  <c r="I71" i="3"/>
  <c r="E71" i="3"/>
  <c r="T70" i="3"/>
  <c r="I70" i="3"/>
  <c r="T69" i="3"/>
  <c r="I69" i="3"/>
  <c r="T68" i="3"/>
  <c r="I68" i="3"/>
  <c r="T67" i="3"/>
  <c r="I67" i="3"/>
  <c r="I66" i="3"/>
  <c r="I65" i="3"/>
  <c r="N64" i="3"/>
  <c r="I64" i="3"/>
  <c r="U63" i="3"/>
  <c r="I63" i="3"/>
  <c r="U62" i="3"/>
  <c r="T62" i="3"/>
  <c r="I62" i="3"/>
  <c r="W61" i="3"/>
  <c r="T61" i="3"/>
  <c r="I61" i="3"/>
  <c r="T60" i="3"/>
  <c r="I60" i="3"/>
  <c r="T59" i="3"/>
  <c r="I59" i="3"/>
  <c r="T58" i="3"/>
  <c r="I58" i="3"/>
  <c r="T57" i="3"/>
  <c r="I57" i="3"/>
  <c r="T56" i="3"/>
  <c r="I56" i="3"/>
  <c r="T55" i="3"/>
  <c r="I55" i="3"/>
  <c r="T54" i="3"/>
  <c r="T53" i="3"/>
  <c r="I51" i="3"/>
  <c r="E51" i="3"/>
  <c r="N50" i="3"/>
  <c r="I50" i="3"/>
  <c r="I49" i="3"/>
  <c r="I48" i="3"/>
  <c r="I47" i="3"/>
  <c r="U46" i="3"/>
  <c r="I46" i="3"/>
  <c r="U45" i="3"/>
  <c r="T45" i="3"/>
  <c r="I45" i="3"/>
  <c r="AH44" i="3"/>
  <c r="T44" i="3"/>
  <c r="I44" i="3"/>
  <c r="AK43" i="3"/>
  <c r="AJ43" i="3"/>
  <c r="AI43" i="3"/>
  <c r="AH43" i="3"/>
  <c r="T43" i="3"/>
  <c r="I43" i="3"/>
  <c r="AK42" i="3"/>
  <c r="AJ42" i="3"/>
  <c r="AI42" i="3"/>
  <c r="AH42" i="3"/>
  <c r="T42" i="3"/>
  <c r="I42" i="3"/>
  <c r="AK41" i="3"/>
  <c r="AJ41" i="3"/>
  <c r="AI41" i="3"/>
  <c r="AH41" i="3"/>
  <c r="T41" i="3"/>
  <c r="I41" i="3"/>
  <c r="AK40" i="3"/>
  <c r="AJ40" i="3"/>
  <c r="AI40" i="3"/>
  <c r="AH40" i="3"/>
  <c r="AG40" i="3"/>
  <c r="AK39" i="3"/>
  <c r="AJ39" i="3"/>
  <c r="AI39" i="3"/>
  <c r="AH39" i="3"/>
  <c r="AG39" i="3"/>
  <c r="AK38" i="3"/>
  <c r="AJ38" i="3"/>
  <c r="AI38" i="3"/>
  <c r="AH38" i="3"/>
  <c r="AG38" i="3"/>
  <c r="N38" i="3"/>
  <c r="AK37" i="3"/>
  <c r="AJ37" i="3"/>
  <c r="AI37" i="3"/>
  <c r="AH37" i="3"/>
  <c r="AG37" i="3"/>
  <c r="U37" i="3"/>
  <c r="E37" i="3"/>
  <c r="AK36" i="3"/>
  <c r="AJ36" i="3"/>
  <c r="AI36" i="3"/>
  <c r="AH36" i="3"/>
  <c r="AG36" i="3"/>
  <c r="U36" i="3"/>
  <c r="T36" i="3"/>
  <c r="I36" i="3"/>
  <c r="AK35" i="3"/>
  <c r="AJ35" i="3"/>
  <c r="AI35" i="3"/>
  <c r="AH35" i="3"/>
  <c r="AG35" i="3"/>
  <c r="W35" i="3"/>
  <c r="T35" i="3"/>
  <c r="I35" i="3"/>
  <c r="AK34" i="3"/>
  <c r="AJ34" i="3"/>
  <c r="AI34" i="3"/>
  <c r="AH34" i="3"/>
  <c r="AG34" i="3"/>
  <c r="T34" i="3"/>
  <c r="I34" i="3"/>
  <c r="AK33" i="3"/>
  <c r="AJ33" i="3"/>
  <c r="AI33" i="3"/>
  <c r="AH33" i="3"/>
  <c r="AG33" i="3"/>
  <c r="T33" i="3"/>
  <c r="I33" i="3"/>
  <c r="AK32" i="3"/>
  <c r="AJ32" i="3"/>
  <c r="AI32" i="3"/>
  <c r="AH32" i="3"/>
  <c r="AG32" i="3"/>
  <c r="T32" i="3"/>
  <c r="I32" i="3"/>
  <c r="N29" i="3"/>
  <c r="E28" i="3"/>
  <c r="I87" i="2" l="1"/>
  <c r="I97" i="2"/>
  <c r="Z98" i="2"/>
  <c r="V98" i="2"/>
  <c r="X98" i="2"/>
  <c r="T97" i="2"/>
  <c r="S97" i="2"/>
  <c r="Q97" i="2"/>
  <c r="R97" i="2"/>
  <c r="I2" i="2"/>
  <c r="N70" i="2"/>
  <c r="I81" i="2"/>
  <c r="Z82" i="2"/>
  <c r="V82" i="2"/>
  <c r="X82" i="2"/>
  <c r="T81" i="2"/>
  <c r="S81" i="2"/>
  <c r="Q81" i="2"/>
  <c r="R81" i="2"/>
  <c r="J86" i="2"/>
  <c r="V87" i="2"/>
  <c r="Z87" i="2"/>
  <c r="X87" i="2"/>
  <c r="R86" i="2"/>
  <c r="S86" i="2"/>
  <c r="Q86" i="2"/>
  <c r="T86" i="2"/>
  <c r="K90" i="2"/>
  <c r="J92" i="2"/>
  <c r="K95" i="2"/>
  <c r="Z96" i="2"/>
  <c r="X96" i="2"/>
  <c r="V96" i="2"/>
  <c r="T95" i="2"/>
  <c r="S95" i="2"/>
  <c r="R95" i="2"/>
  <c r="Q95" i="2"/>
  <c r="K83" i="2"/>
  <c r="X84" i="2"/>
  <c r="V84" i="2"/>
  <c r="Z84" i="2"/>
  <c r="R83" i="2"/>
  <c r="Q83" i="2"/>
  <c r="T83" i="2"/>
  <c r="S83" i="2"/>
  <c r="K99" i="2"/>
  <c r="Z100" i="2"/>
  <c r="X100" i="2"/>
  <c r="V100" i="2"/>
  <c r="R99" i="2"/>
  <c r="T99" i="2"/>
  <c r="S99" i="2"/>
  <c r="Q99" i="2"/>
  <c r="K104" i="2"/>
  <c r="Z105" i="2"/>
  <c r="V105" i="2"/>
  <c r="X105" i="2"/>
  <c r="T104" i="2"/>
  <c r="S104" i="2"/>
  <c r="Q104" i="2"/>
  <c r="R104" i="2"/>
  <c r="O71" i="2"/>
  <c r="O72" i="2" s="1"/>
  <c r="O73" i="2" s="1"/>
  <c r="H84" i="2"/>
  <c r="V85" i="2"/>
  <c r="X85" i="2"/>
  <c r="Z85" i="2"/>
  <c r="Q84" i="2"/>
  <c r="T84" i="2"/>
  <c r="R84" i="2"/>
  <c r="S84" i="2"/>
  <c r="K88" i="2"/>
  <c r="Z89" i="2"/>
  <c r="X89" i="2"/>
  <c r="V89" i="2"/>
  <c r="T88" i="2"/>
  <c r="S88" i="2"/>
  <c r="Q88" i="2"/>
  <c r="R88" i="2"/>
  <c r="K92" i="2"/>
  <c r="J97" i="2"/>
  <c r="H100" i="2"/>
  <c r="X101" i="2"/>
  <c r="V101" i="2"/>
  <c r="Z101" i="2"/>
  <c r="Q100" i="2"/>
  <c r="R100" i="2"/>
  <c r="S100" i="2"/>
  <c r="T100" i="2"/>
  <c r="I105" i="2"/>
  <c r="Z106" i="2"/>
  <c r="X106" i="2"/>
  <c r="V106" i="2"/>
  <c r="Q105" i="2"/>
  <c r="R105" i="2"/>
  <c r="T105" i="2"/>
  <c r="S105" i="2"/>
  <c r="J90" i="2"/>
  <c r="V91" i="2"/>
  <c r="Z91" i="2"/>
  <c r="X91" i="2"/>
  <c r="R90" i="2"/>
  <c r="T90" i="2"/>
  <c r="S90" i="2"/>
  <c r="Q90" i="2"/>
  <c r="J102" i="2"/>
  <c r="X103" i="2"/>
  <c r="V103" i="2"/>
  <c r="Z103" i="2"/>
  <c r="Q102" i="2"/>
  <c r="R102" i="2"/>
  <c r="T102" i="2"/>
  <c r="S102" i="2"/>
  <c r="J81" i="2"/>
  <c r="I86" i="2"/>
  <c r="I90" i="2"/>
  <c r="K93" i="2"/>
  <c r="Z94" i="2"/>
  <c r="X94" i="2"/>
  <c r="V94" i="2"/>
  <c r="Q93" i="2"/>
  <c r="R93" i="2"/>
  <c r="T93" i="2"/>
  <c r="S93" i="2"/>
  <c r="H95" i="2"/>
  <c r="V99" i="2"/>
  <c r="Z99" i="2"/>
  <c r="X99" i="2"/>
  <c r="R98" i="2"/>
  <c r="Q98" i="2"/>
  <c r="T98" i="2"/>
  <c r="S98" i="2"/>
  <c r="K100" i="2"/>
  <c r="K102" i="2"/>
  <c r="K107" i="2"/>
  <c r="V108" i="2"/>
  <c r="Z108" i="2"/>
  <c r="X108" i="2"/>
  <c r="R107" i="2"/>
  <c r="Q107" i="2"/>
  <c r="T107" i="2"/>
  <c r="S107" i="2"/>
  <c r="K109" i="2"/>
  <c r="Z110" i="2"/>
  <c r="X110" i="2"/>
  <c r="V110" i="2"/>
  <c r="Q109" i="2"/>
  <c r="T109" i="2"/>
  <c r="S109" i="2"/>
  <c r="R109" i="2"/>
  <c r="K80" i="2"/>
  <c r="Z81" i="2"/>
  <c r="X81" i="2"/>
  <c r="V81" i="2"/>
  <c r="Q80" i="2"/>
  <c r="T80" i="2"/>
  <c r="S80" i="2"/>
  <c r="R80" i="2"/>
  <c r="I89" i="2"/>
  <c r="Z90" i="2"/>
  <c r="X90" i="2"/>
  <c r="V90" i="2"/>
  <c r="T89" i="2"/>
  <c r="S89" i="2"/>
  <c r="Q89" i="2"/>
  <c r="R89" i="2"/>
  <c r="K91" i="2"/>
  <c r="X92" i="2"/>
  <c r="V92" i="2"/>
  <c r="Z92" i="2"/>
  <c r="Q91" i="2"/>
  <c r="R91" i="2"/>
  <c r="T91" i="2"/>
  <c r="S91" i="2"/>
  <c r="K103" i="2"/>
  <c r="Z104" i="2"/>
  <c r="X104" i="2"/>
  <c r="V104" i="2"/>
  <c r="T103" i="2"/>
  <c r="S103" i="2"/>
  <c r="Q103" i="2"/>
  <c r="R103" i="2"/>
  <c r="N68" i="2"/>
  <c r="P81" i="2"/>
  <c r="J84" i="2"/>
  <c r="K87" i="2"/>
  <c r="Z88" i="2"/>
  <c r="X88" i="2"/>
  <c r="V88" i="2"/>
  <c r="T87" i="2"/>
  <c r="S87" i="2"/>
  <c r="R87" i="2"/>
  <c r="Q87" i="2"/>
  <c r="J94" i="2"/>
  <c r="Z95" i="2"/>
  <c r="X95" i="2"/>
  <c r="V95" i="2"/>
  <c r="Q94" i="2"/>
  <c r="S94" i="2"/>
  <c r="R94" i="2"/>
  <c r="T94" i="2"/>
  <c r="J95" i="2"/>
  <c r="J100" i="2"/>
  <c r="X107" i="2"/>
  <c r="V107" i="2"/>
  <c r="Z107" i="2"/>
  <c r="R106" i="2"/>
  <c r="Q106" i="2"/>
  <c r="T106" i="2"/>
  <c r="S106" i="2"/>
  <c r="H107" i="2"/>
  <c r="J110" i="2"/>
  <c r="T110" i="2"/>
  <c r="Q110" i="2"/>
  <c r="S110" i="2"/>
  <c r="R110" i="2"/>
  <c r="J82" i="2"/>
  <c r="X83" i="2"/>
  <c r="Z83" i="2"/>
  <c r="V83" i="2"/>
  <c r="R82" i="2"/>
  <c r="T82" i="2"/>
  <c r="S82" i="2"/>
  <c r="Q82" i="2"/>
  <c r="J89" i="2"/>
  <c r="H92" i="2"/>
  <c r="X93" i="2"/>
  <c r="V93" i="2"/>
  <c r="Z93" i="2"/>
  <c r="Q92" i="2"/>
  <c r="T92" i="2"/>
  <c r="S92" i="2"/>
  <c r="R92" i="2"/>
  <c r="K96" i="2"/>
  <c r="Z97" i="2"/>
  <c r="X97" i="2"/>
  <c r="V97" i="2"/>
  <c r="T96" i="2"/>
  <c r="S96" i="2"/>
  <c r="Q96" i="2"/>
  <c r="R96" i="2"/>
  <c r="K101" i="2"/>
  <c r="Z102" i="2"/>
  <c r="V102" i="2"/>
  <c r="X102" i="2"/>
  <c r="Q101" i="2"/>
  <c r="T101" i="2"/>
  <c r="R101" i="2"/>
  <c r="S101" i="2"/>
  <c r="H103" i="2"/>
  <c r="N53" i="2"/>
  <c r="N54" i="2" s="1"/>
  <c r="N55" i="2" s="1"/>
  <c r="P68" i="2"/>
  <c r="N80" i="2"/>
  <c r="K82" i="2"/>
  <c r="K85" i="2"/>
  <c r="Z86" i="2"/>
  <c r="V86" i="2"/>
  <c r="X86" i="2"/>
  <c r="S85" i="2"/>
  <c r="Q85" i="2"/>
  <c r="R85" i="2"/>
  <c r="T85" i="2"/>
  <c r="H87" i="2"/>
  <c r="K89" i="2"/>
  <c r="I94" i="2"/>
  <c r="J98" i="2"/>
  <c r="I103" i="2"/>
  <c r="H106" i="2"/>
  <c r="H108" i="2"/>
  <c r="V109" i="2"/>
  <c r="X109" i="2"/>
  <c r="Z109" i="2"/>
  <c r="Q108" i="2"/>
  <c r="R108" i="2"/>
  <c r="T108" i="2"/>
  <c r="S108" i="2"/>
  <c r="K110" i="2"/>
  <c r="O58" i="2"/>
  <c r="Y19" i="2"/>
  <c r="Z18" i="2"/>
  <c r="AA18" i="2"/>
  <c r="M75" i="2"/>
  <c r="M58" i="2"/>
  <c r="P71" i="2"/>
  <c r="P72" i="2" s="1"/>
  <c r="P73" i="2" s="1"/>
  <c r="P58" i="2"/>
  <c r="N58" i="2"/>
  <c r="O75" i="2"/>
  <c r="H82" i="2"/>
  <c r="K97" i="2"/>
  <c r="K105" i="2"/>
  <c r="I82" i="2"/>
  <c r="H85" i="2"/>
  <c r="H93" i="2"/>
  <c r="H101" i="2"/>
  <c r="J103" i="2"/>
  <c r="K108" i="2"/>
  <c r="K74" i="2" s="1"/>
  <c r="H109" i="2"/>
  <c r="M81" i="2"/>
  <c r="I85" i="2"/>
  <c r="H88" i="2"/>
  <c r="I93" i="2"/>
  <c r="H96" i="2"/>
  <c r="I101" i="2"/>
  <c r="H104" i="2"/>
  <c r="I109" i="2"/>
  <c r="Z17" i="2"/>
  <c r="H80" i="2"/>
  <c r="N81" i="2"/>
  <c r="H83" i="2"/>
  <c r="J85" i="2"/>
  <c r="I88" i="2"/>
  <c r="H91" i="2"/>
  <c r="J93" i="2"/>
  <c r="I96" i="2"/>
  <c r="H99" i="2"/>
  <c r="J101" i="2"/>
  <c r="I104" i="2"/>
  <c r="J109" i="2"/>
  <c r="AA17" i="2"/>
  <c r="I80" i="2"/>
  <c r="O81" i="2"/>
  <c r="L82" i="2"/>
  <c r="I83" i="2"/>
  <c r="H86" i="2"/>
  <c r="J88" i="2"/>
  <c r="I91" i="2"/>
  <c r="H94" i="2"/>
  <c r="J96" i="2"/>
  <c r="I99" i="2"/>
  <c r="H102" i="2"/>
  <c r="J104" i="2"/>
  <c r="I107" i="2"/>
  <c r="H110" i="2"/>
  <c r="J80" i="2"/>
  <c r="H81" i="2"/>
  <c r="J83" i="2"/>
  <c r="H89" i="2"/>
  <c r="J91" i="2"/>
  <c r="H97" i="2"/>
  <c r="J99" i="2"/>
  <c r="H105" i="2"/>
  <c r="I110" i="2"/>
  <c r="Y72" i="2" l="1"/>
  <c r="X72" i="2"/>
  <c r="J70" i="2"/>
  <c r="J75" i="2" s="1"/>
  <c r="H74" i="2"/>
  <c r="Z72" i="2"/>
  <c r="S72" i="2"/>
  <c r="T72" i="2"/>
  <c r="U72" i="2"/>
  <c r="N71" i="2"/>
  <c r="N72" i="2" s="1"/>
  <c r="N73" i="2" s="1"/>
  <c r="N75" i="2" s="1"/>
  <c r="K70" i="2"/>
  <c r="K75" i="2" s="1"/>
  <c r="R72" i="2"/>
  <c r="R73" i="2" s="1"/>
  <c r="I74" i="2"/>
  <c r="H70" i="2"/>
  <c r="H75" i="2" s="1"/>
  <c r="P75" i="2"/>
  <c r="N82" i="2"/>
  <c r="O82" i="2"/>
  <c r="M82" i="2"/>
  <c r="L83" i="2"/>
  <c r="P82" i="2"/>
  <c r="Y20" i="2"/>
  <c r="AA19" i="2"/>
  <c r="Z19" i="2"/>
  <c r="I70" i="2"/>
  <c r="I75" i="2" s="1"/>
  <c r="J74" i="2"/>
  <c r="P83" i="2" l="1"/>
  <c r="L84" i="2"/>
  <c r="O83" i="2"/>
  <c r="N83" i="2"/>
  <c r="M83" i="2"/>
  <c r="Z20" i="2"/>
  <c r="Y21" i="2"/>
  <c r="AA20" i="2"/>
  <c r="P84" i="2" l="1"/>
  <c r="L85" i="2"/>
  <c r="O84" i="2"/>
  <c r="N84" i="2"/>
  <c r="M84" i="2"/>
  <c r="Y22" i="2"/>
  <c r="AA21" i="2"/>
  <c r="Z21" i="2"/>
  <c r="Y23" i="2" l="1"/>
  <c r="Z22" i="2"/>
  <c r="AA22" i="2"/>
  <c r="M85" i="2"/>
  <c r="P85" i="2"/>
  <c r="L86" i="2"/>
  <c r="O85" i="2"/>
  <c r="N85" i="2"/>
  <c r="P86" i="2" l="1"/>
  <c r="L87" i="2"/>
  <c r="O86" i="2"/>
  <c r="N86" i="2"/>
  <c r="M86" i="2"/>
  <c r="Y24" i="2"/>
  <c r="AA23" i="2"/>
  <c r="Z23" i="2"/>
  <c r="Z24" i="2" l="1"/>
  <c r="Y25" i="2"/>
  <c r="AA24" i="2"/>
  <c r="L88" i="2"/>
  <c r="O87" i="2"/>
  <c r="N87" i="2"/>
  <c r="M87" i="2"/>
  <c r="P87" i="2"/>
  <c r="M88" i="2" l="1"/>
  <c r="P88" i="2"/>
  <c r="L89" i="2"/>
  <c r="O88" i="2"/>
  <c r="N88" i="2"/>
  <c r="Y26" i="2"/>
  <c r="AA25" i="2"/>
  <c r="Z25" i="2"/>
  <c r="Y27" i="2" l="1"/>
  <c r="AA26" i="2"/>
  <c r="Z26" i="2"/>
  <c r="P89" i="2"/>
  <c r="L90" i="2"/>
  <c r="O89" i="2"/>
  <c r="N89" i="2"/>
  <c r="M89" i="2"/>
  <c r="Y28" i="2" l="1"/>
  <c r="AA27" i="2"/>
  <c r="Z27" i="2"/>
  <c r="N90" i="2"/>
  <c r="M90" i="2"/>
  <c r="L91" i="2"/>
  <c r="P90" i="2"/>
  <c r="O90" i="2"/>
  <c r="P91" i="2" l="1"/>
  <c r="L92" i="2"/>
  <c r="O91" i="2"/>
  <c r="N91" i="2"/>
  <c r="M91" i="2"/>
  <c r="Z28" i="2"/>
  <c r="Y29" i="2"/>
  <c r="AA28" i="2"/>
  <c r="Y30" i="2" l="1"/>
  <c r="AA29" i="2"/>
  <c r="Z29" i="2"/>
  <c r="P92" i="2"/>
  <c r="L93" i="2"/>
  <c r="O92" i="2"/>
  <c r="N92" i="2"/>
  <c r="M92" i="2"/>
  <c r="Z30" i="2" l="1"/>
  <c r="Y31" i="2"/>
  <c r="AA30" i="2"/>
  <c r="M93" i="2"/>
  <c r="N93" i="2"/>
  <c r="P93" i="2"/>
  <c r="L94" i="2"/>
  <c r="O93" i="2"/>
  <c r="P94" i="2" l="1"/>
  <c r="L95" i="2"/>
  <c r="O94" i="2"/>
  <c r="N94" i="2"/>
  <c r="M94" i="2"/>
  <c r="Y32" i="2"/>
  <c r="AA31" i="2"/>
  <c r="Z31" i="2"/>
  <c r="Y33" i="2" l="1"/>
  <c r="AA32" i="2"/>
  <c r="Z32" i="2"/>
  <c r="L96" i="2"/>
  <c r="O95" i="2"/>
  <c r="N95" i="2"/>
  <c r="M95" i="2"/>
  <c r="P95" i="2"/>
  <c r="Y34" i="2" l="1"/>
  <c r="AA33" i="2"/>
  <c r="Z33" i="2"/>
  <c r="M96" i="2"/>
  <c r="P96" i="2"/>
  <c r="L97" i="2"/>
  <c r="O96" i="2"/>
  <c r="N96" i="2"/>
  <c r="Z34" i="2" l="1"/>
  <c r="Y35" i="2"/>
  <c r="AA34" i="2"/>
  <c r="P97" i="2"/>
  <c r="L98" i="2"/>
  <c r="O97" i="2"/>
  <c r="N97" i="2"/>
  <c r="M97" i="2"/>
  <c r="N98" i="2" l="1"/>
  <c r="M98" i="2"/>
  <c r="P98" i="2"/>
  <c r="L99" i="2"/>
  <c r="O98" i="2"/>
  <c r="Y36" i="2"/>
  <c r="AA35" i="2"/>
  <c r="Z35" i="2"/>
  <c r="AA36" i="2" l="1"/>
  <c r="Y37" i="2"/>
  <c r="Z36" i="2"/>
  <c r="P99" i="2"/>
  <c r="L100" i="2"/>
  <c r="O99" i="2"/>
  <c r="N99" i="2"/>
  <c r="M99" i="2"/>
  <c r="P100" i="2" l="1"/>
  <c r="L101" i="2"/>
  <c r="O100" i="2"/>
  <c r="N100" i="2"/>
  <c r="M100" i="2"/>
  <c r="Y38" i="2"/>
  <c r="AA37" i="2"/>
  <c r="Z37" i="2"/>
  <c r="Y39" i="2" l="1"/>
  <c r="AA38" i="2"/>
  <c r="Z38" i="2"/>
  <c r="M101" i="2"/>
  <c r="P101" i="2"/>
  <c r="L102" i="2"/>
  <c r="O101" i="2"/>
  <c r="N101" i="2"/>
  <c r="P102" i="2" l="1"/>
  <c r="L103" i="2"/>
  <c r="O102" i="2"/>
  <c r="N102" i="2"/>
  <c r="M102" i="2"/>
  <c r="Z39" i="2"/>
  <c r="AA39" i="2"/>
  <c r="Y40" i="2"/>
  <c r="Y41" i="2" l="1"/>
  <c r="AA40" i="2"/>
  <c r="Z40" i="2"/>
  <c r="L104" i="2"/>
  <c r="O103" i="2"/>
  <c r="N103" i="2"/>
  <c r="M103" i="2"/>
  <c r="P103" i="2"/>
  <c r="Y42" i="2" l="1"/>
  <c r="AA41" i="2"/>
  <c r="Z41" i="2"/>
  <c r="P104" i="2"/>
  <c r="L105" i="2"/>
  <c r="O104" i="2"/>
  <c r="N104" i="2"/>
  <c r="M104" i="2"/>
  <c r="P105" i="2" l="1"/>
  <c r="L106" i="2"/>
  <c r="O105" i="2"/>
  <c r="N105" i="2"/>
  <c r="M105" i="2"/>
  <c r="Y43" i="2"/>
  <c r="AA42" i="2"/>
  <c r="Z42" i="2"/>
  <c r="AA43" i="2" l="1"/>
  <c r="Z43" i="2"/>
  <c r="N106" i="2"/>
  <c r="T73" i="2" s="1"/>
  <c r="O106" i="2"/>
  <c r="U73" i="2" s="1"/>
  <c r="M106" i="2"/>
  <c r="S73" i="2" s="1"/>
  <c r="L107" i="2"/>
  <c r="P106" i="2"/>
  <c r="R74" i="2" l="1"/>
  <c r="P107" i="2"/>
  <c r="L108" i="2"/>
  <c r="O107" i="2"/>
  <c r="N107" i="2"/>
  <c r="M107" i="2"/>
  <c r="P108" i="2" l="1"/>
  <c r="L109" i="2"/>
  <c r="O108" i="2"/>
  <c r="N108" i="2"/>
  <c r="M108" i="2"/>
  <c r="M109" i="2" l="1"/>
  <c r="N109" i="2"/>
  <c r="P109" i="2"/>
  <c r="L110" i="2"/>
  <c r="O109" i="2"/>
  <c r="P110" i="2" l="1"/>
  <c r="O110" i="2"/>
  <c r="N110" i="2"/>
  <c r="M110" i="2"/>
  <c r="N74" i="2" l="1"/>
  <c r="N56" i="2"/>
  <c r="N57" i="2" s="1"/>
  <c r="M56" i="2"/>
  <c r="M57" i="2" s="1"/>
  <c r="M74" i="2"/>
  <c r="O56" i="2"/>
  <c r="O57" i="2" s="1"/>
  <c r="O74" i="2"/>
  <c r="P56" i="2"/>
  <c r="P57" i="2" s="1"/>
  <c r="P74" i="2"/>
</calcChain>
</file>

<file path=xl/sharedStrings.xml><?xml version="1.0" encoding="utf-8"?>
<sst xmlns="http://schemas.openxmlformats.org/spreadsheetml/2006/main" count="657" uniqueCount="112">
  <si>
    <t>Parcelas permanentes da herdade do Chaparro - Parcela 8</t>
  </si>
  <si>
    <t>Narv</t>
  </si>
  <si>
    <t>Esp</t>
  </si>
  <si>
    <t>d (cm)</t>
  </si>
  <si>
    <t>Coordenadas</t>
  </si>
  <si>
    <t>x</t>
  </si>
  <si>
    <t>y</t>
  </si>
  <si>
    <t>Sb</t>
  </si>
  <si>
    <t>Pm</t>
  </si>
  <si>
    <t>dist</t>
  </si>
  <si>
    <t>SQRT(D4^2+E4^2)</t>
  </si>
  <si>
    <t>dist_max=</t>
  </si>
  <si>
    <t>raio da parcela</t>
  </si>
  <si>
    <t xml:space="preserve">Fazer um gráfico que indique (com cores diferentes) a localização das árvores das diferentes espécies </t>
  </si>
  <si>
    <t>considerando um raio de 40 m</t>
  </si>
  <si>
    <t xml:space="preserve">Passo 1 </t>
  </si>
  <si>
    <t>calcular a distância de cada arvore ao centro</t>
  </si>
  <si>
    <t>ordenar as arvores por espécie e por distância</t>
  </si>
  <si>
    <t>Passo 3</t>
  </si>
  <si>
    <t>fazer o grafico com uma série por espécie e formata-lo adequadamente</t>
  </si>
  <si>
    <t>passo 2</t>
  </si>
  <si>
    <t>Passo 4</t>
  </si>
  <si>
    <t>acrescentar uma série adicional para desenhar o limite da parcela</t>
  </si>
  <si>
    <t>raio</t>
  </si>
  <si>
    <t>step</t>
  </si>
  <si>
    <t>angulo</t>
  </si>
  <si>
    <t>gi</t>
  </si>
  <si>
    <t>f_exp</t>
  </si>
  <si>
    <t>G (m2/ha)</t>
  </si>
  <si>
    <t>Parcela de raio fixo</t>
  </si>
  <si>
    <t>Avalliar o impacto da área da parela no cálculo da área basal considerando:</t>
  </si>
  <si>
    <t>parcela de raio fixo de 10, 20, 30 e 40 m de raio</t>
  </si>
  <si>
    <t>nº</t>
  </si>
  <si>
    <t>nº ord</t>
  </si>
  <si>
    <t>Passo 2a</t>
  </si>
  <si>
    <t>Passo 2b</t>
  </si>
  <si>
    <t>raio_med</t>
  </si>
  <si>
    <t>G*(k-1)/K</t>
  </si>
  <si>
    <t>Parcela de nº árv fixo</t>
  </si>
  <si>
    <t>passo 2a</t>
  </si>
  <si>
    <t>passo 2b</t>
  </si>
  <si>
    <t>Passo 2</t>
  </si>
  <si>
    <t>N*</t>
  </si>
  <si>
    <r>
      <t>N (ha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</si>
  <si>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t>Esta é uma parcela experimental excessivamente grande que aproveitamos para vos mostrar o impacto de optarmos por diferentes tipos de parcelas e diferentes dimensões/árvores avaliadas.</t>
  </si>
  <si>
    <t>Na prática se tivessem de ir ao campo não instalariam no mesmo local todas estas parcelas, mas sim apenas uma delas.</t>
  </si>
  <si>
    <t>Se tivessem ido medir diâmetros e alturas de uma parcela de:</t>
  </si>
  <si>
    <t>raio (m) =</t>
  </si>
  <si>
    <t>Area=</t>
  </si>
  <si>
    <t>nº árvores fixo = 5</t>
  </si>
  <si>
    <t>Parcela concentrica com raios de 10, 20, 30 e 40 m e limites de diametro de 22.5, 32.5 e 52.5</t>
  </si>
  <si>
    <t>método 1</t>
  </si>
  <si>
    <t>Alturas (m)</t>
  </si>
  <si>
    <r>
      <t>gi (m</t>
    </r>
    <r>
      <rPr>
        <vertAlign val="superscript"/>
        <sz val="10"/>
        <color rgb="FF0070C0"/>
        <rFont val="Arial"/>
        <family val="2"/>
      </rPr>
      <t>2</t>
    </r>
    <r>
      <rPr>
        <sz val="10"/>
        <color rgb="FF0070C0"/>
        <rFont val="Arial"/>
        <family val="2"/>
      </rPr>
      <t>)</t>
    </r>
  </si>
  <si>
    <t>distância (cm)</t>
  </si>
  <si>
    <t>total</t>
  </si>
  <si>
    <t>copa</t>
  </si>
  <si>
    <t>tronco</t>
  </si>
  <si>
    <t>descort.</t>
  </si>
  <si>
    <t>-</t>
  </si>
  <si>
    <r>
      <t>Gp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</si>
  <si>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t>(k-1)/k =</t>
  </si>
  <si>
    <r>
      <t>G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ha</t>
    </r>
    <r>
      <rPr>
        <vertAlign val="superscript"/>
        <sz val="10"/>
        <color rgb="FF000000"/>
        <rFont val="Arial"/>
        <family val="2"/>
      </rPr>
      <t>-1</t>
    </r>
    <r>
      <rPr>
        <sz val="10"/>
        <color rgb="FF000000"/>
        <rFont val="Arial"/>
        <family val="2"/>
      </rPr>
      <t>) =</t>
    </r>
  </si>
  <si>
    <r>
      <t>= Gp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</si>
  <si>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= G 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ha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</si>
  <si>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método 2</t>
  </si>
  <si>
    <r>
      <t>A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 =</t>
    </r>
  </si>
  <si>
    <t>nº árvores fixo = 10</t>
  </si>
  <si>
    <t>(…)</t>
  </si>
  <si>
    <t>nº árvores fixo = 20</t>
  </si>
  <si>
    <t>parelas de nº de arv fixo com 5, 10, 15 e 20 arv medindo a dist da K</t>
  </si>
  <si>
    <t>parelas de nº de arv fixo com 5, 10, 15 e 20 arv medindo a dist da K e da k+1</t>
  </si>
  <si>
    <t>passo 3</t>
  </si>
  <si>
    <t>Área p</t>
  </si>
  <si>
    <t>A_p</t>
  </si>
  <si>
    <t>G_pc</t>
  </si>
  <si>
    <t>Gc m2/ha</t>
  </si>
  <si>
    <t>G m2/ha</t>
  </si>
  <si>
    <t xml:space="preserve">passo 3 </t>
  </si>
  <si>
    <t>Parcela concentrica</t>
  </si>
  <si>
    <t>parcela concentrica com 4 parcelas de raios = 10, 20, 30 e 40 e diâmetros limite=22.5, 32.5 e 52.5</t>
  </si>
  <si>
    <t>F_exp</t>
  </si>
  <si>
    <t>Bitterlich</t>
  </si>
  <si>
    <t>K=1 (1L)</t>
  </si>
  <si>
    <t>K=2 (2L)</t>
  </si>
  <si>
    <t>K=4 (1L+4e)</t>
  </si>
  <si>
    <t>K=0.25 (2e)</t>
  </si>
  <si>
    <t>K=0.5 (~3e)</t>
  </si>
  <si>
    <t>K</t>
  </si>
  <si>
    <t>n</t>
  </si>
  <si>
    <t>Ri</t>
  </si>
  <si>
    <t>conta?</t>
  </si>
  <si>
    <r>
      <rPr>
        <i/>
        <sz val="11"/>
        <color theme="1"/>
        <rFont val="Calibri"/>
        <family val="2"/>
        <scheme val="minor"/>
      </rPr>
      <t xml:space="preserve">di </t>
    </r>
    <r>
      <rPr>
        <i/>
        <sz val="8"/>
        <color theme="1"/>
        <rFont val="Calibri"/>
        <family val="2"/>
        <scheme val="minor"/>
      </rPr>
      <t>em metros</t>
    </r>
  </si>
  <si>
    <t>passo 4</t>
  </si>
  <si>
    <t>Calcule a área basal por ha com base nos 3 factores de área basal usados em e)</t>
  </si>
  <si>
    <t>bandas</t>
  </si>
  <si>
    <t>k</t>
  </si>
  <si>
    <t>1e</t>
  </si>
  <si>
    <t>1/16</t>
  </si>
  <si>
    <t>2e</t>
  </si>
  <si>
    <t>1/4</t>
  </si>
  <si>
    <t>3e</t>
  </si>
  <si>
    <t>9/16</t>
  </si>
  <si>
    <t>banda 1</t>
  </si>
  <si>
    <t>1L+1e</t>
  </si>
  <si>
    <t>1+9/16</t>
  </si>
  <si>
    <t>banda 2</t>
  </si>
  <si>
    <t>1L+2e</t>
  </si>
  <si>
    <t>2+1/4</t>
  </si>
  <si>
    <t>1L+3e</t>
  </si>
  <si>
    <t>3+1/16</t>
  </si>
  <si>
    <t>1L+4e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</si>
</sst>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3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vertAlign val="superscript"/>
      <sz val="10"/>
      <color rgb="FF0070C0"/>
      <name val="Arial"/>
      <family val="2"/>
    </font>
    <font>
      <i/>
      <sz val="10"/>
      <color theme="0" tint="-0.499984740745262"/>
      <name val="Arial"/>
      <family val="2"/>
    </font>
    <font>
      <sz val="10"/>
      <color theme="1"/>
      <name val="Arial"/>
      <family val="2"/>
    </font>
    <font>
      <sz val="10"/>
      <color theme="5" tint="-0.249977111117893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0" fillId="3" borderId="0" xfId="0" applyFill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0" fillId="3" borderId="2" xfId="0" applyFill="1" applyBorder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1" fontId="9" fillId="0" borderId="2" xfId="0" applyNumberFormat="1" applyFont="1" applyBorder="1" applyAlignment="1">
      <alignment horizontal="center"/>
    </xf>
    <xf numFmtId="0" fontId="9" fillId="0" borderId="3" xfId="0" applyFont="1" applyFill="1" applyBorder="1"/>
    <xf numFmtId="164" fontId="10" fillId="7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8" borderId="0" xfId="0" applyFill="1"/>
    <xf numFmtId="0" fontId="0" fillId="0" borderId="0" xfId="0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0" fontId="0" fillId="3" borderId="6" xfId="0" applyFill="1" applyBorder="1"/>
    <xf numFmtId="0" fontId="14" fillId="0" borderId="7" xfId="0" applyFont="1" applyBorder="1" applyAlignment="1">
      <alignment horizontal="center"/>
    </xf>
    <xf numFmtId="2" fontId="0" fillId="5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" fontId="9" fillId="0" borderId="9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" fontId="9" fillId="0" borderId="8" xfId="0" applyNumberFormat="1" applyFont="1" applyFill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3" borderId="16" xfId="0" applyFill="1" applyBorder="1"/>
    <xf numFmtId="0" fontId="0" fillId="0" borderId="7" xfId="0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0" xfId="0" applyFont="1" applyBorder="1"/>
    <xf numFmtId="0" fontId="14" fillId="0" borderId="21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" fillId="8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/>
    </xf>
    <xf numFmtId="1" fontId="9" fillId="8" borderId="0" xfId="0" applyNumberFormat="1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9" fillId="8" borderId="0" xfId="0" applyFont="1" applyFill="1" applyBorder="1"/>
    <xf numFmtId="164" fontId="9" fillId="8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6" fontId="17" fillId="0" borderId="2" xfId="0" applyNumberFormat="1" applyFont="1" applyBorder="1"/>
    <xf numFmtId="0" fontId="20" fillId="0" borderId="3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6" fontId="17" fillId="0" borderId="37" xfId="0" applyNumberFormat="1" applyFont="1" applyBorder="1"/>
    <xf numFmtId="0" fontId="0" fillId="0" borderId="0" xfId="0" applyBorder="1"/>
    <xf numFmtId="2" fontId="16" fillId="0" borderId="0" xfId="0" applyNumberFormat="1" applyFont="1"/>
    <xf numFmtId="166" fontId="17" fillId="0" borderId="20" xfId="0" applyNumberFormat="1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166" fontId="17" fillId="0" borderId="38" xfId="0" applyNumberFormat="1" applyFont="1" applyBorder="1"/>
    <xf numFmtId="166" fontId="0" fillId="0" borderId="0" xfId="0" applyNumberFormat="1"/>
    <xf numFmtId="0" fontId="0" fillId="0" borderId="0" xfId="0" quotePrefix="1"/>
    <xf numFmtId="166" fontId="17" fillId="0" borderId="0" xfId="0" applyNumberFormat="1" applyFont="1"/>
    <xf numFmtId="166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2" fillId="0" borderId="3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 wrapText="1"/>
    </xf>
    <xf numFmtId="2" fontId="17" fillId="0" borderId="0" xfId="0" applyNumberFormat="1" applyFont="1"/>
    <xf numFmtId="2" fontId="0" fillId="0" borderId="5" xfId="0" applyNumberFormat="1" applyBorder="1" applyAlignment="1">
      <alignment horizontal="center"/>
    </xf>
    <xf numFmtId="2" fontId="2" fillId="0" borderId="3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6" fontId="17" fillId="0" borderId="14" xfId="0" applyNumberFormat="1" applyFont="1" applyBorder="1"/>
    <xf numFmtId="0" fontId="4" fillId="0" borderId="0" xfId="0" applyFont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0" fillId="12" borderId="6" xfId="0" applyFill="1" applyBorder="1"/>
    <xf numFmtId="0" fontId="0" fillId="12" borderId="22" xfId="0" applyFill="1" applyBorder="1"/>
    <xf numFmtId="0" fontId="4" fillId="12" borderId="22" xfId="0" applyFont="1" applyFill="1" applyBorder="1" applyAlignment="1">
      <alignment horizontal="center"/>
    </xf>
    <xf numFmtId="0" fontId="0" fillId="12" borderId="36" xfId="0" applyFill="1" applyBorder="1"/>
    <xf numFmtId="0" fontId="0" fillId="12" borderId="0" xfId="0" applyFill="1" applyBorder="1"/>
    <xf numFmtId="0" fontId="0" fillId="12" borderId="39" xfId="0" applyFill="1" applyBorder="1"/>
    <xf numFmtId="0" fontId="0" fillId="12" borderId="40" xfId="0" applyFill="1" applyBorder="1"/>
    <xf numFmtId="0" fontId="0" fillId="12" borderId="35" xfId="0" applyFill="1" applyBorder="1"/>
    <xf numFmtId="0" fontId="0" fillId="12" borderId="33" xfId="0" applyFill="1" applyBorder="1"/>
    <xf numFmtId="0" fontId="0" fillId="12" borderId="23" xfId="0" applyFill="1" applyBorder="1"/>
    <xf numFmtId="0" fontId="4" fillId="12" borderId="36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1" fontId="9" fillId="0" borderId="11" xfId="0" applyNumberFormat="1" applyFont="1" applyFill="1" applyBorder="1" applyAlignment="1">
      <alignment horizontal="center"/>
    </xf>
    <xf numFmtId="1" fontId="9" fillId="0" borderId="12" xfId="0" applyNumberFormat="1" applyFont="1" applyFill="1" applyBorder="1" applyAlignment="1">
      <alignment horizontal="center"/>
    </xf>
    <xf numFmtId="0" fontId="0" fillId="0" borderId="5" xfId="0" applyBorder="1"/>
    <xf numFmtId="0" fontId="0" fillId="12" borderId="44" xfId="0" applyFill="1" applyBorder="1" applyAlignment="1">
      <alignment horizontal="center"/>
    </xf>
    <xf numFmtId="0" fontId="0" fillId="12" borderId="44" xfId="0" applyFill="1" applyBorder="1"/>
    <xf numFmtId="0" fontId="0" fillId="12" borderId="45" xfId="0" applyFill="1" applyBorder="1"/>
    <xf numFmtId="0" fontId="0" fillId="12" borderId="46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47" xfId="0" applyFill="1" applyBorder="1"/>
    <xf numFmtId="0" fontId="0" fillId="12" borderId="46" xfId="0" applyFill="1" applyBorder="1"/>
    <xf numFmtId="0" fontId="0" fillId="12" borderId="48" xfId="0" applyFill="1" applyBorder="1"/>
    <xf numFmtId="0" fontId="0" fillId="12" borderId="49" xfId="0" applyFill="1" applyBorder="1"/>
    <xf numFmtId="0" fontId="0" fillId="12" borderId="41" xfId="0" applyFill="1" applyBorder="1"/>
    <xf numFmtId="0" fontId="0" fillId="0" borderId="2" xfId="0" applyFill="1" applyBorder="1" applyAlignment="1">
      <alignment horizontal="center"/>
    </xf>
    <xf numFmtId="0" fontId="14" fillId="0" borderId="50" xfId="0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9" fillId="0" borderId="42" xfId="0" applyNumberFormat="1" applyFont="1" applyBorder="1" applyAlignment="1">
      <alignment horizontal="center"/>
    </xf>
    <xf numFmtId="1" fontId="9" fillId="0" borderId="43" xfId="0" applyNumberFormat="1" applyFont="1" applyBorder="1" applyAlignment="1">
      <alignment horizontal="center"/>
    </xf>
    <xf numFmtId="0" fontId="0" fillId="0" borderId="32" xfId="0" applyBorder="1"/>
    <xf numFmtId="0" fontId="13" fillId="3" borderId="0" xfId="0" applyFont="1" applyFill="1"/>
    <xf numFmtId="0" fontId="0" fillId="8" borderId="0" xfId="0" applyFill="1" applyAlignment="1">
      <alignment horizontal="center"/>
    </xf>
    <xf numFmtId="0" fontId="28" fillId="0" borderId="2" xfId="0" applyFont="1" applyBorder="1" applyAlignment="1">
      <alignment horizontal="right"/>
    </xf>
    <xf numFmtId="0" fontId="28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0" fontId="29" fillId="0" borderId="3" xfId="0" applyFont="1" applyFill="1" applyBorder="1"/>
    <xf numFmtId="164" fontId="5" fillId="0" borderId="7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30" fillId="0" borderId="0" xfId="0" applyFont="1" applyBorder="1"/>
    <xf numFmtId="164" fontId="9" fillId="2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10" borderId="2" xfId="0" applyFill="1" applyBorder="1"/>
    <xf numFmtId="0" fontId="0" fillId="13" borderId="2" xfId="0" applyFill="1" applyBorder="1"/>
    <xf numFmtId="0" fontId="0" fillId="14" borderId="0" xfId="0" applyFill="1"/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15" borderId="2" xfId="0" applyFill="1" applyBorder="1" applyAlignment="1">
      <alignment horizontal="center"/>
    </xf>
    <xf numFmtId="0" fontId="0" fillId="12" borderId="0" xfId="0" applyFill="1"/>
    <xf numFmtId="0" fontId="32" fillId="16" borderId="2" xfId="0" applyFont="1" applyFill="1" applyBorder="1" applyAlignment="1">
      <alignment horizontal="center"/>
    </xf>
    <xf numFmtId="0" fontId="32" fillId="17" borderId="2" xfId="0" applyFont="1" applyFill="1" applyBorder="1" applyAlignment="1">
      <alignment horizontal="center"/>
    </xf>
    <xf numFmtId="0" fontId="32" fillId="18" borderId="2" xfId="0" applyFont="1" applyFill="1" applyBorder="1" applyAlignment="1">
      <alignment horizontal="center"/>
    </xf>
    <xf numFmtId="0" fontId="33" fillId="19" borderId="2" xfId="0" applyFont="1" applyFill="1" applyBorder="1" applyAlignment="1">
      <alignment horizontal="center"/>
    </xf>
    <xf numFmtId="0" fontId="33" fillId="20" borderId="4" xfId="0" applyFont="1" applyFill="1" applyBorder="1" applyAlignment="1">
      <alignment horizontal="center"/>
    </xf>
    <xf numFmtId="0" fontId="34" fillId="21" borderId="2" xfId="0" applyFont="1" applyFill="1" applyBorder="1" applyAlignment="1">
      <alignment horizontal="right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5" fillId="0" borderId="0" xfId="0" applyFont="1" applyAlignment="1"/>
    <xf numFmtId="0" fontId="0" fillId="12" borderId="53" xfId="0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47" xfId="0" applyFill="1" applyBorder="1" applyAlignment="1">
      <alignment horizontal="center"/>
    </xf>
    <xf numFmtId="0" fontId="0" fillId="12" borderId="48" xfId="0" applyFill="1" applyBorder="1" applyAlignment="1">
      <alignment horizontal="center"/>
    </xf>
    <xf numFmtId="0" fontId="0" fillId="12" borderId="49" xfId="0" applyFill="1" applyBorder="1" applyAlignment="1">
      <alignment horizontal="center"/>
    </xf>
    <xf numFmtId="0" fontId="0" fillId="12" borderId="4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6" fillId="19" borderId="2" xfId="0" applyFont="1" applyFill="1" applyBorder="1" applyAlignment="1">
      <alignment horizontal="center"/>
    </xf>
    <xf numFmtId="0" fontId="6" fillId="20" borderId="2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34" fillId="16" borderId="2" xfId="0" applyFon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34" fillId="17" borderId="2" xfId="0" applyFont="1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34" fillId="18" borderId="2" xfId="0" applyFont="1" applyFill="1" applyBorder="1" applyAlignment="1">
      <alignment horizontal="center"/>
    </xf>
    <xf numFmtId="0" fontId="6" fillId="19" borderId="2" xfId="0" applyFont="1" applyFill="1" applyBorder="1" applyAlignment="1">
      <alignment horizontal="center"/>
    </xf>
    <xf numFmtId="0" fontId="35" fillId="19" borderId="2" xfId="0" applyFont="1" applyFill="1" applyBorder="1" applyAlignment="1">
      <alignment horizontal="center"/>
    </xf>
    <xf numFmtId="0" fontId="6" fillId="20" borderId="2" xfId="0" applyFont="1" applyFill="1" applyBorder="1" applyAlignment="1">
      <alignment horizontal="center"/>
    </xf>
    <xf numFmtId="0" fontId="37" fillId="12" borderId="0" xfId="0" applyFont="1" applyFill="1"/>
    <xf numFmtId="2" fontId="0" fillId="0" borderId="0" xfId="0" applyNumberFormat="1"/>
    <xf numFmtId="0" fontId="0" fillId="0" borderId="46" xfId="0" applyFont="1" applyBorder="1" applyAlignment="1"/>
    <xf numFmtId="0" fontId="6" fillId="20" borderId="4" xfId="0" applyFont="1" applyFill="1" applyBorder="1" applyAlignment="1">
      <alignment horizontal="center"/>
    </xf>
    <xf numFmtId="0" fontId="35" fillId="20" borderId="4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31" fillId="8" borderId="2" xfId="0" applyFont="1" applyFill="1" applyBorder="1" applyAlignment="1">
      <alignment horizontal="center"/>
    </xf>
    <xf numFmtId="2" fontId="0" fillId="0" borderId="2" xfId="0" quotePrefix="1" applyNumberFormat="1" applyFill="1" applyBorder="1" applyAlignment="1">
      <alignment horizontal="center"/>
    </xf>
    <xf numFmtId="2" fontId="6" fillId="19" borderId="2" xfId="0" quotePrefix="1" applyNumberFormat="1" applyFont="1" applyFill="1" applyBorder="1" applyAlignment="1">
      <alignment horizontal="center"/>
    </xf>
    <xf numFmtId="2" fontId="6" fillId="20" borderId="2" xfId="0" quotePrefix="1" applyNumberFormat="1" applyFont="1" applyFill="1" applyBorder="1" applyAlignment="1">
      <alignment horizontal="center"/>
    </xf>
    <xf numFmtId="1" fontId="0" fillId="16" borderId="2" xfId="0" applyNumberFormat="1" applyFill="1" applyBorder="1" applyAlignment="1">
      <alignment horizontal="center"/>
    </xf>
    <xf numFmtId="1" fontId="0" fillId="17" borderId="2" xfId="0" applyNumberFormat="1" applyFill="1" applyBorder="1" applyAlignment="1">
      <alignment horizontal="center"/>
    </xf>
    <xf numFmtId="1" fontId="0" fillId="18" borderId="2" xfId="0" applyNumberForma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4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Herdade do Chaparro - Parcela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Sb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[1]Ex_327!$E$5:$E$27</c:f>
              <c:numCache>
                <c:formatCode>General</c:formatCode>
                <c:ptCount val="23"/>
                <c:pt idx="0">
                  <c:v>2.5</c:v>
                </c:pt>
                <c:pt idx="1">
                  <c:v>-1.1000000000000001</c:v>
                </c:pt>
                <c:pt idx="2">
                  <c:v>-13.9</c:v>
                </c:pt>
                <c:pt idx="3">
                  <c:v>-6</c:v>
                </c:pt>
                <c:pt idx="4">
                  <c:v>-2.1</c:v>
                </c:pt>
                <c:pt idx="5">
                  <c:v>-2.4</c:v>
                </c:pt>
                <c:pt idx="6">
                  <c:v>6.3</c:v>
                </c:pt>
                <c:pt idx="7">
                  <c:v>18.5</c:v>
                </c:pt>
                <c:pt idx="8">
                  <c:v>-16.3</c:v>
                </c:pt>
                <c:pt idx="9">
                  <c:v>-18.899999999999999</c:v>
                </c:pt>
                <c:pt idx="10">
                  <c:v>-39.5</c:v>
                </c:pt>
                <c:pt idx="11">
                  <c:v>-37.700000000000003</c:v>
                </c:pt>
                <c:pt idx="12">
                  <c:v>-26.9</c:v>
                </c:pt>
                <c:pt idx="13">
                  <c:v>-19.7</c:v>
                </c:pt>
                <c:pt idx="14">
                  <c:v>2.6</c:v>
                </c:pt>
                <c:pt idx="15">
                  <c:v>7.5</c:v>
                </c:pt>
                <c:pt idx="16">
                  <c:v>26.4</c:v>
                </c:pt>
                <c:pt idx="17">
                  <c:v>26.8</c:v>
                </c:pt>
                <c:pt idx="18">
                  <c:v>39.700000000000003</c:v>
                </c:pt>
                <c:pt idx="19">
                  <c:v>47</c:v>
                </c:pt>
                <c:pt idx="20">
                  <c:v>19.399999999999999</c:v>
                </c:pt>
                <c:pt idx="21">
                  <c:v>-35.5</c:v>
                </c:pt>
                <c:pt idx="22">
                  <c:v>-4.0999999999999996</c:v>
                </c:pt>
              </c:numCache>
            </c:numRef>
          </c:xVal>
          <c:yVal>
            <c:numRef>
              <c:f>[1]Ex_327!$F$5:$F$27</c:f>
              <c:numCache>
                <c:formatCode>General</c:formatCode>
                <c:ptCount val="23"/>
                <c:pt idx="0">
                  <c:v>28.2</c:v>
                </c:pt>
                <c:pt idx="1">
                  <c:v>20.5</c:v>
                </c:pt>
                <c:pt idx="2">
                  <c:v>7.1</c:v>
                </c:pt>
                <c:pt idx="3">
                  <c:v>1.7</c:v>
                </c:pt>
                <c:pt idx="4">
                  <c:v>-9.1999999999999993</c:v>
                </c:pt>
                <c:pt idx="5">
                  <c:v>-19.399999999999999</c:v>
                </c:pt>
                <c:pt idx="6">
                  <c:v>-21.9</c:v>
                </c:pt>
                <c:pt idx="7">
                  <c:v>-6</c:v>
                </c:pt>
                <c:pt idx="8">
                  <c:v>-16.3</c:v>
                </c:pt>
                <c:pt idx="9">
                  <c:v>-21</c:v>
                </c:pt>
                <c:pt idx="10">
                  <c:v>-2.8</c:v>
                </c:pt>
                <c:pt idx="11">
                  <c:v>-20</c:v>
                </c:pt>
                <c:pt idx="12">
                  <c:v>-27.8</c:v>
                </c:pt>
                <c:pt idx="13">
                  <c:v>-42.1</c:v>
                </c:pt>
                <c:pt idx="14">
                  <c:v>-36.799999999999997</c:v>
                </c:pt>
                <c:pt idx="15">
                  <c:v>-53.5</c:v>
                </c:pt>
                <c:pt idx="16">
                  <c:v>-31.5</c:v>
                </c:pt>
                <c:pt idx="17">
                  <c:v>-20.2</c:v>
                </c:pt>
                <c:pt idx="18">
                  <c:v>-41.1</c:v>
                </c:pt>
                <c:pt idx="19">
                  <c:v>-17.100000000000001</c:v>
                </c:pt>
                <c:pt idx="20">
                  <c:v>-19.399999999999999</c:v>
                </c:pt>
                <c:pt idx="21">
                  <c:v>0</c:v>
                </c:pt>
                <c:pt idx="22">
                  <c:v>38.700000000000003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1-4C74-A61C-992D3BEF5D9C}"/>
            </c:ext>
          </c:extLst>
        </c:ser>
        <c:ser>
          <c:idx val="1"/>
          <c:order val="1"/>
          <c:tx>
            <c:v>Pm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[1]Ex_327!$E$28:$E$35</c:f>
              <c:numCache>
                <c:formatCode>General</c:formatCode>
                <c:ptCount val="8"/>
                <c:pt idx="0">
                  <c:v>5.7</c:v>
                </c:pt>
                <c:pt idx="1">
                  <c:v>30.7</c:v>
                </c:pt>
                <c:pt idx="2">
                  <c:v>30</c:v>
                </c:pt>
                <c:pt idx="3">
                  <c:v>10.3</c:v>
                </c:pt>
                <c:pt idx="4">
                  <c:v>4</c:v>
                </c:pt>
                <c:pt idx="5">
                  <c:v>-1.6</c:v>
                </c:pt>
                <c:pt idx="6">
                  <c:v>-9.8000000000000007</c:v>
                </c:pt>
                <c:pt idx="7">
                  <c:v>-9.8000000000000007</c:v>
                </c:pt>
              </c:numCache>
            </c:numRef>
          </c:xVal>
          <c:yVal>
            <c:numRef>
              <c:f>[1]Ex_327!$F$28:$F$35</c:f>
              <c:numCache>
                <c:formatCode>General</c:formatCode>
                <c:ptCount val="8"/>
                <c:pt idx="0">
                  <c:v>13.4</c:v>
                </c:pt>
                <c:pt idx="1">
                  <c:v>-2.7</c:v>
                </c:pt>
                <c:pt idx="2">
                  <c:v>-14.6</c:v>
                </c:pt>
                <c:pt idx="3">
                  <c:v>-31.6</c:v>
                </c:pt>
                <c:pt idx="4">
                  <c:v>-13.8</c:v>
                </c:pt>
                <c:pt idx="5">
                  <c:v>-0.1</c:v>
                </c:pt>
                <c:pt idx="6">
                  <c:v>15.7</c:v>
                </c:pt>
                <c:pt idx="7">
                  <c:v>30.1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F1-4C74-A61C-992D3BEF5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137872"/>
        <c:axId val="1771140784"/>
      </c:scatterChart>
      <c:valAx>
        <c:axId val="177113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140784"/>
        <c:crosses val="autoZero"/>
        <c:crossBetween val="midCat"/>
      </c:valAx>
      <c:valAx>
        <c:axId val="177114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13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Localização das árvores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Aula_20Set!$L$13:$L$20</c:f>
              <c:numCache>
                <c:formatCode>General</c:formatCode>
                <c:ptCount val="8"/>
                <c:pt idx="0">
                  <c:v>-1.6</c:v>
                </c:pt>
                <c:pt idx="1">
                  <c:v>4</c:v>
                </c:pt>
                <c:pt idx="2">
                  <c:v>5.7</c:v>
                </c:pt>
                <c:pt idx="3">
                  <c:v>-9.8000000000000007</c:v>
                </c:pt>
                <c:pt idx="4">
                  <c:v>30.7</c:v>
                </c:pt>
                <c:pt idx="5">
                  <c:v>-9.8000000000000007</c:v>
                </c:pt>
                <c:pt idx="6">
                  <c:v>10.3</c:v>
                </c:pt>
                <c:pt idx="7">
                  <c:v>30</c:v>
                </c:pt>
              </c:numCache>
            </c:numRef>
          </c:xVal>
          <c:yVal>
            <c:numRef>
              <c:f>Aula_20Set!$M$13:$M$20</c:f>
              <c:numCache>
                <c:formatCode>General</c:formatCode>
                <c:ptCount val="8"/>
                <c:pt idx="0">
                  <c:v>-0.1</c:v>
                </c:pt>
                <c:pt idx="1">
                  <c:v>-13.8</c:v>
                </c:pt>
                <c:pt idx="2">
                  <c:v>13.4</c:v>
                </c:pt>
                <c:pt idx="3">
                  <c:v>15.7</c:v>
                </c:pt>
                <c:pt idx="4">
                  <c:v>-2.7</c:v>
                </c:pt>
                <c:pt idx="5">
                  <c:v>30.1</c:v>
                </c:pt>
                <c:pt idx="6">
                  <c:v>-31.6</c:v>
                </c:pt>
                <c:pt idx="7">
                  <c:v>-14.6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B-42CF-8623-77D38C49813F}"/>
            </c:ext>
          </c:extLst>
        </c:ser>
        <c:ser>
          <c:idx val="1"/>
          <c:order val="1"/>
          <c:tx>
            <c:v>Sb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Aula_20Set!$L$21:$L$37</c:f>
              <c:numCache>
                <c:formatCode>General</c:formatCode>
                <c:ptCount val="17"/>
                <c:pt idx="0">
                  <c:v>-6</c:v>
                </c:pt>
                <c:pt idx="1">
                  <c:v>-2.1</c:v>
                </c:pt>
                <c:pt idx="2">
                  <c:v>-13.9</c:v>
                </c:pt>
                <c:pt idx="3">
                  <c:v>18.5</c:v>
                </c:pt>
                <c:pt idx="4">
                  <c:v>-2.4</c:v>
                </c:pt>
                <c:pt idx="5">
                  <c:v>-1.1000000000000001</c:v>
                </c:pt>
                <c:pt idx="6">
                  <c:v>6.3</c:v>
                </c:pt>
                <c:pt idx="7">
                  <c:v>-16.3</c:v>
                </c:pt>
                <c:pt idx="8">
                  <c:v>19.399999999999999</c:v>
                </c:pt>
                <c:pt idx="9">
                  <c:v>-18.899999999999999</c:v>
                </c:pt>
                <c:pt idx="10">
                  <c:v>2.5</c:v>
                </c:pt>
                <c:pt idx="11">
                  <c:v>26.8</c:v>
                </c:pt>
                <c:pt idx="12">
                  <c:v>-35.5</c:v>
                </c:pt>
                <c:pt idx="13">
                  <c:v>2.6</c:v>
                </c:pt>
                <c:pt idx="14">
                  <c:v>-26.9</c:v>
                </c:pt>
                <c:pt idx="15">
                  <c:v>-4.0999999999999996</c:v>
                </c:pt>
                <c:pt idx="16">
                  <c:v>-39.5</c:v>
                </c:pt>
              </c:numCache>
            </c:numRef>
          </c:xVal>
          <c:yVal>
            <c:numRef>
              <c:f>Aula_20Set!$M$21:$M$37</c:f>
              <c:numCache>
                <c:formatCode>General</c:formatCode>
                <c:ptCount val="17"/>
                <c:pt idx="0">
                  <c:v>1.7</c:v>
                </c:pt>
                <c:pt idx="1">
                  <c:v>-9.1999999999999993</c:v>
                </c:pt>
                <c:pt idx="2">
                  <c:v>7.1</c:v>
                </c:pt>
                <c:pt idx="3">
                  <c:v>-6</c:v>
                </c:pt>
                <c:pt idx="4">
                  <c:v>-19.399999999999999</c:v>
                </c:pt>
                <c:pt idx="5">
                  <c:v>20.5</c:v>
                </c:pt>
                <c:pt idx="6">
                  <c:v>-21.9</c:v>
                </c:pt>
                <c:pt idx="7">
                  <c:v>-16.3</c:v>
                </c:pt>
                <c:pt idx="8">
                  <c:v>-19.399999999999999</c:v>
                </c:pt>
                <c:pt idx="9">
                  <c:v>-21</c:v>
                </c:pt>
                <c:pt idx="10">
                  <c:v>28.2</c:v>
                </c:pt>
                <c:pt idx="11">
                  <c:v>-20.2</c:v>
                </c:pt>
                <c:pt idx="12">
                  <c:v>0</c:v>
                </c:pt>
                <c:pt idx="13">
                  <c:v>-36.799999999999997</c:v>
                </c:pt>
                <c:pt idx="14">
                  <c:v>-27.8</c:v>
                </c:pt>
                <c:pt idx="15">
                  <c:v>38.700000000000003</c:v>
                </c:pt>
                <c:pt idx="16">
                  <c:v>-2.8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B-42CF-8623-77D38C49813F}"/>
            </c:ext>
          </c:extLst>
        </c:ser>
        <c:ser>
          <c:idx val="2"/>
          <c:order val="2"/>
          <c:tx>
            <c:v>plot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Aula_20Set!$Z$17:$Z$65</c:f>
              <c:numCache>
                <c:formatCode>General</c:formatCode>
                <c:ptCount val="49"/>
                <c:pt idx="0">
                  <c:v>38.756496868425792</c:v>
                </c:pt>
                <c:pt idx="1">
                  <c:v>35.10330247561491</c:v>
                </c:pt>
                <c:pt idx="2">
                  <c:v>29.267554754952837</c:v>
                </c:pt>
                <c:pt idx="3">
                  <c:v>21.612092234725591</c:v>
                </c:pt>
                <c:pt idx="4">
                  <c:v>12.612894495810746</c:v>
                </c:pt>
                <c:pt idx="5">
                  <c:v>2.8294880667081164</c:v>
                </c:pt>
                <c:pt idx="6">
                  <c:v>-7.129842225979683</c:v>
                </c:pt>
                <c:pt idx="7">
                  <c:v>-16.645873461885696</c:v>
                </c:pt>
                <c:pt idx="8">
                  <c:v>-25.126944908909564</c:v>
                </c:pt>
                <c:pt idx="9">
                  <c:v>-32.045744621877347</c:v>
                </c:pt>
                <c:pt idx="10">
                  <c:v>-36.972095145298539</c:v>
                </c:pt>
                <c:pt idx="11">
                  <c:v>-39.599699864017815</c:v>
                </c:pt>
                <c:pt idx="12">
                  <c:v>-39.76518704322185</c:v>
                </c:pt>
                <c:pt idx="13">
                  <c:v>-37.458267491631851</c:v>
                </c:pt>
                <c:pt idx="14">
                  <c:v>-32.822374293582428</c:v>
                </c:pt>
                <c:pt idx="15">
                  <c:v>-26.145744834544477</c:v>
                </c:pt>
                <c:pt idx="16">
                  <c:v>-17.843499596551712</c:v>
                </c:pt>
                <c:pt idx="17">
                  <c:v>-8.4318319772311874</c:v>
                </c:pt>
                <c:pt idx="18">
                  <c:v>1.5040861155190621</c:v>
                </c:pt>
                <c:pt idx="19">
                  <c:v>11.346487418529049</c:v>
                </c:pt>
                <c:pt idx="20">
                  <c:v>20.483419089673628</c:v>
                </c:pt>
                <c:pt idx="21">
                  <c:v>28.3467909716504</c:v>
                </c:pt>
                <c:pt idx="22">
                  <c:v>34.44769668646083</c:v>
                </c:pt>
                <c:pt idx="23">
                  <c:v>38.406811466014638</c:v>
                </c:pt>
                <c:pt idx="24">
                  <c:v>39.977976728979975</c:v>
                </c:pt>
                <c:pt idx="25">
                  <c:v>39.06350502912094</c:v>
                </c:pt>
                <c:pt idx="26">
                  <c:v>35.720253787563067</c:v>
                </c:pt>
              </c:numCache>
            </c:numRef>
          </c:xVal>
          <c:yVal>
            <c:numRef>
              <c:f>Aula_20Set!$AA$17:$AA$65</c:f>
              <c:numCache>
                <c:formatCode>General</c:formatCode>
                <c:ptCount val="49"/>
                <c:pt idx="0">
                  <c:v>9.8961583701809168</c:v>
                </c:pt>
                <c:pt idx="1">
                  <c:v>19.17702154416812</c:v>
                </c:pt>
                <c:pt idx="2">
                  <c:v>27.265550400933364</c:v>
                </c:pt>
                <c:pt idx="3">
                  <c:v>33.658839392315862</c:v>
                </c:pt>
                <c:pt idx="4">
                  <c:v>37.959384774223452</c:v>
                </c:pt>
                <c:pt idx="5">
                  <c:v>39.899799464162179</c:v>
                </c:pt>
                <c:pt idx="6">
                  <c:v>39.359437874957479</c:v>
                </c:pt>
                <c:pt idx="7">
                  <c:v>36.37189707302727</c:v>
                </c:pt>
                <c:pt idx="8">
                  <c:v>31.122927875516847</c:v>
                </c:pt>
                <c:pt idx="9">
                  <c:v>23.938885764158261</c:v>
                </c:pt>
                <c:pt idx="10">
                  <c:v>15.266439682093267</c:v>
                </c:pt>
                <c:pt idx="11">
                  <c:v>5.6448003223946888</c:v>
                </c:pt>
                <c:pt idx="12">
                  <c:v>-4.3278053812043353</c:v>
                </c:pt>
                <c:pt idx="13">
                  <c:v>-14.031329107584794</c:v>
                </c:pt>
                <c:pt idx="14">
                  <c:v>-22.862452749693748</c:v>
                </c:pt>
                <c:pt idx="15">
                  <c:v>-30.27209981231713</c:v>
                </c:pt>
                <c:pt idx="16">
                  <c:v>-35.79957432914334</c:v>
                </c:pt>
                <c:pt idx="17">
                  <c:v>-39.10120470660388</c:v>
                </c:pt>
                <c:pt idx="18">
                  <c:v>-39.97171155901512</c:v>
                </c:pt>
                <c:pt idx="19">
                  <c:v>-38.356970986525539</c:v>
                </c:pt>
                <c:pt idx="20">
                  <c:v>-34.357379737063681</c:v>
                </c:pt>
                <c:pt idx="21">
                  <c:v>-28.221613022815678</c:v>
                </c:pt>
                <c:pt idx="22">
                  <c:v>-20.331163099970336</c:v>
                </c:pt>
                <c:pt idx="23">
                  <c:v>-11.176619927957034</c:v>
                </c:pt>
                <c:pt idx="24">
                  <c:v>-1.3271686619022727</c:v>
                </c:pt>
                <c:pt idx="25">
                  <c:v>8.6047995235126216</c:v>
                </c:pt>
                <c:pt idx="26">
                  <c:v>18.001762951224705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4B-42CF-8623-77D38C49813F}"/>
            </c:ext>
          </c:extLst>
        </c:ser>
        <c:ser>
          <c:idx val="3"/>
          <c:order val="3"/>
          <c:tx>
            <c:v>fora da plot 40 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Aula_20Set!$L$38:$L$43</c:f>
              <c:numCache>
                <c:formatCode>General</c:formatCode>
                <c:ptCount val="6"/>
                <c:pt idx="0">
                  <c:v>26.4</c:v>
                </c:pt>
                <c:pt idx="1">
                  <c:v>-37.700000000000003</c:v>
                </c:pt>
                <c:pt idx="2">
                  <c:v>-19.7</c:v>
                </c:pt>
                <c:pt idx="3">
                  <c:v>47</c:v>
                </c:pt>
                <c:pt idx="4">
                  <c:v>7.5</c:v>
                </c:pt>
                <c:pt idx="5">
                  <c:v>39.700000000000003</c:v>
                </c:pt>
              </c:numCache>
            </c:numRef>
          </c:xVal>
          <c:yVal>
            <c:numRef>
              <c:f>Aula_20Set!$M$38:$M$43</c:f>
              <c:numCache>
                <c:formatCode>General</c:formatCode>
                <c:ptCount val="6"/>
                <c:pt idx="0">
                  <c:v>-31.5</c:v>
                </c:pt>
                <c:pt idx="1">
                  <c:v>-20</c:v>
                </c:pt>
                <c:pt idx="2">
                  <c:v>-42.1</c:v>
                </c:pt>
                <c:pt idx="3">
                  <c:v>-17.100000000000001</c:v>
                </c:pt>
                <c:pt idx="4">
                  <c:v>-53.5</c:v>
                </c:pt>
                <c:pt idx="5">
                  <c:v>-41.1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4B-42CF-8623-77D38C498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244144"/>
        <c:axId val="1730244560"/>
      </c:scatterChart>
      <c:valAx>
        <c:axId val="173024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coord xx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244560"/>
        <c:crosses val="autoZero"/>
        <c:crossBetween val="midCat"/>
      </c:valAx>
      <c:valAx>
        <c:axId val="17302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coord yy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24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Localização das árvores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74E-4143-A4A1-9DB51B0487E1}"/>
              </c:ext>
            </c:extLst>
          </c:dPt>
          <c:dPt>
            <c:idx val="2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074E-4143-A4A1-9DB51B0487E1}"/>
              </c:ext>
            </c:extLst>
          </c:dPt>
          <c:dPt>
            <c:idx val="3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074E-4143-A4A1-9DB51B0487E1}"/>
              </c:ext>
            </c:extLst>
          </c:dPt>
          <c:dPt>
            <c:idx val="4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74E-4143-A4A1-9DB51B0487E1}"/>
              </c:ext>
            </c:extLst>
          </c:dPt>
          <c:dPt>
            <c:idx val="5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074E-4143-A4A1-9DB51B0487E1}"/>
              </c:ext>
            </c:extLst>
          </c:dPt>
          <c:dPt>
            <c:idx val="6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74E-4143-A4A1-9DB51B0487E1}"/>
              </c:ext>
            </c:extLst>
          </c:dPt>
          <c:dPt>
            <c:idx val="7"/>
            <c:marker>
              <c:symbol val="circle"/>
              <c:size val="13"/>
              <c:spPr>
                <a:noFill/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74E-4143-A4A1-9DB51B0487E1}"/>
              </c:ext>
            </c:extLst>
          </c:dPt>
          <c:xVal>
            <c:numRef>
              <c:f>Aula_20Set!$L$13:$L$20</c:f>
              <c:numCache>
                <c:formatCode>General</c:formatCode>
                <c:ptCount val="8"/>
                <c:pt idx="0">
                  <c:v>-1.6</c:v>
                </c:pt>
                <c:pt idx="1">
                  <c:v>4</c:v>
                </c:pt>
                <c:pt idx="2">
                  <c:v>5.7</c:v>
                </c:pt>
                <c:pt idx="3">
                  <c:v>-9.8000000000000007</c:v>
                </c:pt>
                <c:pt idx="4">
                  <c:v>30.7</c:v>
                </c:pt>
                <c:pt idx="5">
                  <c:v>-9.8000000000000007</c:v>
                </c:pt>
                <c:pt idx="6">
                  <c:v>10.3</c:v>
                </c:pt>
                <c:pt idx="7">
                  <c:v>30</c:v>
                </c:pt>
              </c:numCache>
            </c:numRef>
          </c:xVal>
          <c:yVal>
            <c:numRef>
              <c:f>Aula_20Set!$M$13:$M$20</c:f>
              <c:numCache>
                <c:formatCode>General</c:formatCode>
                <c:ptCount val="8"/>
                <c:pt idx="0">
                  <c:v>-0.1</c:v>
                </c:pt>
                <c:pt idx="1">
                  <c:v>-13.8</c:v>
                </c:pt>
                <c:pt idx="2">
                  <c:v>13.4</c:v>
                </c:pt>
                <c:pt idx="3">
                  <c:v>15.7</c:v>
                </c:pt>
                <c:pt idx="4">
                  <c:v>-2.7</c:v>
                </c:pt>
                <c:pt idx="5">
                  <c:v>30.1</c:v>
                </c:pt>
                <c:pt idx="6">
                  <c:v>-31.6</c:v>
                </c:pt>
                <c:pt idx="7">
                  <c:v>-14.6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E-4143-A4A1-9DB51B0487E1}"/>
            </c:ext>
          </c:extLst>
        </c:ser>
        <c:ser>
          <c:idx val="1"/>
          <c:order val="1"/>
          <c:tx>
            <c:v>Sb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074E-4143-A4A1-9DB51B0487E1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074E-4143-A4A1-9DB51B0487E1}"/>
              </c:ext>
            </c:extLst>
          </c:dPt>
          <c:xVal>
            <c:numRef>
              <c:f>Aula_20Set!$L$21:$L$37</c:f>
              <c:numCache>
                <c:formatCode>General</c:formatCode>
                <c:ptCount val="17"/>
                <c:pt idx="0">
                  <c:v>-6</c:v>
                </c:pt>
                <c:pt idx="1">
                  <c:v>-2.1</c:v>
                </c:pt>
                <c:pt idx="2">
                  <c:v>-13.9</c:v>
                </c:pt>
                <c:pt idx="3">
                  <c:v>18.5</c:v>
                </c:pt>
                <c:pt idx="4">
                  <c:v>-2.4</c:v>
                </c:pt>
                <c:pt idx="5">
                  <c:v>-1.1000000000000001</c:v>
                </c:pt>
                <c:pt idx="6">
                  <c:v>6.3</c:v>
                </c:pt>
                <c:pt idx="7">
                  <c:v>-16.3</c:v>
                </c:pt>
                <c:pt idx="8">
                  <c:v>19.399999999999999</c:v>
                </c:pt>
                <c:pt idx="9">
                  <c:v>-18.899999999999999</c:v>
                </c:pt>
                <c:pt idx="10">
                  <c:v>2.5</c:v>
                </c:pt>
                <c:pt idx="11">
                  <c:v>26.8</c:v>
                </c:pt>
                <c:pt idx="12">
                  <c:v>-35.5</c:v>
                </c:pt>
                <c:pt idx="13">
                  <c:v>2.6</c:v>
                </c:pt>
                <c:pt idx="14">
                  <c:v>-26.9</c:v>
                </c:pt>
                <c:pt idx="15">
                  <c:v>-4.0999999999999996</c:v>
                </c:pt>
                <c:pt idx="16">
                  <c:v>-39.5</c:v>
                </c:pt>
              </c:numCache>
            </c:numRef>
          </c:xVal>
          <c:yVal>
            <c:numRef>
              <c:f>Aula_20Set!$M$21:$M$37</c:f>
              <c:numCache>
                <c:formatCode>General</c:formatCode>
                <c:ptCount val="17"/>
                <c:pt idx="0">
                  <c:v>1.7</c:v>
                </c:pt>
                <c:pt idx="1">
                  <c:v>-9.1999999999999993</c:v>
                </c:pt>
                <c:pt idx="2">
                  <c:v>7.1</c:v>
                </c:pt>
                <c:pt idx="3">
                  <c:v>-6</c:v>
                </c:pt>
                <c:pt idx="4">
                  <c:v>-19.399999999999999</c:v>
                </c:pt>
                <c:pt idx="5">
                  <c:v>20.5</c:v>
                </c:pt>
                <c:pt idx="6">
                  <c:v>-21.9</c:v>
                </c:pt>
                <c:pt idx="7">
                  <c:v>-16.3</c:v>
                </c:pt>
                <c:pt idx="8">
                  <c:v>-19.399999999999999</c:v>
                </c:pt>
                <c:pt idx="9">
                  <c:v>-21</c:v>
                </c:pt>
                <c:pt idx="10">
                  <c:v>28.2</c:v>
                </c:pt>
                <c:pt idx="11">
                  <c:v>-20.2</c:v>
                </c:pt>
                <c:pt idx="12">
                  <c:v>0</c:v>
                </c:pt>
                <c:pt idx="13">
                  <c:v>-36.799999999999997</c:v>
                </c:pt>
                <c:pt idx="14">
                  <c:v>-27.8</c:v>
                </c:pt>
                <c:pt idx="15">
                  <c:v>38.700000000000003</c:v>
                </c:pt>
                <c:pt idx="16">
                  <c:v>-2.8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E-4143-A4A1-9DB51B0487E1}"/>
            </c:ext>
          </c:extLst>
        </c:ser>
        <c:ser>
          <c:idx val="2"/>
          <c:order val="2"/>
          <c:tx>
            <c:v>plot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Aula_20Set!$Z$17:$Z$65</c:f>
              <c:numCache>
                <c:formatCode>General</c:formatCode>
                <c:ptCount val="49"/>
                <c:pt idx="0">
                  <c:v>38.756496868425792</c:v>
                </c:pt>
                <c:pt idx="1">
                  <c:v>35.10330247561491</c:v>
                </c:pt>
                <c:pt idx="2">
                  <c:v>29.267554754952837</c:v>
                </c:pt>
                <c:pt idx="3">
                  <c:v>21.612092234725591</c:v>
                </c:pt>
                <c:pt idx="4">
                  <c:v>12.612894495810746</c:v>
                </c:pt>
                <c:pt idx="5">
                  <c:v>2.8294880667081164</c:v>
                </c:pt>
                <c:pt idx="6">
                  <c:v>-7.129842225979683</c:v>
                </c:pt>
                <c:pt idx="7">
                  <c:v>-16.645873461885696</c:v>
                </c:pt>
                <c:pt idx="8">
                  <c:v>-25.126944908909564</c:v>
                </c:pt>
                <c:pt idx="9">
                  <c:v>-32.045744621877347</c:v>
                </c:pt>
                <c:pt idx="10">
                  <c:v>-36.972095145298539</c:v>
                </c:pt>
                <c:pt idx="11">
                  <c:v>-39.599699864017815</c:v>
                </c:pt>
                <c:pt idx="12">
                  <c:v>-39.76518704322185</c:v>
                </c:pt>
                <c:pt idx="13">
                  <c:v>-37.458267491631851</c:v>
                </c:pt>
                <c:pt idx="14">
                  <c:v>-32.822374293582428</c:v>
                </c:pt>
                <c:pt idx="15">
                  <c:v>-26.145744834544477</c:v>
                </c:pt>
                <c:pt idx="16">
                  <c:v>-17.843499596551712</c:v>
                </c:pt>
                <c:pt idx="17">
                  <c:v>-8.4318319772311874</c:v>
                </c:pt>
                <c:pt idx="18">
                  <c:v>1.5040861155190621</c:v>
                </c:pt>
                <c:pt idx="19">
                  <c:v>11.346487418529049</c:v>
                </c:pt>
                <c:pt idx="20">
                  <c:v>20.483419089673628</c:v>
                </c:pt>
                <c:pt idx="21">
                  <c:v>28.3467909716504</c:v>
                </c:pt>
                <c:pt idx="22">
                  <c:v>34.44769668646083</c:v>
                </c:pt>
                <c:pt idx="23">
                  <c:v>38.406811466014638</c:v>
                </c:pt>
                <c:pt idx="24">
                  <c:v>39.977976728979975</c:v>
                </c:pt>
                <c:pt idx="25">
                  <c:v>39.06350502912094</c:v>
                </c:pt>
                <c:pt idx="26">
                  <c:v>35.720253787563067</c:v>
                </c:pt>
              </c:numCache>
            </c:numRef>
          </c:xVal>
          <c:yVal>
            <c:numRef>
              <c:f>Aula_20Set!$AA$17:$AA$65</c:f>
              <c:numCache>
                <c:formatCode>General</c:formatCode>
                <c:ptCount val="49"/>
                <c:pt idx="0">
                  <c:v>9.8961583701809168</c:v>
                </c:pt>
                <c:pt idx="1">
                  <c:v>19.17702154416812</c:v>
                </c:pt>
                <c:pt idx="2">
                  <c:v>27.265550400933364</c:v>
                </c:pt>
                <c:pt idx="3">
                  <c:v>33.658839392315862</c:v>
                </c:pt>
                <c:pt idx="4">
                  <c:v>37.959384774223452</c:v>
                </c:pt>
                <c:pt idx="5">
                  <c:v>39.899799464162179</c:v>
                </c:pt>
                <c:pt idx="6">
                  <c:v>39.359437874957479</c:v>
                </c:pt>
                <c:pt idx="7">
                  <c:v>36.37189707302727</c:v>
                </c:pt>
                <c:pt idx="8">
                  <c:v>31.122927875516847</c:v>
                </c:pt>
                <c:pt idx="9">
                  <c:v>23.938885764158261</c:v>
                </c:pt>
                <c:pt idx="10">
                  <c:v>15.266439682093267</c:v>
                </c:pt>
                <c:pt idx="11">
                  <c:v>5.6448003223946888</c:v>
                </c:pt>
                <c:pt idx="12">
                  <c:v>-4.3278053812043353</c:v>
                </c:pt>
                <c:pt idx="13">
                  <c:v>-14.031329107584794</c:v>
                </c:pt>
                <c:pt idx="14">
                  <c:v>-22.862452749693748</c:v>
                </c:pt>
                <c:pt idx="15">
                  <c:v>-30.27209981231713</c:v>
                </c:pt>
                <c:pt idx="16">
                  <c:v>-35.79957432914334</c:v>
                </c:pt>
                <c:pt idx="17">
                  <c:v>-39.10120470660388</c:v>
                </c:pt>
                <c:pt idx="18">
                  <c:v>-39.97171155901512</c:v>
                </c:pt>
                <c:pt idx="19">
                  <c:v>-38.356970986525539</c:v>
                </c:pt>
                <c:pt idx="20">
                  <c:v>-34.357379737063681</c:v>
                </c:pt>
                <c:pt idx="21">
                  <c:v>-28.221613022815678</c:v>
                </c:pt>
                <c:pt idx="22">
                  <c:v>-20.331163099970336</c:v>
                </c:pt>
                <c:pt idx="23">
                  <c:v>-11.176619927957034</c:v>
                </c:pt>
                <c:pt idx="24">
                  <c:v>-1.3271686619022727</c:v>
                </c:pt>
                <c:pt idx="25">
                  <c:v>8.6047995235126216</c:v>
                </c:pt>
                <c:pt idx="26">
                  <c:v>18.001762951224705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4E-4143-A4A1-9DB51B0487E1}"/>
            </c:ext>
          </c:extLst>
        </c:ser>
        <c:ser>
          <c:idx val="3"/>
          <c:order val="3"/>
          <c:tx>
            <c:v>fora da plot 40 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Aula_20Set!$L$38:$L$43</c:f>
              <c:numCache>
                <c:formatCode>General</c:formatCode>
                <c:ptCount val="6"/>
                <c:pt idx="0">
                  <c:v>26.4</c:v>
                </c:pt>
                <c:pt idx="1">
                  <c:v>-37.700000000000003</c:v>
                </c:pt>
                <c:pt idx="2">
                  <c:v>-19.7</c:v>
                </c:pt>
                <c:pt idx="3">
                  <c:v>47</c:v>
                </c:pt>
                <c:pt idx="4">
                  <c:v>7.5</c:v>
                </c:pt>
                <c:pt idx="5">
                  <c:v>39.700000000000003</c:v>
                </c:pt>
              </c:numCache>
            </c:numRef>
          </c:xVal>
          <c:yVal>
            <c:numRef>
              <c:f>Aula_20Set!$M$38:$M$43</c:f>
              <c:numCache>
                <c:formatCode>General</c:formatCode>
                <c:ptCount val="6"/>
                <c:pt idx="0">
                  <c:v>-31.5</c:v>
                </c:pt>
                <c:pt idx="1">
                  <c:v>-20</c:v>
                </c:pt>
                <c:pt idx="2">
                  <c:v>-42.1</c:v>
                </c:pt>
                <c:pt idx="3">
                  <c:v>-17.100000000000001</c:v>
                </c:pt>
                <c:pt idx="4">
                  <c:v>-53.5</c:v>
                </c:pt>
                <c:pt idx="5">
                  <c:v>-41.1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4E-4143-A4A1-9DB51B048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244144"/>
        <c:axId val="1730244560"/>
      </c:scatterChart>
      <c:valAx>
        <c:axId val="173024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coord xx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244560"/>
        <c:crosses val="autoZero"/>
        <c:crossBetween val="midCat"/>
      </c:valAx>
      <c:valAx>
        <c:axId val="17302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coord yy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24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4.png"/><Relationship Id="rId5" Type="http://schemas.openxmlformats.org/officeDocument/2006/relationships/image" Target="../media/image3.wmf"/><Relationship Id="rId4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7</xdr:col>
      <xdr:colOff>525353</xdr:colOff>
      <xdr:row>23</xdr:row>
      <xdr:rowOff>50104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171450</xdr:rowOff>
    </xdr:from>
    <xdr:to>
      <xdr:col>22</xdr:col>
      <xdr:colOff>259080</xdr:colOff>
      <xdr:row>37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225090</xdr:colOff>
      <xdr:row>46</xdr:row>
      <xdr:rowOff>60106</xdr:rowOff>
    </xdr:from>
    <xdr:to>
      <xdr:col>15</xdr:col>
      <xdr:colOff>318705</xdr:colOff>
      <xdr:row>47</xdr:row>
      <xdr:rowOff>121751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3"/>
            <xdr:cNvSpPr txBox="1"/>
          </xdr:nvSpPr>
          <xdr:spPr>
            <a:xfrm>
              <a:off x="7367570" y="8960266"/>
              <a:ext cx="2572655" cy="24452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G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10000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p</m:t>
                            </m:r>
                          </m:sub>
                        </m:sSub>
                      </m:den>
                    </m:f>
                    <m:nary>
                      <m:naryPr>
                        <m:chr m:val="∑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sty m:val="p"/>
                            <m:brk m:alnAt="23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i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n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1</m:t>
                        </m:r>
                      </m:sup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π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sty m:val="p"/>
                                      </m:rPr>
                                      <a:rPr lang="en-US" sz="11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</m:t>
                                    </m:r>
                                  </m:num>
                                  <m:den>
                                    <m:r>
                                      <a:rPr lang="en-US" sz="11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200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d>
                          <m:dPr>
                            <m:ctrlPr>
                              <a:rPr lang="en-US" sz="1100" b="0" i="1">
                                <a:solidFill>
                                  <a:srgbClr val="00B0F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rgbClr val="00B0F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rgbClr val="00B0F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𝑘</m:t>
                                </m:r>
                                <m:r>
                                  <a:rPr lang="en-US" sz="1100" b="0" i="1">
                                    <a:solidFill>
                                      <a:srgbClr val="00B0F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−1</m:t>
                                </m:r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rgbClr val="00B0F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𝑘</m:t>
                                </m:r>
                              </m:den>
                            </m:f>
                          </m:e>
                        </m:d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3"/>
            <xdr:cNvSpPr txBox="1"/>
          </xdr:nvSpPr>
          <xdr:spPr>
            <a:xfrm>
              <a:off x="7367570" y="8960266"/>
              <a:ext cx="2572655" cy="24452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G=  10000/A_p  ∑_(i=1)^n1</a:t>
              </a:r>
              <a:r>
                <a:rPr lang="en-US" sz="1100" b="0" i="0">
                  <a:solidFill>
                    <a:srgbClr val="00B0F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▒〖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π (d/200)^2</a:t>
              </a:r>
              <a:r>
                <a:rPr lang="en-US" sz="1100" b="0" i="0">
                  <a:solidFill>
                    <a:srgbClr val="00B0F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((𝑘−1)/𝑘) 〗</a:t>
              </a:r>
              <a:endParaRPr lang="en-US" sz="1100"/>
            </a:p>
          </xdr:txBody>
        </xdr:sp>
      </mc:Fallback>
    </mc:AlternateContent>
    <xdr:clientData/>
  </xdr:twoCellAnchor>
  <xdr:twoCellAnchor>
    <xdr:from>
      <xdr:col>11</xdr:col>
      <xdr:colOff>386080</xdr:colOff>
      <xdr:row>45</xdr:row>
      <xdr:rowOff>50538</xdr:rowOff>
    </xdr:from>
    <xdr:to>
      <xdr:col>13</xdr:col>
      <xdr:colOff>116014</xdr:colOff>
      <xdr:row>46</xdr:row>
      <xdr:rowOff>43146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20"/>
            <xdr:cNvSpPr txBox="1"/>
          </xdr:nvSpPr>
          <xdr:spPr>
            <a:xfrm>
              <a:off x="7528560" y="9865098"/>
              <a:ext cx="949134" cy="17548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dist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k</m:t>
                        </m:r>
                      </m:sub>
                    </m:sSub>
                    <m:r>
                      <a:rPr lang="en-US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100" b="0" i="0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raio</m:t>
                    </m:r>
                  </m:oMath>
                </m:oMathPara>
              </a14:m>
              <a:endParaRPr lang="en-US" sz="1100" b="0" i="0">
                <a:solidFill>
                  <a:schemeClr val="accent6">
                    <a:lumMod val="75000"/>
                  </a:schemeClr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Box 20"/>
            <xdr:cNvSpPr txBox="1"/>
          </xdr:nvSpPr>
          <xdr:spPr>
            <a:xfrm>
              <a:off x="7528560" y="9865098"/>
              <a:ext cx="949134" cy="17548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 dist_k=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raio</a:t>
              </a:r>
              <a:endParaRPr lang="en-US" sz="1100" b="0" i="0">
                <a:solidFill>
                  <a:schemeClr val="accent6">
                    <a:lumMod val="75000"/>
                  </a:schemeClr>
                </a:solidFill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13</xdr:col>
      <xdr:colOff>392731</xdr:colOff>
      <xdr:row>45</xdr:row>
      <xdr:rowOff>20320</xdr:rowOff>
    </xdr:from>
    <xdr:to>
      <xdr:col>15</xdr:col>
      <xdr:colOff>592266</xdr:colOff>
      <xdr:row>46</xdr:row>
      <xdr:rowOff>30425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14"/>
            <xdr:cNvSpPr txBox="1"/>
          </xdr:nvSpPr>
          <xdr:spPr>
            <a:xfrm>
              <a:off x="8754411" y="9834880"/>
              <a:ext cx="1459375" cy="19298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</m:t>
                        </m:r>
                      </m:sub>
                    </m:sSub>
                    <m:r>
                      <a:rPr lang="en-US" sz="1100" b="0" i="0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π</m:t>
                    </m:r>
                    <m:r>
                      <a:rPr lang="en-U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raio</m:t>
                            </m:r>
                          </m:e>
                        </m:d>
                      </m:e>
                      <m:sup>
                        <m: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14"/>
            <xdr:cNvSpPr txBox="1"/>
          </xdr:nvSpPr>
          <xdr:spPr>
            <a:xfrm>
              <a:off x="8754411" y="9834880"/>
              <a:ext cx="1459375" cy="19298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A_p=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π (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raio)^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twoCellAnchor>
  <xdr:twoCellAnchor>
    <xdr:from>
      <xdr:col>6</xdr:col>
      <xdr:colOff>365760</xdr:colOff>
      <xdr:row>64</xdr:row>
      <xdr:rowOff>182880</xdr:rowOff>
    </xdr:from>
    <xdr:to>
      <xdr:col>10</xdr:col>
      <xdr:colOff>418497</xdr:colOff>
      <xdr:row>66</xdr:row>
      <xdr:rowOff>284202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31"/>
            <xdr:cNvSpPr txBox="1"/>
          </xdr:nvSpPr>
          <xdr:spPr>
            <a:xfrm>
              <a:off x="4378960" y="10190480"/>
              <a:ext cx="2562257" cy="4874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G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10000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p</m:t>
                            </m:r>
                          </m:sub>
                        </m:sSub>
                      </m:den>
                    </m:f>
                    <m:nary>
                      <m:naryPr>
                        <m:chr m:val="∑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sty m:val="p"/>
                            <m:brk m:alnAt="23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i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n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1</m:t>
                        </m:r>
                      </m:sup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π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sty m:val="p"/>
                                      </m:rPr>
                                      <a:rPr lang="en-US" sz="11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</m:t>
                                    </m:r>
                                  </m:num>
                                  <m:den>
                                    <m:r>
                                      <a:rPr lang="en-US" sz="11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200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31"/>
            <xdr:cNvSpPr txBox="1"/>
          </xdr:nvSpPr>
          <xdr:spPr>
            <a:xfrm>
              <a:off x="4378960" y="10190480"/>
              <a:ext cx="2562257" cy="4874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G=  10000/A_p  ∑_(i=1)^n1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▒〖π (d/200)^2 〗</a:t>
              </a:r>
              <a:endParaRPr lang="en-US" sz="1100"/>
            </a:p>
          </xdr:txBody>
        </xdr:sp>
      </mc:Fallback>
    </mc:AlternateContent>
    <xdr:clientData/>
  </xdr:twoCellAnchor>
  <xdr:twoCellAnchor>
    <xdr:from>
      <xdr:col>12</xdr:col>
      <xdr:colOff>310264</xdr:colOff>
      <xdr:row>61</xdr:row>
      <xdr:rowOff>86128</xdr:rowOff>
    </xdr:from>
    <xdr:to>
      <xdr:col>15</xdr:col>
      <xdr:colOff>173512</xdr:colOff>
      <xdr:row>64</xdr:row>
      <xdr:rowOff>17672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31"/>
            <xdr:cNvSpPr txBox="1"/>
          </xdr:nvSpPr>
          <xdr:spPr>
            <a:xfrm>
              <a:off x="11150984" y="9534928"/>
              <a:ext cx="1692048" cy="4903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G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10000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p</m:t>
                            </m:r>
                          </m:sub>
                        </m:sSub>
                      </m:den>
                    </m:f>
                    <m:nary>
                      <m:naryPr>
                        <m:chr m:val="∑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sty m:val="p"/>
                            <m:brk m:alnAt="23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i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n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1</m:t>
                        </m:r>
                      </m:sup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π</m:t>
                        </m:r>
                        <m: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sty m:val="p"/>
                                      </m:rPr>
                                      <a:rPr lang="en-US" sz="11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</m:t>
                                    </m:r>
                                  </m:num>
                                  <m:den>
                                    <m:r>
                                      <a:rPr lang="en-US" sz="11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200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31"/>
            <xdr:cNvSpPr txBox="1"/>
          </xdr:nvSpPr>
          <xdr:spPr>
            <a:xfrm>
              <a:off x="11150984" y="9534928"/>
              <a:ext cx="1692048" cy="4903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G=  10000/A_p  ∑_(i=1)^n1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▒〖π (d/200)^2 〗</a:t>
              </a:r>
              <a:endParaRPr lang="en-US" sz="1100"/>
            </a:p>
          </xdr:txBody>
        </xdr:sp>
      </mc:Fallback>
    </mc:AlternateContent>
    <xdr:clientData/>
  </xdr:twoCellAnchor>
  <xdr:twoCellAnchor>
    <xdr:from>
      <xdr:col>11</xdr:col>
      <xdr:colOff>162560</xdr:colOff>
      <xdr:row>59</xdr:row>
      <xdr:rowOff>60960</xdr:rowOff>
    </xdr:from>
    <xdr:to>
      <xdr:col>14</xdr:col>
      <xdr:colOff>46141</xdr:colOff>
      <xdr:row>61</xdr:row>
      <xdr:rowOff>33224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20"/>
            <xdr:cNvSpPr txBox="1"/>
          </xdr:nvSpPr>
          <xdr:spPr>
            <a:xfrm>
              <a:off x="10393680" y="9144000"/>
              <a:ext cx="1712381" cy="33802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dist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k</m:t>
                                </m:r>
                              </m:sub>
                            </m:sSub>
                            <m:r>
                              <a:rPr lang="en-US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dist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k</m:t>
                                </m:r>
                                <m: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sub>
                            </m:sSub>
                          </m:e>
                        </m:d>
                      </m:num>
                      <m:den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100" b="0" i="0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raio</m:t>
                    </m:r>
                  </m:oMath>
                </m:oMathPara>
              </a14:m>
              <a:endParaRPr lang="en-US" sz="1100" b="0" i="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8" name="TextBox 20"/>
            <xdr:cNvSpPr txBox="1"/>
          </xdr:nvSpPr>
          <xdr:spPr>
            <a:xfrm>
              <a:off x="10393680" y="9144000"/>
              <a:ext cx="1712381" cy="33802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((dist_k+dist_(k+1) ))/2=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raio</a:t>
              </a:r>
              <a:endParaRPr lang="en-US" sz="1100" b="0" i="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twoCellAnchor>
  <xdr:twoCellAnchor>
    <xdr:from>
      <xdr:col>13</xdr:col>
      <xdr:colOff>411661</xdr:colOff>
      <xdr:row>59</xdr:row>
      <xdr:rowOff>105474</xdr:rowOff>
    </xdr:from>
    <xdr:to>
      <xdr:col>16</xdr:col>
      <xdr:colOff>52906</xdr:colOff>
      <xdr:row>60</xdr:row>
      <xdr:rowOff>113278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14"/>
            <xdr:cNvSpPr txBox="1"/>
          </xdr:nvSpPr>
          <xdr:spPr>
            <a:xfrm>
              <a:off x="11861981" y="9188514"/>
              <a:ext cx="1470045" cy="19068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</m:t>
                        </m:r>
                      </m:sub>
                    </m:sSub>
                    <m:r>
                      <a:rPr lang="en-US" sz="1100" b="0" i="0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π</m:t>
                    </m:r>
                    <m:r>
                      <a:rPr lang="en-U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raio</m:t>
                            </m:r>
                          </m:e>
                        </m:d>
                      </m:e>
                      <m:sup>
                        <m: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14"/>
            <xdr:cNvSpPr txBox="1"/>
          </xdr:nvSpPr>
          <xdr:spPr>
            <a:xfrm>
              <a:off x="11861981" y="9188514"/>
              <a:ext cx="1470045" cy="19068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A_p=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π (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raio)^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twoCellAnchor>
  <xdr:twoCellAnchor>
    <xdr:from>
      <xdr:col>16</xdr:col>
      <xdr:colOff>205534</xdr:colOff>
      <xdr:row>62</xdr:row>
      <xdr:rowOff>47180</xdr:rowOff>
    </xdr:from>
    <xdr:to>
      <xdr:col>21</xdr:col>
      <xdr:colOff>111760</xdr:colOff>
      <xdr:row>65</xdr:row>
      <xdr:rowOff>203200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1"/>
            <xdr:cNvSpPr txBox="1"/>
          </xdr:nvSpPr>
          <xdr:spPr>
            <a:xfrm>
              <a:off x="10436654" y="12117260"/>
              <a:ext cx="2954226" cy="73514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100" b="0" i="0">
                      <a:latin typeface="Cambria Math" panose="02040503050406030204" pitchFamily="18" charset="0"/>
                    </a:rPr>
                    <m:t>G</m:t>
                  </m:r>
                  <m:r>
                    <a:rPr lang="en-US" sz="1100" b="0" i="0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sz="1100" b="0" i="1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  <m:t>10000</m:t>
                      </m:r>
                    </m:num>
                    <m:den>
                      <m:sSub>
                        <m:sSubPr>
                          <m:ctrlPr>
                            <a:rPr lang="en-US" sz="1100" b="0" i="1">
                              <a:solidFill>
                                <a:schemeClr val="accent2">
                                  <a:lumMod val="40000"/>
                                  <a:lumOff val="6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lang="en-US" sz="1100" b="0" i="0">
                              <a:solidFill>
                                <a:schemeClr val="accent2">
                                  <a:lumMod val="40000"/>
                                  <a:lumOff val="6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  <m:t>A</m:t>
                          </m:r>
                        </m:e>
                        <m:sub>
                          <m:r>
                            <a:rPr lang="en-US" sz="1100" b="0" i="0">
                              <a:solidFill>
                                <a:schemeClr val="accent2">
                                  <a:lumMod val="40000"/>
                                  <a:lumOff val="6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  <m:t>10</m:t>
                          </m:r>
                        </m:sub>
                      </m:sSub>
                    </m:den>
                  </m:f>
                  <m:nary>
                    <m:naryPr>
                      <m:chr m:val="∑"/>
                      <m:ctrlPr>
                        <a:rPr lang="en-US" sz="1100" b="0" i="1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sty m:val="p"/>
                          <m:brk m:alnAt="23"/>
                        </m:rP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  <m:t>i</m:t>
                      </m:r>
                      <m: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  <m:t>=1</m:t>
                      </m:r>
                    </m:sub>
                    <m:sup>
                      <m:r>
                        <m:rPr>
                          <m:sty m:val="p"/>
                        </m:rP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  <m:t>n</m:t>
                      </m:r>
                      <m: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</a:rPr>
                        <m:t>1</m:t>
                      </m:r>
                    </m:sup>
                    <m:e>
                      <m:r>
                        <m:rPr>
                          <m:sty m:val="p"/>
                        </m:rP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π</m:t>
                      </m:r>
                      <m:r>
                        <a:rPr lang="en-US" sz="1100" b="0" i="0">
                          <a:solidFill>
                            <a:schemeClr val="accent2">
                              <a:lumMod val="40000"/>
                              <a:lumOff val="60000"/>
                            </a:schemeClr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sSup>
                        <m:sSupPr>
                          <m:ctrlPr>
                            <a:rPr lang="en-US" sz="1100" b="0" i="1">
                              <a:solidFill>
                                <a:schemeClr val="accent2">
                                  <a:lumMod val="40000"/>
                                  <a:lumOff val="60000"/>
                                </a:schemeClr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d>
                            <m:dPr>
                              <m:ctrlPr>
                                <a:rPr lang="en-US" sz="1100" b="0" i="1">
                                  <a:solidFill>
                                    <a:schemeClr val="accent2">
                                      <a:lumMod val="40000"/>
                                      <a:lumOff val="60000"/>
                                    </a:schemeClr>
                                  </a:solidFill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en-US" sz="1100" i="1">
                                      <a:solidFill>
                                        <a:schemeClr val="accent2">
                                          <a:lumMod val="40000"/>
                                          <a:lumOff val="60000"/>
                                        </a:schemeClr>
                                      </a:solidFill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m:rPr>
                                      <m:sty m:val="p"/>
                                    </m:rPr>
                                    <a:rPr lang="en-US" sz="1100" i="0">
                                      <a:solidFill>
                                        <a:schemeClr val="accent2">
                                          <a:lumMod val="40000"/>
                                          <a:lumOff val="60000"/>
                                        </a:schemeClr>
                                      </a:solidFill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d</m:t>
                                  </m:r>
                                </m:num>
                                <m:den>
                                  <m:r>
                                    <a:rPr lang="en-US" sz="1100" i="0">
                                      <a:solidFill>
                                        <a:schemeClr val="accent2">
                                          <a:lumMod val="40000"/>
                                          <a:lumOff val="60000"/>
                                        </a:schemeClr>
                                      </a:solidFill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200</m:t>
                                  </m:r>
                                </m:den>
                              </m:f>
                            </m:e>
                          </m:d>
                        </m:e>
                        <m:sup>
                          <m:r>
                            <a:rPr lang="en-US" sz="1100" b="0" i="0">
                              <a:solidFill>
                                <a:schemeClr val="accent2">
                                  <a:lumMod val="40000"/>
                                  <a:lumOff val="60000"/>
                                </a:schemeClr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e>
                  </m:nary>
                </m:oMath>
              </a14:m>
              <a:r>
                <a:rPr lang="en-US" sz="1100">
                  <a:latin typeface="+mn-lt"/>
                </a:rPr>
                <a:t>+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i="0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  <m:t>10000</m:t>
                      </m:r>
                    </m:num>
                    <m:den>
                      <m:sSub>
                        <m:sSubPr>
                          <m:ctrlPr>
                            <a:rPr lang="en-US" sz="1100" i="1">
                              <a:solidFill>
                                <a:schemeClr val="accent2">
                                  <a:lumMod val="60000"/>
                                  <a:lumOff val="4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lang="en-US" sz="1100" i="0">
                              <a:solidFill>
                                <a:schemeClr val="accent2">
                                  <a:lumMod val="60000"/>
                                  <a:lumOff val="4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  <m:t>A</m:t>
                          </m:r>
                        </m:e>
                        <m:sub>
                          <m:r>
                            <a:rPr lang="en-US" sz="1100" b="0" i="0">
                              <a:solidFill>
                                <a:schemeClr val="accent2">
                                  <a:lumMod val="60000"/>
                                  <a:lumOff val="4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  <m:t>20</m:t>
                          </m:r>
                        </m:sub>
                      </m:sSub>
                    </m:den>
                  </m:f>
                  <m:nary>
                    <m:naryPr>
                      <m:chr m:val="∑"/>
                      <m:ctrlPr>
                        <a:rPr lang="en-US" sz="1100" i="1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sty m:val="p"/>
                          <m:brk m:alnAt="23"/>
                        </m:rPr>
                        <a:rPr lang="en-US" sz="1100" i="0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  <m:t>i</m:t>
                      </m:r>
                      <m:r>
                        <a:rPr lang="en-US" sz="1100" i="0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  <m:t>=1</m:t>
                      </m:r>
                    </m:sub>
                    <m:sup>
                      <m:r>
                        <m:rPr>
                          <m:sty m:val="p"/>
                        </m:rPr>
                        <a:rPr lang="en-US" sz="1100" i="0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  <m:t>n</m:t>
                      </m:r>
                      <m:r>
                        <a:rPr lang="en-US" sz="1100" i="0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</a:rPr>
                        <m:t>1</m:t>
                      </m:r>
                    </m:sup>
                    <m:e>
                      <m:r>
                        <m:rPr>
                          <m:sty m:val="p"/>
                        </m:rPr>
                        <a:rPr lang="en-US" sz="1100" i="0">
                          <a:solidFill>
                            <a:schemeClr val="accent2">
                              <a:lumMod val="60000"/>
                              <a:lumOff val="40000"/>
                            </a:schemeClr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π</m:t>
                      </m:r>
                      <m:sSup>
                        <m:sSupPr>
                          <m:ctrlPr>
                            <a:rPr lang="en-US" sz="1100" i="1">
                              <a:solidFill>
                                <a:schemeClr val="accent2">
                                  <a:lumMod val="60000"/>
                                  <a:lumOff val="40000"/>
                                </a:schemeClr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d>
                            <m:dPr>
                              <m:ctrlPr>
                                <a:rPr lang="en-US" sz="1100" i="1">
                                  <a:solidFill>
                                    <a:schemeClr val="accent2">
                                      <a:lumMod val="60000"/>
                                      <a:lumOff val="40000"/>
                                    </a:schemeClr>
                                  </a:solidFill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en-US" sz="1100" i="1">
                                      <a:solidFill>
                                        <a:schemeClr val="accent2">
                                          <a:lumMod val="60000"/>
                                          <a:lumOff val="40000"/>
                                        </a:schemeClr>
                                      </a:solidFill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m:rPr>
                                      <m:sty m:val="p"/>
                                    </m:rPr>
                                    <a:rPr lang="en-US" sz="1100" i="0">
                                      <a:solidFill>
                                        <a:schemeClr val="accent2">
                                          <a:lumMod val="60000"/>
                                          <a:lumOff val="40000"/>
                                        </a:schemeClr>
                                      </a:solidFill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d</m:t>
                                  </m:r>
                                </m:num>
                                <m:den>
                                  <m:r>
                                    <a:rPr lang="en-US" sz="1100" i="0">
                                      <a:solidFill>
                                        <a:schemeClr val="accent2">
                                          <a:lumMod val="60000"/>
                                          <a:lumOff val="40000"/>
                                        </a:schemeClr>
                                      </a:solidFill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200</m:t>
                                  </m:r>
                                </m:den>
                              </m:f>
                            </m:e>
                          </m:d>
                        </m:e>
                        <m:sup>
                          <m:r>
                            <a:rPr lang="en-US" sz="1100" i="0">
                              <a:solidFill>
                                <a:schemeClr val="accent2">
                                  <a:lumMod val="60000"/>
                                  <a:lumOff val="40000"/>
                                </a:schemeClr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e>
                  </m:nary>
                </m:oMath>
              </a14:m>
              <a:endParaRPr lang="en-US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10" name="TextBox 1"/>
            <xdr:cNvSpPr txBox="1"/>
          </xdr:nvSpPr>
          <xdr:spPr>
            <a:xfrm>
              <a:off x="10436654" y="12117260"/>
              <a:ext cx="2954226" cy="73514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0" i="0">
                  <a:latin typeface="Cambria Math" panose="02040503050406030204" pitchFamily="18" charset="0"/>
                </a:rPr>
                <a:t>G= </a:t>
              </a:r>
              <a:r>
                <a:rPr lang="en-US" sz="1100" b="0" i="0">
                  <a:solidFill>
                    <a:schemeClr val="accent2">
                      <a:lumMod val="40000"/>
                      <a:lumOff val="60000"/>
                    </a:schemeClr>
                  </a:solidFill>
                  <a:latin typeface="Cambria Math" panose="02040503050406030204" pitchFamily="18" charset="0"/>
                </a:rPr>
                <a:t> 10000/A_10  ∑_(i=1)^n1</a:t>
              </a:r>
              <a:r>
                <a:rPr lang="en-US" sz="1100" b="0" i="0">
                  <a:solidFill>
                    <a:schemeClr val="accent2">
                      <a:lumMod val="40000"/>
                      <a:lumOff val="6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▒〖π (</a:t>
              </a:r>
              <a:r>
                <a:rPr lang="en-US" sz="1100" i="0">
                  <a:solidFill>
                    <a:schemeClr val="accent2">
                      <a:lumMod val="40000"/>
                      <a:lumOff val="6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d/200)</a:t>
              </a:r>
              <a:r>
                <a:rPr lang="en-US" sz="1100" b="0" i="0">
                  <a:solidFill>
                    <a:schemeClr val="accent2">
                      <a:lumMod val="40000"/>
                      <a:lumOff val="6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^2 〗</a:t>
              </a:r>
              <a:r>
                <a:rPr lang="en-US" sz="1100">
                  <a:latin typeface="+mn-lt"/>
                </a:rPr>
                <a:t>+ </a:t>
              </a:r>
              <a:r>
                <a:rPr lang="en-US" sz="1100" i="0">
                  <a:solidFill>
                    <a:schemeClr val="accent2">
                      <a:lumMod val="60000"/>
                      <a:lumOff val="40000"/>
                    </a:schemeClr>
                  </a:solidFill>
                  <a:latin typeface="Cambria Math" panose="02040503050406030204" pitchFamily="18" charset="0"/>
                </a:rPr>
                <a:t>10000/A_</a:t>
              </a:r>
              <a:r>
                <a:rPr lang="en-US" sz="1100" b="0" i="0">
                  <a:solidFill>
                    <a:schemeClr val="accent2">
                      <a:lumMod val="60000"/>
                      <a:lumOff val="40000"/>
                    </a:schemeClr>
                  </a:solidFill>
                  <a:latin typeface="Cambria Math" panose="02040503050406030204" pitchFamily="18" charset="0"/>
                </a:rPr>
                <a:t>20  </a:t>
              </a:r>
              <a:r>
                <a:rPr lang="en-US" sz="1100" i="0">
                  <a:solidFill>
                    <a:schemeClr val="accent2">
                      <a:lumMod val="60000"/>
                      <a:lumOff val="40000"/>
                    </a:schemeClr>
                  </a:solidFill>
                  <a:latin typeface="Cambria Math" panose="02040503050406030204" pitchFamily="18" charset="0"/>
                </a:rPr>
                <a:t>∑_(i=1)^n1</a:t>
              </a:r>
              <a:r>
                <a:rPr lang="en-US" sz="1100" i="0">
                  <a:solidFill>
                    <a:schemeClr val="accent2">
                      <a:lumMod val="60000"/>
                      <a:lumOff val="4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▒〖π(d/200)^2 〗</a:t>
              </a:r>
              <a:endParaRPr lang="en-US" sz="1100"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16</xdr:col>
      <xdr:colOff>145530</xdr:colOff>
      <xdr:row>64</xdr:row>
      <xdr:rowOff>72551</xdr:rowOff>
    </xdr:from>
    <xdr:to>
      <xdr:col>20</xdr:col>
      <xdr:colOff>252854</xdr:colOff>
      <xdr:row>65</xdr:row>
      <xdr:rowOff>211929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"/>
            <xdr:cNvSpPr txBox="1"/>
          </xdr:nvSpPr>
          <xdr:spPr>
            <a:xfrm>
              <a:off x="10376650" y="12528711"/>
              <a:ext cx="2545724" cy="33241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0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+</m:t>
                    </m:r>
                    <m:f>
                      <m:fPr>
                        <m:ctrlPr>
                          <a:rPr lang="en-US" sz="900" i="1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en-US" sz="900" i="0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10000</m:t>
                        </m:r>
                      </m:num>
                      <m:den>
                        <m:sSub>
                          <m:sSubPr>
                            <m:ctrlPr>
                              <a:rPr lang="en-US" sz="900" i="1" kern="1200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900" i="0" kern="1200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A</m:t>
                            </m:r>
                          </m:e>
                          <m:sub>
                            <m:r>
                              <a:rPr lang="en-US" sz="900" b="0" i="0" kern="1200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30</m:t>
                            </m:r>
                          </m:sub>
                        </m:sSub>
                      </m:den>
                    </m:f>
                    <m:nary>
                      <m:naryPr>
                        <m:chr m:val="∑"/>
                        <m:ctrlPr>
                          <a:rPr lang="en-US" sz="900" i="1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sty m:val="p"/>
                            <m:brk m:alnAt="23"/>
                          </m:rPr>
                          <a:rPr lang="en-US" sz="900" i="0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i</m:t>
                        </m:r>
                        <m:r>
                          <a:rPr lang="en-US" sz="900" i="0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=1</m:t>
                        </m:r>
                      </m:sub>
                      <m:sup>
                        <m:r>
                          <m:rPr>
                            <m:sty m:val="p"/>
                          </m:rPr>
                          <a:rPr lang="en-US" sz="900" i="0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n</m:t>
                        </m:r>
                        <m:r>
                          <a:rPr lang="en-US" sz="900" i="0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</m:t>
                        </m:r>
                      </m:sup>
                      <m:e>
                        <m:r>
                          <m:rPr>
                            <m:sty m:val="p"/>
                          </m:rPr>
                          <a:rPr lang="en-US" sz="900" i="0" kern="1200">
                            <a:solidFill>
                              <a:schemeClr val="accent2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π</m:t>
                        </m:r>
                        <m:sSup>
                          <m:sSupPr>
                            <m:ctrlPr>
                              <a:rPr lang="en-US" sz="900" i="1" kern="1200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900" i="1" kern="1200">
                                    <a:solidFill>
                                      <a:schemeClr val="accent2">
                                        <a:lumMod val="75000"/>
                                      </a:schemeClr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900" i="1" kern="1200">
                                        <a:solidFill>
                                          <a:schemeClr val="accent2">
                                            <a:lumMod val="75000"/>
                                          </a:schemeClr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sty m:val="p"/>
                                      </m:rPr>
                                      <a:rPr lang="en-US" sz="900" i="0" kern="1200">
                                        <a:solidFill>
                                          <a:schemeClr val="accent2">
                                            <a:lumMod val="75000"/>
                                          </a:schemeClr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d</m:t>
                                    </m:r>
                                  </m:num>
                                  <m:den>
                                    <m:r>
                                      <a:rPr lang="en-US" sz="900" i="0" kern="1200">
                                        <a:solidFill>
                                          <a:schemeClr val="accent2">
                                            <a:lumMod val="75000"/>
                                          </a:schemeClr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200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900" i="0" kern="1200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en-US" sz="900" b="0" i="0" kern="120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900" i="1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900" i="0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10000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900" i="1" kern="1200">
                                    <a:solidFill>
                                      <a:schemeClr val="accent2">
                                        <a:lumMod val="50000"/>
                                      </a:schemeClr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900" b="0" i="0" kern="1200">
                                    <a:solidFill>
                                      <a:schemeClr val="accent2">
                                        <a:lumMod val="50000"/>
                                      </a:schemeClr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A</m:t>
                                </m:r>
                              </m:e>
                              <m:sub>
                                <m:r>
                                  <a:rPr lang="en-US" sz="900" b="0" i="0" kern="1200">
                                    <a:solidFill>
                                      <a:schemeClr val="accent2">
                                        <a:lumMod val="50000"/>
                                      </a:schemeClr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40</m:t>
                                </m:r>
                              </m:sub>
                            </m:sSub>
                          </m:den>
                        </m:f>
                        <m:nary>
                          <m:naryPr>
                            <m:chr m:val="∑"/>
                            <m:ctrlPr>
                              <a:rPr lang="en-US" sz="900" i="1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sty m:val="p"/>
                                <m:brk m:alnAt="23"/>
                              </m:rPr>
                              <a:rPr lang="en-US" sz="900" i="0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i</m:t>
                            </m:r>
                            <m:r>
                              <a:rPr lang="en-US" sz="900" i="0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en-US" sz="900" i="0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n</m:t>
                            </m:r>
                            <m:r>
                              <a:rPr lang="en-US" sz="900" i="0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sup>
                          <m:e>
                            <m:r>
                              <m:rPr>
                                <m:sty m:val="p"/>
                              </m:rPr>
                              <a:rPr lang="en-US" sz="900" i="0" kern="1200">
                                <a:solidFill>
                                  <a:schemeClr val="accent2">
                                    <a:lumMod val="50000"/>
                                  </a:schemeClr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π</m:t>
                            </m:r>
                            <m:sSup>
                              <m:sSupPr>
                                <m:ctrlPr>
                                  <a:rPr lang="en-US" sz="900" i="1" kern="1200">
                                    <a:solidFill>
                                      <a:schemeClr val="accent2">
                                        <a:lumMod val="50000"/>
                                      </a:schemeClr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900" i="1" kern="1200">
                                        <a:solidFill>
                                          <a:schemeClr val="accent2">
                                            <a:lumMod val="50000"/>
                                          </a:schemeClr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900" i="1" kern="1200">
                                            <a:solidFill>
                                              <a:schemeClr val="accent2">
                                                <a:lumMod val="50000"/>
                                              </a:schemeClr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sty m:val="p"/>
                                          </m:rPr>
                                          <a:rPr lang="en-US" sz="900" kern="1200">
                                            <a:solidFill>
                                              <a:schemeClr val="accent2">
                                                <a:lumMod val="50000"/>
                                              </a:schemeClr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d</m:t>
                                        </m:r>
                                      </m:num>
                                      <m:den>
                                        <m:r>
                                          <a:rPr lang="en-US" sz="900" kern="1200">
                                            <a:solidFill>
                                              <a:schemeClr val="accent2">
                                                <a:lumMod val="50000"/>
                                              </a:schemeClr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200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lang="en-US" sz="900" kern="1200">
                                    <a:solidFill>
                                      <a:schemeClr val="accent2">
                                        <a:lumMod val="50000"/>
                                      </a:schemeClr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nary>
                  </m:oMath>
                </m:oMathPara>
              </a14:m>
              <a:endParaRPr lang="en-US" sz="900">
                <a:latin typeface="+mn-lt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1" name="TextBox 1"/>
            <xdr:cNvSpPr txBox="1"/>
          </xdr:nvSpPr>
          <xdr:spPr>
            <a:xfrm>
              <a:off x="10376650" y="12528711"/>
              <a:ext cx="2545724" cy="33241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9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en-US" sz="900" i="0" kern="120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10000/A_</a:t>
              </a:r>
              <a:r>
                <a:rPr lang="en-US" sz="900" b="0" i="0" kern="120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30  </a:t>
              </a:r>
              <a:r>
                <a:rPr lang="en-US" sz="900" i="0" kern="120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∑_(i=1)^n1</a:t>
              </a:r>
              <a:r>
                <a:rPr lang="en-US" sz="900" i="0" kern="1200">
                  <a:solidFill>
                    <a:schemeClr val="accent2">
                      <a:lumMod val="50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▒</a:t>
              </a:r>
              <a:r>
                <a:rPr lang="en-US" sz="900" i="0" kern="120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〖π(d/200)^2</a:t>
              </a:r>
              <a:r>
                <a:rPr lang="en-US" sz="900" b="0" i="0" kern="12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en-US" sz="900" i="0" kern="1200">
                  <a:solidFill>
                    <a:schemeClr val="accent2">
                      <a:lumMod val="50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10000/</a:t>
              </a:r>
              <a:r>
                <a:rPr lang="en-US" sz="900" b="0" i="0" kern="1200">
                  <a:solidFill>
                    <a:schemeClr val="accent2">
                      <a:lumMod val="50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A_40  ∑_(</a:t>
              </a:r>
              <a:r>
                <a:rPr lang="en-US" sz="900" i="0" kern="1200">
                  <a:solidFill>
                    <a:schemeClr val="accent2">
                      <a:lumMod val="50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i=1)^n1▒〖π(d/200)^2 〗</a:t>
              </a:r>
              <a:r>
                <a:rPr lang="en-US" sz="900" i="0" kern="120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</a:t>
              </a:r>
              <a:endParaRPr lang="en-US" sz="900">
                <a:latin typeface="+mn-lt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28</xdr:col>
      <xdr:colOff>0</xdr:colOff>
      <xdr:row>10</xdr:row>
      <xdr:rowOff>0</xdr:rowOff>
    </xdr:from>
    <xdr:to>
      <xdr:col>35</xdr:col>
      <xdr:colOff>259080</xdr:colOff>
      <xdr:row>36</xdr:row>
      <xdr:rowOff>64770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40105</xdr:colOff>
      <xdr:row>66</xdr:row>
      <xdr:rowOff>112294</xdr:rowOff>
    </xdr:from>
    <xdr:to>
      <xdr:col>22</xdr:col>
      <xdr:colOff>162409</xdr:colOff>
      <xdr:row>67</xdr:row>
      <xdr:rowOff>54232</xdr:rowOff>
    </xdr:to>
    <xdr:pic>
      <xdr:nvPicPr>
        <xdr:cNvPr id="18" name="Picture 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91" t="2597"/>
        <a:stretch/>
      </xdr:blipFill>
      <xdr:spPr bwMode="auto">
        <a:xfrm>
          <a:off x="18587185" y="16533394"/>
          <a:ext cx="575756" cy="368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130136</xdr:colOff>
      <xdr:row>61</xdr:row>
      <xdr:rowOff>37406</xdr:rowOff>
    </xdr:from>
    <xdr:to>
      <xdr:col>26</xdr:col>
      <xdr:colOff>11070</xdr:colOff>
      <xdr:row>66</xdr:row>
      <xdr:rowOff>83516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77216" y="15544106"/>
          <a:ext cx="2775285" cy="98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</xdr:colOff>
      <xdr:row>61</xdr:row>
      <xdr:rowOff>0</xdr:rowOff>
    </xdr:from>
    <xdr:to>
      <xdr:col>32</xdr:col>
      <xdr:colOff>1</xdr:colOff>
      <xdr:row>68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22204681" y="15506700"/>
          <a:ext cx="2636520" cy="128016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  <a:extLst/>
      </xdr:spPr>
      <xdr:txBody>
        <a:bodyPr wrap="square" rIns="274320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pt-PT" altLang="en-US" sz="900"/>
            <a:t>As posições A, B e C podem definir-se com base na distância radial limite (Ri) e na distância do operador à árvore (dist):</a:t>
          </a:r>
        </a:p>
        <a:p>
          <a:pPr>
            <a:defRPr/>
          </a:pPr>
          <a:endParaRPr lang="pt-PT" altLang="en-US" sz="800"/>
        </a:p>
        <a:p>
          <a:pPr>
            <a:defRPr/>
          </a:pPr>
          <a:r>
            <a:rPr lang="pt-PT" altLang="en-US" sz="900"/>
            <a:t>A: dist &lt; Ri  </a:t>
          </a:r>
          <a:r>
            <a:rPr lang="pt-PT" altLang="en-US" sz="900">
              <a:sym typeface="Wingdings" panose="05000000000000000000" pitchFamily="2" charset="2"/>
            </a:rPr>
            <a:t> árvore é contada </a:t>
          </a:r>
          <a:r>
            <a:rPr lang="pt-PT" altLang="en-US" sz="900" i="1">
              <a:solidFill>
                <a:schemeClr val="bg1">
                  <a:lumMod val="50000"/>
                </a:schemeClr>
              </a:solidFill>
              <a:sym typeface="Wingdings" panose="05000000000000000000" pitchFamily="2" charset="2"/>
            </a:rPr>
            <a:t>(vale 1)</a:t>
          </a:r>
        </a:p>
        <a:p>
          <a:pPr>
            <a:defRPr/>
          </a:pPr>
          <a:endParaRPr lang="pt-PT" altLang="en-US" sz="800" i="1">
            <a:solidFill>
              <a:schemeClr val="bg1">
                <a:lumMod val="50000"/>
              </a:schemeClr>
            </a:solidFill>
            <a:sym typeface="Wingdings" panose="05000000000000000000" pitchFamily="2" charset="2"/>
          </a:endParaRPr>
        </a:p>
        <a:p>
          <a:pPr>
            <a:defRPr/>
          </a:pPr>
          <a:r>
            <a:rPr lang="pt-PT" altLang="en-US" sz="900"/>
            <a:t>B: dist = Ri  </a:t>
          </a:r>
          <a:r>
            <a:rPr lang="pt-PT" altLang="en-US" sz="900">
              <a:sym typeface="Wingdings" panose="05000000000000000000" pitchFamily="2" charset="2"/>
            </a:rPr>
            <a:t> árvore na posição limite </a:t>
          </a:r>
          <a:r>
            <a:rPr lang="pt-PT" altLang="en-US" sz="900" i="1">
              <a:solidFill>
                <a:schemeClr val="bg1">
                  <a:lumMod val="50000"/>
                </a:schemeClr>
              </a:solidFill>
              <a:sym typeface="Wingdings" panose="05000000000000000000" pitchFamily="2" charset="2"/>
            </a:rPr>
            <a:t>(vale 1/2)</a:t>
          </a:r>
          <a:r>
            <a:rPr lang="pt-PT" altLang="en-US" sz="900">
              <a:sym typeface="Wingdings" panose="05000000000000000000" pitchFamily="2" charset="2"/>
            </a:rPr>
            <a:t> </a:t>
          </a:r>
        </a:p>
        <a:p>
          <a:pPr>
            <a:defRPr/>
          </a:pPr>
          <a:endParaRPr lang="pt-PT" altLang="en-US" sz="800"/>
        </a:p>
        <a:p>
          <a:pPr>
            <a:defRPr/>
          </a:pPr>
          <a:r>
            <a:rPr lang="pt-PT" altLang="en-US" sz="900"/>
            <a:t>C: dist &gt; Ri  </a:t>
          </a:r>
          <a:r>
            <a:rPr lang="pt-PT" altLang="en-US" sz="900">
              <a:sym typeface="Wingdings" panose="05000000000000000000" pitchFamily="2" charset="2"/>
            </a:rPr>
            <a:t> árvore não é contada </a:t>
          </a:r>
          <a:r>
            <a:rPr lang="pt-PT" altLang="en-US" sz="900" i="1">
              <a:solidFill>
                <a:schemeClr val="bg1">
                  <a:lumMod val="50000"/>
                </a:schemeClr>
              </a:solidFill>
              <a:sym typeface="Wingdings" panose="05000000000000000000" pitchFamily="2" charset="2"/>
            </a:rPr>
            <a:t>(vale 0)</a:t>
          </a:r>
          <a:endParaRPr lang="pt-PT" altLang="en-US" sz="900">
            <a:sym typeface="Wingdings" panose="05000000000000000000" pitchFamily="2" charset="2"/>
          </a:endParaRPr>
        </a:p>
      </xdr:txBody>
    </xdr:sp>
    <xdr:clientData/>
  </xdr:twoCellAnchor>
  <xdr:twoCellAnchor editAs="oneCell">
    <xdr:from>
      <xdr:col>25</xdr:col>
      <xdr:colOff>497304</xdr:colOff>
      <xdr:row>61</xdr:row>
      <xdr:rowOff>96319</xdr:rowOff>
    </xdr:from>
    <xdr:to>
      <xdr:col>26</xdr:col>
      <xdr:colOff>565863</xdr:colOff>
      <xdr:row>63</xdr:row>
      <xdr:rowOff>69581</xdr:rowOff>
    </xdr:to>
    <xdr:pic>
      <xdr:nvPicPr>
        <xdr:cNvPr id="27" name="Picture 2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9" r="14751"/>
        <a:stretch/>
      </xdr:blipFill>
      <xdr:spPr bwMode="auto">
        <a:xfrm>
          <a:off x="21482784" y="15603019"/>
          <a:ext cx="678160" cy="346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518945</xdr:colOff>
      <xdr:row>65</xdr:row>
      <xdr:rowOff>24064</xdr:rowOff>
    </xdr:from>
    <xdr:to>
      <xdr:col>26</xdr:col>
      <xdr:colOff>564206</xdr:colOff>
      <xdr:row>66</xdr:row>
      <xdr:rowOff>292452</xdr:rowOff>
    </xdr:to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75566"/>
        <a:stretch/>
      </xdr:blipFill>
      <xdr:spPr>
        <a:xfrm>
          <a:off x="21504425" y="16262284"/>
          <a:ext cx="654862" cy="458888"/>
        </a:xfrm>
        <a:prstGeom prst="rect">
          <a:avLst/>
        </a:prstGeom>
      </xdr:spPr>
    </xdr:pic>
    <xdr:clientData/>
  </xdr:twoCellAnchor>
  <xdr:twoCellAnchor>
    <xdr:from>
      <xdr:col>26</xdr:col>
      <xdr:colOff>226785</xdr:colOff>
      <xdr:row>63</xdr:row>
      <xdr:rowOff>77201</xdr:rowOff>
    </xdr:from>
    <xdr:to>
      <xdr:col>26</xdr:col>
      <xdr:colOff>236777</xdr:colOff>
      <xdr:row>65</xdr:row>
      <xdr:rowOff>24064</xdr:rowOff>
    </xdr:to>
    <xdr:cxnSp macro="">
      <xdr:nvCxnSpPr>
        <xdr:cNvPr id="29" name="Straight Arrow Connector 28"/>
        <xdr:cNvCxnSpPr>
          <a:stCxn id="27" idx="2"/>
          <a:endCxn id="28" idx="0"/>
        </xdr:cNvCxnSpPr>
      </xdr:nvCxnSpPr>
      <xdr:spPr>
        <a:xfrm>
          <a:off x="21821865" y="15949661"/>
          <a:ext cx="9992" cy="3126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104422</xdr:colOff>
      <xdr:row>62</xdr:row>
      <xdr:rowOff>94916</xdr:rowOff>
    </xdr:from>
    <xdr:to>
      <xdr:col>24</xdr:col>
      <xdr:colOff>106626</xdr:colOff>
      <xdr:row>65</xdr:row>
      <xdr:rowOff>107244</xdr:rowOff>
    </xdr:to>
    <xdr:cxnSp macro="">
      <xdr:nvCxnSpPr>
        <xdr:cNvPr id="30" name="Straight Connector 29"/>
        <xdr:cNvCxnSpPr>
          <a:cxnSpLocks noChangeShapeType="1"/>
        </xdr:cNvCxnSpPr>
      </xdr:nvCxnSpPr>
      <xdr:spPr bwMode="auto">
        <a:xfrm flipH="1">
          <a:off x="20480302" y="15784496"/>
          <a:ext cx="2204" cy="560968"/>
        </a:xfrm>
        <a:prstGeom prst="line">
          <a:avLst/>
        </a:prstGeom>
        <a:noFill/>
        <a:ln w="38100" algn="ctr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39511</xdr:colOff>
      <xdr:row>66</xdr:row>
      <xdr:rowOff>2824</xdr:rowOff>
    </xdr:from>
    <xdr:to>
      <xdr:col>24</xdr:col>
      <xdr:colOff>101600</xdr:colOff>
      <xdr:row>66</xdr:row>
      <xdr:rowOff>5645</xdr:rowOff>
    </xdr:to>
    <xdr:cxnSp macro="">
      <xdr:nvCxnSpPr>
        <xdr:cNvPr id="31" name="Straight Connector 30"/>
        <xdr:cNvCxnSpPr>
          <a:cxnSpLocks noChangeShapeType="1"/>
        </xdr:cNvCxnSpPr>
      </xdr:nvCxnSpPr>
      <xdr:spPr bwMode="auto">
        <a:xfrm flipV="1">
          <a:off x="19805791" y="16423924"/>
          <a:ext cx="671689" cy="2821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379961</xdr:colOff>
      <xdr:row>66</xdr:row>
      <xdr:rowOff>11289</xdr:rowOff>
    </xdr:from>
    <xdr:to>
      <xdr:col>22</xdr:col>
      <xdr:colOff>417688</xdr:colOff>
      <xdr:row>66</xdr:row>
      <xdr:rowOff>19393</xdr:rowOff>
    </xdr:to>
    <xdr:cxnSp macro="">
      <xdr:nvCxnSpPr>
        <xdr:cNvPr id="32" name="Straight Connector 31"/>
        <xdr:cNvCxnSpPr>
          <a:cxnSpLocks noChangeShapeType="1"/>
        </xdr:cNvCxnSpPr>
      </xdr:nvCxnSpPr>
      <xdr:spPr bwMode="auto">
        <a:xfrm flipV="1">
          <a:off x="18927041" y="16432389"/>
          <a:ext cx="647327" cy="8104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386644</xdr:colOff>
      <xdr:row>64</xdr:row>
      <xdr:rowOff>9733</xdr:rowOff>
    </xdr:from>
    <xdr:to>
      <xdr:col>22</xdr:col>
      <xdr:colOff>233962</xdr:colOff>
      <xdr:row>64</xdr:row>
      <xdr:rowOff>14112</xdr:rowOff>
    </xdr:to>
    <xdr:cxnSp macro="">
      <xdr:nvCxnSpPr>
        <xdr:cNvPr id="33" name="Straight Connector 32"/>
        <xdr:cNvCxnSpPr>
          <a:cxnSpLocks noChangeShapeType="1"/>
        </xdr:cNvCxnSpPr>
      </xdr:nvCxnSpPr>
      <xdr:spPr bwMode="auto">
        <a:xfrm flipV="1">
          <a:off x="18933724" y="16065073"/>
          <a:ext cx="456918" cy="4379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233923</xdr:colOff>
      <xdr:row>63</xdr:row>
      <xdr:rowOff>100981</xdr:rowOff>
    </xdr:from>
    <xdr:to>
      <xdr:col>22</xdr:col>
      <xdr:colOff>237066</xdr:colOff>
      <xdr:row>64</xdr:row>
      <xdr:rowOff>98778</xdr:rowOff>
    </xdr:to>
    <xdr:cxnSp macro="">
      <xdr:nvCxnSpPr>
        <xdr:cNvPr id="34" name="Straight Connector 33"/>
        <xdr:cNvCxnSpPr>
          <a:cxnSpLocks noChangeShapeType="1"/>
        </xdr:cNvCxnSpPr>
      </xdr:nvCxnSpPr>
      <xdr:spPr bwMode="auto">
        <a:xfrm>
          <a:off x="19390603" y="15973441"/>
          <a:ext cx="3143" cy="180677"/>
        </a:xfrm>
        <a:prstGeom prst="line">
          <a:avLst/>
        </a:prstGeom>
        <a:noFill/>
        <a:ln w="38100" algn="ctr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_Backup/Susana/Aulas/2021-2022_Inventatio/aula_parce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_327"/>
    </sheetNames>
    <sheetDataSet>
      <sheetData sheetId="0">
        <row r="5">
          <cell r="E5">
            <v>2.5</v>
          </cell>
          <cell r="F5">
            <v>28.2</v>
          </cell>
        </row>
        <row r="6">
          <cell r="E6">
            <v>-1.1000000000000001</v>
          </cell>
          <cell r="F6">
            <v>20.5</v>
          </cell>
        </row>
        <row r="7">
          <cell r="E7">
            <v>-13.9</v>
          </cell>
          <cell r="F7">
            <v>7.1</v>
          </cell>
        </row>
        <row r="8">
          <cell r="E8">
            <v>-6</v>
          </cell>
          <cell r="F8">
            <v>1.7</v>
          </cell>
        </row>
        <row r="9">
          <cell r="E9">
            <v>-2.1</v>
          </cell>
          <cell r="F9">
            <v>-9.1999999999999993</v>
          </cell>
        </row>
        <row r="10">
          <cell r="E10">
            <v>-2.4</v>
          </cell>
          <cell r="F10">
            <v>-19.399999999999999</v>
          </cell>
        </row>
        <row r="11">
          <cell r="E11">
            <v>6.3</v>
          </cell>
          <cell r="F11">
            <v>-21.9</v>
          </cell>
        </row>
        <row r="12">
          <cell r="E12">
            <v>18.5</v>
          </cell>
          <cell r="F12">
            <v>-6</v>
          </cell>
        </row>
        <row r="13">
          <cell r="E13">
            <v>-16.3</v>
          </cell>
          <cell r="F13">
            <v>-16.3</v>
          </cell>
        </row>
        <row r="14">
          <cell r="E14">
            <v>-18.899999999999999</v>
          </cell>
          <cell r="F14">
            <v>-21</v>
          </cell>
        </row>
        <row r="15">
          <cell r="E15">
            <v>-39.5</v>
          </cell>
          <cell r="F15">
            <v>-2.8</v>
          </cell>
        </row>
        <row r="16">
          <cell r="E16">
            <v>-37.700000000000003</v>
          </cell>
          <cell r="F16">
            <v>-20</v>
          </cell>
        </row>
        <row r="17">
          <cell r="E17">
            <v>-26.9</v>
          </cell>
          <cell r="F17">
            <v>-27.8</v>
          </cell>
        </row>
        <row r="18">
          <cell r="E18">
            <v>-19.7</v>
          </cell>
          <cell r="F18">
            <v>-42.1</v>
          </cell>
        </row>
        <row r="19">
          <cell r="E19">
            <v>2.6</v>
          </cell>
          <cell r="F19">
            <v>-36.799999999999997</v>
          </cell>
        </row>
        <row r="20">
          <cell r="E20">
            <v>7.5</v>
          </cell>
          <cell r="F20">
            <v>-53.5</v>
          </cell>
        </row>
        <row r="21">
          <cell r="E21">
            <v>26.4</v>
          </cell>
          <cell r="F21">
            <v>-31.5</v>
          </cell>
        </row>
        <row r="22">
          <cell r="E22">
            <v>26.8</v>
          </cell>
          <cell r="F22">
            <v>-20.2</v>
          </cell>
        </row>
        <row r="23">
          <cell r="E23">
            <v>39.700000000000003</v>
          </cell>
          <cell r="F23">
            <v>-41.1</v>
          </cell>
        </row>
        <row r="24">
          <cell r="E24">
            <v>47</v>
          </cell>
          <cell r="F24">
            <v>-17.100000000000001</v>
          </cell>
        </row>
        <row r="25">
          <cell r="E25">
            <v>19.399999999999999</v>
          </cell>
          <cell r="F25">
            <v>-19.399999999999999</v>
          </cell>
        </row>
        <row r="26">
          <cell r="E26">
            <v>-35.5</v>
          </cell>
          <cell r="F26">
            <v>0</v>
          </cell>
        </row>
        <row r="27">
          <cell r="E27">
            <v>-4.0999999999999996</v>
          </cell>
          <cell r="F27">
            <v>38.700000000000003</v>
          </cell>
        </row>
        <row r="28">
          <cell r="E28">
            <v>5.7</v>
          </cell>
          <cell r="F28">
            <v>13.4</v>
          </cell>
        </row>
        <row r="29">
          <cell r="E29">
            <v>30.7</v>
          </cell>
          <cell r="F29">
            <v>-2.7</v>
          </cell>
        </row>
        <row r="30">
          <cell r="E30">
            <v>30</v>
          </cell>
          <cell r="F30">
            <v>-14.6</v>
          </cell>
        </row>
        <row r="31">
          <cell r="E31">
            <v>10.3</v>
          </cell>
          <cell r="F31">
            <v>-31.6</v>
          </cell>
        </row>
        <row r="32">
          <cell r="E32">
            <v>4</v>
          </cell>
          <cell r="F32">
            <v>-13.8</v>
          </cell>
        </row>
        <row r="33">
          <cell r="E33">
            <v>-1.6</v>
          </cell>
          <cell r="F33">
            <v>-0.1</v>
          </cell>
        </row>
        <row r="34">
          <cell r="E34">
            <v>-9.8000000000000007</v>
          </cell>
          <cell r="F34">
            <v>15.7</v>
          </cell>
        </row>
        <row r="35">
          <cell r="E35">
            <v>-9.8000000000000007</v>
          </cell>
          <cell r="F35">
            <v>30.1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9"/>
  <sheetViews>
    <sheetView topLeftCell="J16" zoomScale="85" zoomScaleNormal="85" workbookViewId="0">
      <selection activeCell="X48" sqref="X48"/>
    </sheetView>
  </sheetViews>
  <sheetFormatPr defaultRowHeight="14.4" x14ac:dyDescent="0.3"/>
  <cols>
    <col min="2" max="2" width="10.21875" customWidth="1"/>
    <col min="11" max="11" width="4.5546875" style="85" customWidth="1"/>
    <col min="19" max="19" width="8.6640625" customWidth="1"/>
    <col min="24" max="24" width="4.44140625" customWidth="1"/>
  </cols>
  <sheetData>
    <row r="2" spans="9:37" ht="14.4" customHeight="1" x14ac:dyDescent="0.3">
      <c r="I2" s="185" t="s">
        <v>44</v>
      </c>
      <c r="J2" s="185"/>
      <c r="K2" s="185"/>
      <c r="M2" s="80"/>
      <c r="N2" s="80"/>
      <c r="R2" s="80"/>
      <c r="S2" s="80"/>
      <c r="U2" s="80"/>
      <c r="V2" s="80"/>
      <c r="W2" s="80"/>
      <c r="X2" s="80"/>
    </row>
    <row r="3" spans="9:37" x14ac:dyDescent="0.3">
      <c r="I3" s="185"/>
      <c r="J3" s="185"/>
      <c r="K3" s="185"/>
      <c r="M3" s="80"/>
      <c r="N3" s="80"/>
      <c r="R3" s="80"/>
      <c r="S3" s="80"/>
      <c r="U3" s="80"/>
      <c r="V3" s="80"/>
      <c r="W3" s="80"/>
      <c r="X3" s="80"/>
    </row>
    <row r="4" spans="9:37" x14ac:dyDescent="0.3">
      <c r="I4" s="185"/>
      <c r="J4" s="185"/>
      <c r="K4" s="185"/>
      <c r="M4" s="80"/>
      <c r="N4" s="80"/>
      <c r="R4" s="80"/>
      <c r="S4" s="80"/>
      <c r="U4" s="80"/>
      <c r="V4" s="80"/>
      <c r="W4" s="80"/>
      <c r="X4" s="80"/>
    </row>
    <row r="5" spans="9:37" x14ac:dyDescent="0.3">
      <c r="I5" s="185"/>
      <c r="J5" s="185"/>
      <c r="K5" s="185"/>
      <c r="M5" s="80"/>
      <c r="N5" s="80"/>
      <c r="R5" s="80"/>
      <c r="S5" s="80"/>
      <c r="U5" s="80"/>
      <c r="V5" s="80"/>
      <c r="W5" s="80"/>
      <c r="X5" s="80"/>
    </row>
    <row r="6" spans="9:37" x14ac:dyDescent="0.3">
      <c r="I6" s="185"/>
      <c r="J6" s="185"/>
      <c r="K6" s="185"/>
      <c r="M6" s="80"/>
      <c r="N6" s="80"/>
      <c r="R6" s="80"/>
      <c r="S6" s="80"/>
      <c r="U6" s="80"/>
      <c r="V6" s="80"/>
      <c r="W6" s="80"/>
      <c r="X6" s="80"/>
    </row>
    <row r="7" spans="9:37" x14ac:dyDescent="0.3">
      <c r="I7" s="185"/>
      <c r="J7" s="185"/>
      <c r="K7" s="185"/>
      <c r="M7" s="80"/>
      <c r="N7" s="80"/>
      <c r="R7" s="80"/>
      <c r="S7" s="80"/>
      <c r="U7" s="80"/>
      <c r="V7" s="80"/>
      <c r="W7" s="80"/>
      <c r="X7" s="80"/>
    </row>
    <row r="8" spans="9:37" x14ac:dyDescent="0.3">
      <c r="I8" s="185"/>
      <c r="J8" s="185"/>
      <c r="K8" s="185"/>
      <c r="M8" s="80"/>
      <c r="N8" s="80"/>
      <c r="R8" s="80"/>
      <c r="S8" s="80"/>
      <c r="U8" s="80"/>
      <c r="V8" s="80"/>
      <c r="W8" s="80"/>
      <c r="X8" s="80"/>
    </row>
    <row r="9" spans="9:37" x14ac:dyDescent="0.3">
      <c r="I9" s="185"/>
      <c r="J9" s="185"/>
      <c r="K9" s="185"/>
      <c r="M9" s="80"/>
      <c r="N9" s="80"/>
      <c r="R9" s="80"/>
      <c r="S9" s="80"/>
      <c r="U9" s="80"/>
      <c r="V9" s="80"/>
      <c r="W9" s="80"/>
      <c r="X9" s="80"/>
    </row>
    <row r="10" spans="9:37" x14ac:dyDescent="0.3">
      <c r="I10" s="185"/>
      <c r="J10" s="185"/>
      <c r="K10" s="185"/>
      <c r="M10" s="80"/>
      <c r="N10" s="80"/>
      <c r="R10" s="80"/>
      <c r="S10" s="80"/>
      <c r="U10" s="80"/>
      <c r="V10" s="80"/>
      <c r="W10" s="80"/>
      <c r="X10" s="80"/>
    </row>
    <row r="11" spans="9:37" x14ac:dyDescent="0.3">
      <c r="I11" s="185"/>
      <c r="J11" s="185"/>
      <c r="K11" s="185"/>
      <c r="M11" s="80"/>
      <c r="N11" s="80"/>
      <c r="R11" s="80"/>
      <c r="S11" s="80"/>
      <c r="U11" s="80"/>
      <c r="V11" s="80"/>
      <c r="W11" s="80"/>
      <c r="X11" s="80"/>
    </row>
    <row r="12" spans="9:37" x14ac:dyDescent="0.3">
      <c r="I12" s="81"/>
      <c r="J12" s="81"/>
      <c r="K12" s="82"/>
      <c r="L12" s="81"/>
      <c r="M12" s="81"/>
      <c r="N12" s="81"/>
      <c r="O12" s="81"/>
      <c r="P12" s="81"/>
      <c r="Q12" s="81"/>
      <c r="R12" s="81"/>
      <c r="S12" s="81"/>
      <c r="U12" s="81"/>
      <c r="V12" s="81"/>
      <c r="W12" s="81"/>
      <c r="X12" s="81"/>
    </row>
    <row r="13" spans="9:37" x14ac:dyDescent="0.3">
      <c r="I13" s="185" t="s">
        <v>45</v>
      </c>
      <c r="J13" s="185"/>
      <c r="K13" s="185"/>
      <c r="M13" s="80"/>
      <c r="N13" s="80"/>
      <c r="R13" s="80"/>
      <c r="S13" s="80"/>
      <c r="U13" s="80"/>
      <c r="V13" s="80"/>
      <c r="W13" s="80"/>
      <c r="X13" s="80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</row>
    <row r="14" spans="9:37" x14ac:dyDescent="0.3">
      <c r="I14" s="185"/>
      <c r="J14" s="185"/>
      <c r="K14" s="185"/>
      <c r="M14" s="80"/>
      <c r="N14" s="80"/>
      <c r="R14" s="80"/>
      <c r="S14" s="80"/>
      <c r="U14" s="80"/>
      <c r="V14" s="80"/>
      <c r="W14" s="80"/>
      <c r="X14" s="80"/>
      <c r="Z14" s="83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</row>
    <row r="15" spans="9:37" x14ac:dyDescent="0.3">
      <c r="I15" s="185"/>
      <c r="J15" s="185"/>
      <c r="K15" s="185"/>
      <c r="M15" s="80"/>
      <c r="N15" s="80"/>
      <c r="R15" s="80"/>
      <c r="S15" s="80"/>
      <c r="U15" s="80"/>
      <c r="V15" s="80"/>
      <c r="W15" s="80"/>
      <c r="X15" s="80"/>
      <c r="Z15" s="83"/>
      <c r="AA15" s="187"/>
      <c r="AB15" s="187"/>
      <c r="AC15" s="84"/>
      <c r="AD15" s="187"/>
      <c r="AE15" s="187"/>
      <c r="AF15" s="187"/>
      <c r="AG15" s="187"/>
      <c r="AH15" s="187"/>
      <c r="AI15" s="187"/>
      <c r="AJ15" s="187"/>
      <c r="AK15" s="187"/>
    </row>
    <row r="16" spans="9:37" x14ac:dyDescent="0.3">
      <c r="I16" s="185"/>
      <c r="J16" s="185"/>
      <c r="K16" s="185"/>
      <c r="M16" s="80"/>
      <c r="N16" s="80"/>
      <c r="R16" s="80"/>
      <c r="S16" s="80"/>
      <c r="U16" s="80"/>
      <c r="V16" s="80"/>
      <c r="W16" s="80"/>
      <c r="X16" s="80"/>
      <c r="Z16" s="83"/>
      <c r="AA16" s="187"/>
      <c r="AB16" s="187"/>
      <c r="AC16" s="84"/>
      <c r="AD16" s="84"/>
      <c r="AE16" s="84"/>
      <c r="AF16" s="84"/>
      <c r="AG16" s="84"/>
      <c r="AH16" s="84"/>
      <c r="AI16" s="84"/>
      <c r="AJ16" s="84"/>
      <c r="AK16" s="84"/>
    </row>
    <row r="17" spans="1:37" ht="15.6" customHeight="1" x14ac:dyDescent="0.3">
      <c r="I17" s="185"/>
      <c r="J17" s="185"/>
      <c r="K17" s="185"/>
      <c r="M17" s="80"/>
      <c r="N17" s="80"/>
      <c r="R17" s="80"/>
      <c r="S17" s="80"/>
      <c r="U17" s="80"/>
      <c r="V17" s="80"/>
      <c r="W17" s="80"/>
      <c r="X17" s="80"/>
      <c r="AG17" s="84"/>
      <c r="AH17" s="84"/>
      <c r="AI17" s="84"/>
      <c r="AJ17" s="84"/>
      <c r="AK17" s="84"/>
    </row>
    <row r="18" spans="1:37" ht="15.6" customHeight="1" x14ac:dyDescent="0.3">
      <c r="I18" s="185"/>
      <c r="J18" s="185"/>
      <c r="K18" s="185"/>
      <c r="M18" s="80"/>
      <c r="N18" s="80"/>
      <c r="R18" s="80"/>
      <c r="S18" s="80"/>
      <c r="U18" s="80"/>
      <c r="V18" s="80"/>
      <c r="W18" s="80"/>
      <c r="X18" s="80"/>
      <c r="AG18" s="84"/>
      <c r="AH18" s="84"/>
      <c r="AI18" s="84"/>
      <c r="AJ18" s="84"/>
      <c r="AK18" s="84"/>
    </row>
    <row r="19" spans="1:37" x14ac:dyDescent="0.3">
      <c r="I19" s="185"/>
      <c r="J19" s="185"/>
      <c r="K19" s="185"/>
      <c r="M19" s="80"/>
      <c r="N19" s="80"/>
      <c r="R19" s="80"/>
      <c r="S19" s="80"/>
      <c r="U19" s="80"/>
      <c r="V19" s="80"/>
      <c r="W19" s="80"/>
      <c r="X19" s="80"/>
      <c r="AG19" s="84"/>
      <c r="AH19" s="84"/>
      <c r="AI19" s="84"/>
      <c r="AJ19" s="84"/>
      <c r="AK19" s="84"/>
    </row>
    <row r="20" spans="1:37" x14ac:dyDescent="0.3">
      <c r="I20" s="185"/>
      <c r="J20" s="185"/>
      <c r="K20" s="185"/>
      <c r="M20" s="80"/>
      <c r="N20" s="80"/>
      <c r="R20" s="80"/>
      <c r="S20" s="80"/>
      <c r="U20" s="80"/>
      <c r="V20" s="80"/>
      <c r="W20" s="80"/>
      <c r="X20" s="80"/>
      <c r="AG20" s="83"/>
      <c r="AH20" s="83"/>
      <c r="AI20" s="83"/>
      <c r="AJ20" s="83"/>
      <c r="AK20" s="83"/>
    </row>
    <row r="21" spans="1:37" x14ac:dyDescent="0.3">
      <c r="I21" s="185"/>
      <c r="J21" s="185"/>
      <c r="K21" s="185"/>
      <c r="M21" s="80"/>
      <c r="N21" s="80"/>
      <c r="R21" s="80"/>
      <c r="S21" s="80"/>
      <c r="U21" s="80"/>
      <c r="V21" s="80"/>
      <c r="W21" s="80"/>
      <c r="X21" s="80"/>
      <c r="AG21" s="83"/>
      <c r="AH21" s="83"/>
      <c r="AI21" s="83"/>
      <c r="AJ21" s="83"/>
      <c r="AK21" s="83"/>
    </row>
    <row r="22" spans="1:37" x14ac:dyDescent="0.3">
      <c r="I22" s="185"/>
      <c r="J22" s="185"/>
      <c r="K22" s="185"/>
      <c r="M22" s="80"/>
      <c r="N22" s="80"/>
      <c r="R22" s="80"/>
      <c r="S22" s="80"/>
      <c r="U22" s="80"/>
      <c r="V22" s="80"/>
      <c r="W22" s="80"/>
      <c r="X22" s="80"/>
      <c r="AG22" s="83"/>
      <c r="AH22" s="83"/>
      <c r="AI22" s="83"/>
      <c r="AJ22" s="83"/>
      <c r="AK22" s="83"/>
    </row>
    <row r="23" spans="1:37" x14ac:dyDescent="0.3">
      <c r="I23" s="81"/>
      <c r="J23" s="81"/>
      <c r="K23" s="82"/>
      <c r="L23" s="81"/>
      <c r="M23" s="81"/>
      <c r="N23" s="81"/>
      <c r="O23" s="81"/>
      <c r="P23" s="81"/>
      <c r="Q23" s="81"/>
      <c r="R23" s="81"/>
      <c r="S23" s="81"/>
      <c r="U23" s="81"/>
      <c r="V23" s="81"/>
      <c r="W23" s="81"/>
      <c r="X23" s="81"/>
      <c r="AG23" s="83"/>
      <c r="AH23" s="83"/>
      <c r="AI23" s="83"/>
      <c r="AJ23" s="83"/>
      <c r="AK23" s="83"/>
    </row>
    <row r="24" spans="1:37" x14ac:dyDescent="0.3">
      <c r="AG24" s="83"/>
      <c r="AH24" s="83"/>
      <c r="AI24" s="83"/>
      <c r="AJ24" s="83"/>
      <c r="AK24" s="83"/>
    </row>
    <row r="26" spans="1:37" x14ac:dyDescent="0.3">
      <c r="B26" t="s">
        <v>46</v>
      </c>
    </row>
    <row r="28" spans="1:37" x14ac:dyDescent="0.3">
      <c r="B28" s="38" t="s">
        <v>47</v>
      </c>
      <c r="C28" s="86">
        <v>10</v>
      </c>
      <c r="D28" s="87" t="s">
        <v>48</v>
      </c>
      <c r="E28" s="88">
        <f>PI()*C28^2</f>
        <v>314.15926535897933</v>
      </c>
      <c r="L28" t="s">
        <v>49</v>
      </c>
      <c r="Y28" t="s">
        <v>50</v>
      </c>
    </row>
    <row r="29" spans="1:37" ht="15" thickBot="1" x14ac:dyDescent="0.35">
      <c r="L29" t="s">
        <v>51</v>
      </c>
      <c r="M29" s="87" t="s">
        <v>48</v>
      </c>
      <c r="N29" s="88">
        <f>PI()*S36^2</f>
        <v>666.17472219371575</v>
      </c>
    </row>
    <row r="30" spans="1:37" ht="15.6" customHeight="1" thickTop="1" thickBot="1" x14ac:dyDescent="0.35">
      <c r="A30" s="89" t="s">
        <v>9</v>
      </c>
      <c r="B30" s="183" t="s">
        <v>1</v>
      </c>
      <c r="C30" s="183" t="s">
        <v>2</v>
      </c>
      <c r="D30" s="183" t="s">
        <v>3</v>
      </c>
      <c r="E30" s="188" t="s">
        <v>52</v>
      </c>
      <c r="F30" s="189"/>
      <c r="G30" s="189"/>
      <c r="H30" s="190"/>
      <c r="I30" s="191" t="s">
        <v>53</v>
      </c>
      <c r="L30" s="183" t="s">
        <v>1</v>
      </c>
      <c r="M30" s="183" t="s">
        <v>2</v>
      </c>
      <c r="N30" s="183" t="s">
        <v>3</v>
      </c>
      <c r="O30" s="188" t="s">
        <v>52</v>
      </c>
      <c r="P30" s="189"/>
      <c r="Q30" s="189"/>
      <c r="R30" s="190"/>
      <c r="S30" s="183" t="s">
        <v>54</v>
      </c>
      <c r="T30" s="191" t="s">
        <v>53</v>
      </c>
      <c r="Z30" s="183" t="s">
        <v>1</v>
      </c>
      <c r="AA30" s="183" t="s">
        <v>2</v>
      </c>
      <c r="AB30" s="183" t="s">
        <v>3</v>
      </c>
      <c r="AC30" s="188" t="s">
        <v>52</v>
      </c>
      <c r="AD30" s="189"/>
      <c r="AE30" s="189"/>
      <c r="AF30" s="190"/>
      <c r="AG30" s="191" t="s">
        <v>53</v>
      </c>
      <c r="AH30">
        <v>22.5</v>
      </c>
      <c r="AI30">
        <v>32.5</v>
      </c>
      <c r="AJ30">
        <v>52.5</v>
      </c>
    </row>
    <row r="31" spans="1:37" ht="15.6" customHeight="1" thickBot="1" x14ac:dyDescent="0.35">
      <c r="B31" s="184"/>
      <c r="C31" s="184"/>
      <c r="D31" s="184"/>
      <c r="E31" s="90" t="s">
        <v>55</v>
      </c>
      <c r="F31" s="90" t="s">
        <v>56</v>
      </c>
      <c r="G31" s="90" t="s">
        <v>57</v>
      </c>
      <c r="H31" s="90" t="s">
        <v>58</v>
      </c>
      <c r="I31" s="192"/>
      <c r="L31" s="184"/>
      <c r="M31" s="184"/>
      <c r="N31" s="184"/>
      <c r="O31" s="90" t="s">
        <v>55</v>
      </c>
      <c r="P31" s="90" t="s">
        <v>56</v>
      </c>
      <c r="Q31" s="90" t="s">
        <v>57</v>
      </c>
      <c r="R31" s="90" t="s">
        <v>58</v>
      </c>
      <c r="S31" s="184"/>
      <c r="T31" s="192"/>
      <c r="Z31" s="184"/>
      <c r="AA31" s="184"/>
      <c r="AB31" s="184"/>
      <c r="AC31" s="90" t="s">
        <v>55</v>
      </c>
      <c r="AD31" s="90" t="s">
        <v>56</v>
      </c>
      <c r="AE31" s="90" t="s">
        <v>57</v>
      </c>
      <c r="AF31" s="90" t="s">
        <v>58</v>
      </c>
      <c r="AG31" s="192"/>
      <c r="AH31" s="7">
        <v>10</v>
      </c>
      <c r="AI31" s="91">
        <v>20</v>
      </c>
      <c r="AJ31" s="92">
        <v>30</v>
      </c>
      <c r="AK31" s="93">
        <v>40</v>
      </c>
    </row>
    <row r="32" spans="1:37" ht="15" thickBot="1" x14ac:dyDescent="0.35">
      <c r="A32" s="85">
        <v>1.6031219541881399</v>
      </c>
      <c r="B32" s="94">
        <v>29</v>
      </c>
      <c r="C32" s="90" t="s">
        <v>8</v>
      </c>
      <c r="D32" s="90">
        <v>48.06</v>
      </c>
      <c r="E32" s="90">
        <v>10.6</v>
      </c>
      <c r="F32" s="90">
        <v>2.2999999999999998</v>
      </c>
      <c r="G32" s="90">
        <v>2.2999999999999998</v>
      </c>
      <c r="H32" s="95" t="s">
        <v>59</v>
      </c>
      <c r="I32" s="96">
        <f>PI()/40000*D32^2</f>
        <v>0.18140840893222784</v>
      </c>
      <c r="K32" s="97">
        <v>1</v>
      </c>
      <c r="L32" s="98">
        <v>29</v>
      </c>
      <c r="M32" s="99" t="s">
        <v>8</v>
      </c>
      <c r="N32" s="99">
        <v>48.06</v>
      </c>
      <c r="O32" s="99">
        <v>10.6</v>
      </c>
      <c r="P32" s="99">
        <v>2.2999999999999998</v>
      </c>
      <c r="Q32" s="99">
        <v>2.2999999999999998</v>
      </c>
      <c r="R32" s="100" t="s">
        <v>59</v>
      </c>
      <c r="S32" s="101" t="s">
        <v>59</v>
      </c>
      <c r="T32" s="102">
        <f>PI()/40000*N32^2</f>
        <v>0.18140840893222784</v>
      </c>
      <c r="X32" s="103"/>
      <c r="Y32" s="104">
        <v>1.6031219541881399</v>
      </c>
      <c r="Z32" s="98">
        <v>29</v>
      </c>
      <c r="AA32" s="99" t="s">
        <v>8</v>
      </c>
      <c r="AB32" s="99">
        <v>48.06</v>
      </c>
      <c r="AC32" s="99">
        <v>10.6</v>
      </c>
      <c r="AD32" s="99">
        <v>2.2999999999999998</v>
      </c>
      <c r="AE32" s="99">
        <v>2.2999999999999998</v>
      </c>
      <c r="AF32" s="99" t="s">
        <v>59</v>
      </c>
      <c r="AG32" s="105">
        <f>PI()/40000*AB32^2</f>
        <v>0.18140840893222784</v>
      </c>
      <c r="AH32" s="106">
        <f>IF(AND(Y32&lt;=$AH31,AB32&lt;$AH30),AG32,0)</f>
        <v>0</v>
      </c>
      <c r="AI32" s="107">
        <f>IF(AND($Y32&lt;=AI$31,$AB32&lt;=AI$30,$AB32&gt;AH$30),$AG32,0)</f>
        <v>0</v>
      </c>
      <c r="AJ32" s="107">
        <f>IF(AND($Y32&lt;=AJ$31,$AB32&lt;=AJ$30,$AB32&gt;AI$30),$AG32,0)</f>
        <v>0.18140840893222784</v>
      </c>
      <c r="AK32" s="107">
        <f>IF(AND($Y32&lt;=AK$31,$AB32&gt;AJ$30),$AG32,0)</f>
        <v>0</v>
      </c>
    </row>
    <row r="33" spans="1:37" ht="15" thickBot="1" x14ac:dyDescent="0.35">
      <c r="A33" s="85">
        <v>6.2361847310675458</v>
      </c>
      <c r="B33" s="94">
        <v>4</v>
      </c>
      <c r="C33" s="90" t="s">
        <v>7</v>
      </c>
      <c r="D33" s="90">
        <v>22.6</v>
      </c>
      <c r="E33" s="90">
        <v>7.1</v>
      </c>
      <c r="F33" s="90">
        <v>2.1</v>
      </c>
      <c r="G33" s="90">
        <v>1.6</v>
      </c>
      <c r="H33" s="95">
        <v>1.5</v>
      </c>
      <c r="I33" s="96">
        <f t="shared" ref="I33:I96" si="0">PI()/40000*D33^2</f>
        <v>4.0114996593688071E-2</v>
      </c>
      <c r="K33" s="97">
        <v>2</v>
      </c>
      <c r="L33" s="98">
        <v>4</v>
      </c>
      <c r="M33" s="99" t="s">
        <v>7</v>
      </c>
      <c r="N33" s="99">
        <v>22.6</v>
      </c>
      <c r="O33" s="99">
        <v>7.1</v>
      </c>
      <c r="P33" s="99">
        <v>2.1</v>
      </c>
      <c r="Q33" s="99">
        <v>1.6</v>
      </c>
      <c r="R33" s="100">
        <v>1.5</v>
      </c>
      <c r="S33" s="98" t="s">
        <v>59</v>
      </c>
      <c r="T33" s="102">
        <f>PI()/40000*N33^2</f>
        <v>4.0114996593688071E-2</v>
      </c>
      <c r="X33" s="103"/>
      <c r="Y33" s="104">
        <v>6.2361847310675458</v>
      </c>
      <c r="Z33" s="98">
        <v>4</v>
      </c>
      <c r="AA33" s="99" t="s">
        <v>7</v>
      </c>
      <c r="AB33" s="99">
        <v>22.6</v>
      </c>
      <c r="AC33" s="99">
        <v>7.1</v>
      </c>
      <c r="AD33" s="99">
        <v>2.1</v>
      </c>
      <c r="AE33" s="99">
        <v>1.6</v>
      </c>
      <c r="AF33" s="99">
        <v>1.5</v>
      </c>
      <c r="AG33" s="105">
        <f t="shared" ref="AG33:AG40" si="1">PI()/40000*AB33^2</f>
        <v>4.0114996593688071E-2</v>
      </c>
      <c r="AH33" s="106">
        <f t="shared" ref="AH33:AH40" si="2">IF(AND(Y33&lt;=$AH32,AB33&lt;$AH31),AG33,0)</f>
        <v>0</v>
      </c>
      <c r="AI33" s="107">
        <f t="shared" ref="AI33:AJ40" si="3">IF(AND($Y33&lt;=AI$31,$AB33&lt;=AI$30,$AB33&gt;AH$30),$AG33,0)</f>
        <v>4.0114996593688071E-2</v>
      </c>
      <c r="AJ33" s="107">
        <f t="shared" si="3"/>
        <v>0</v>
      </c>
      <c r="AK33" s="107">
        <f t="shared" ref="AK33:AK40" si="4">IF(AND($Y33&lt;=AK$31,$AB33&gt;AJ$30),$AG33,0)</f>
        <v>0</v>
      </c>
    </row>
    <row r="34" spans="1:37" ht="15" thickBot="1" x14ac:dyDescent="0.35">
      <c r="A34" s="85">
        <v>9.4366307546708637</v>
      </c>
      <c r="B34" s="94">
        <v>5</v>
      </c>
      <c r="C34" s="90" t="s">
        <v>7</v>
      </c>
      <c r="D34" s="90">
        <v>44.56</v>
      </c>
      <c r="E34" s="90">
        <v>8.8000000000000007</v>
      </c>
      <c r="F34" s="90">
        <v>3</v>
      </c>
      <c r="G34" s="90">
        <v>1.4</v>
      </c>
      <c r="H34" s="95">
        <v>2.7</v>
      </c>
      <c r="I34" s="96">
        <f t="shared" si="0"/>
        <v>0.15594815666937276</v>
      </c>
      <c r="K34" s="97">
        <v>3</v>
      </c>
      <c r="L34" s="98">
        <v>5</v>
      </c>
      <c r="M34" s="99" t="s">
        <v>7</v>
      </c>
      <c r="N34" s="99">
        <v>44.56</v>
      </c>
      <c r="O34" s="99">
        <v>8.8000000000000007</v>
      </c>
      <c r="P34" s="99">
        <v>3</v>
      </c>
      <c r="Q34" s="99">
        <v>1.4</v>
      </c>
      <c r="R34" s="100">
        <v>2.7</v>
      </c>
      <c r="S34" s="98" t="s">
        <v>59</v>
      </c>
      <c r="T34" s="102">
        <f>PI()/40000*N34^2</f>
        <v>0.15594815666937276</v>
      </c>
      <c r="X34" s="103"/>
      <c r="Y34" s="104">
        <v>9.4366307546708637</v>
      </c>
      <c r="Z34" s="98">
        <v>5</v>
      </c>
      <c r="AA34" s="99" t="s">
        <v>7</v>
      </c>
      <c r="AB34" s="99">
        <v>44.56</v>
      </c>
      <c r="AC34" s="99">
        <v>8.8000000000000007</v>
      </c>
      <c r="AD34" s="99">
        <v>3</v>
      </c>
      <c r="AE34" s="99">
        <v>1.4</v>
      </c>
      <c r="AF34" s="99">
        <v>2.7</v>
      </c>
      <c r="AG34" s="105">
        <f t="shared" si="1"/>
        <v>0.15594815666937276</v>
      </c>
      <c r="AH34" s="106">
        <f t="shared" si="2"/>
        <v>0</v>
      </c>
      <c r="AI34" s="107">
        <f t="shared" si="3"/>
        <v>0</v>
      </c>
      <c r="AJ34" s="107">
        <f t="shared" si="3"/>
        <v>0.15594815666937276</v>
      </c>
      <c r="AK34" s="107">
        <f t="shared" si="4"/>
        <v>0</v>
      </c>
    </row>
    <row r="35" spans="1:37" ht="16.8" thickBot="1" x14ac:dyDescent="0.35">
      <c r="A35" s="85"/>
      <c r="B35" s="84"/>
      <c r="C35" s="108"/>
      <c r="D35" s="84"/>
      <c r="E35" s="109"/>
      <c r="F35" s="109"/>
      <c r="G35" s="110"/>
      <c r="H35" t="s">
        <v>60</v>
      </c>
      <c r="I35" s="96">
        <f>SUM(I32:I34)</f>
        <v>0.37747156219528866</v>
      </c>
      <c r="K35" s="97">
        <v>4</v>
      </c>
      <c r="L35" s="98">
        <v>28</v>
      </c>
      <c r="M35" s="99" t="s">
        <v>8</v>
      </c>
      <c r="N35" s="99">
        <v>13.69</v>
      </c>
      <c r="O35" s="99">
        <v>4.2</v>
      </c>
      <c r="P35" s="99">
        <v>1.5</v>
      </c>
      <c r="Q35" s="99">
        <v>1.5</v>
      </c>
      <c r="R35" s="100" t="s">
        <v>59</v>
      </c>
      <c r="S35" s="98" t="s">
        <v>59</v>
      </c>
      <c r="T35" s="102">
        <f>PI()/40000*N35^2</f>
        <v>1.4719626073111251E-2</v>
      </c>
      <c r="V35" s="111" t="s">
        <v>61</v>
      </c>
      <c r="W35" s="112">
        <f>(5-1)/5</f>
        <v>0.8</v>
      </c>
      <c r="Y35" s="104">
        <v>14.56193668438371</v>
      </c>
      <c r="Z35" s="98">
        <v>24</v>
      </c>
      <c r="AA35" s="99" t="s">
        <v>8</v>
      </c>
      <c r="AB35" s="99">
        <v>25.46</v>
      </c>
      <c r="AC35" s="99">
        <v>6.9</v>
      </c>
      <c r="AD35" s="99">
        <v>2.1</v>
      </c>
      <c r="AE35" s="99">
        <v>2.1</v>
      </c>
      <c r="AF35" s="99" t="s">
        <v>59</v>
      </c>
      <c r="AG35" s="105">
        <f t="shared" si="1"/>
        <v>5.0910420013292143E-2</v>
      </c>
      <c r="AH35" s="106">
        <f t="shared" si="2"/>
        <v>0</v>
      </c>
      <c r="AI35" s="107">
        <f t="shared" si="3"/>
        <v>5.0910420013292143E-2</v>
      </c>
      <c r="AJ35" s="107">
        <f t="shared" si="3"/>
        <v>0</v>
      </c>
      <c r="AK35" s="107">
        <f t="shared" si="4"/>
        <v>0</v>
      </c>
    </row>
    <row r="36" spans="1:37" ht="16.8" thickBot="1" x14ac:dyDescent="0.35">
      <c r="A36" s="85"/>
      <c r="B36" s="84"/>
      <c r="C36" s="108"/>
      <c r="D36" s="84"/>
      <c r="E36" s="113"/>
      <c r="F36" s="113"/>
      <c r="G36" s="110"/>
      <c r="H36" s="114" t="s">
        <v>62</v>
      </c>
      <c r="I36" s="96">
        <f>I35*10000/E28</f>
        <v>12.015293</v>
      </c>
      <c r="K36" s="97">
        <v>5</v>
      </c>
      <c r="L36" s="98">
        <v>24</v>
      </c>
      <c r="M36" s="99" t="s">
        <v>8</v>
      </c>
      <c r="N36" s="99">
        <v>25.46</v>
      </c>
      <c r="O36" s="99">
        <v>6.9</v>
      </c>
      <c r="P36" s="99">
        <v>2.1</v>
      </c>
      <c r="Q36" s="99">
        <v>2.1</v>
      </c>
      <c r="R36" s="100" t="s">
        <v>59</v>
      </c>
      <c r="S36" s="98">
        <v>14.56193668438371</v>
      </c>
      <c r="T36" s="115">
        <f>PI()/40000*N36^2</f>
        <v>5.0910420013292143E-2</v>
      </c>
      <c r="U36" s="116">
        <f>SUM(T32:T36)</f>
        <v>0.44310160828169204</v>
      </c>
      <c r="V36" s="117" t="s">
        <v>63</v>
      </c>
      <c r="Y36" s="104">
        <v>15.608331108738051</v>
      </c>
      <c r="Z36" s="98">
        <v>3</v>
      </c>
      <c r="AA36" s="99" t="s">
        <v>7</v>
      </c>
      <c r="AB36" s="99">
        <v>34.06</v>
      </c>
      <c r="AC36" s="99">
        <v>9.3000000000000007</v>
      </c>
      <c r="AD36" s="99">
        <v>3.1</v>
      </c>
      <c r="AE36" s="99">
        <v>2.9</v>
      </c>
      <c r="AF36" s="99">
        <v>2.2000000000000002</v>
      </c>
      <c r="AG36" s="105">
        <f t="shared" si="1"/>
        <v>9.1112752882750017E-2</v>
      </c>
      <c r="AH36" s="106">
        <f t="shared" si="2"/>
        <v>0</v>
      </c>
      <c r="AI36" s="107">
        <f t="shared" si="3"/>
        <v>0</v>
      </c>
      <c r="AJ36" s="107">
        <f t="shared" si="3"/>
        <v>9.1112752882750017E-2</v>
      </c>
      <c r="AK36" s="107">
        <f t="shared" si="4"/>
        <v>0</v>
      </c>
    </row>
    <row r="37" spans="1:37" ht="16.8" thickBot="1" x14ac:dyDescent="0.35">
      <c r="A37" s="85"/>
      <c r="B37" s="38" t="s">
        <v>47</v>
      </c>
      <c r="C37" s="86">
        <v>20</v>
      </c>
      <c r="D37" s="87" t="s">
        <v>48</v>
      </c>
      <c r="E37" s="88">
        <f>PI()*C37^2</f>
        <v>1256.6370614359173</v>
      </c>
      <c r="F37" s="113"/>
      <c r="G37" s="110"/>
      <c r="I37" s="118"/>
      <c r="U37">
        <f>U36*10000/N29*W35</f>
        <v>5.3211458618250402</v>
      </c>
      <c r="V37" s="117" t="s">
        <v>64</v>
      </c>
      <c r="Y37" s="104">
        <v>19.448650338776723</v>
      </c>
      <c r="Z37" s="98">
        <v>8</v>
      </c>
      <c r="AA37" s="99" t="s">
        <v>7</v>
      </c>
      <c r="AB37" s="99">
        <v>60.8</v>
      </c>
      <c r="AC37" s="99">
        <v>14</v>
      </c>
      <c r="AD37" s="99">
        <v>2.4</v>
      </c>
      <c r="AE37" s="99">
        <v>2.2000000000000002</v>
      </c>
      <c r="AF37" s="99">
        <v>3.4</v>
      </c>
      <c r="AG37" s="105">
        <f>PI()/40000*AB37^2</f>
        <v>0.29033342667415429</v>
      </c>
      <c r="AH37" s="106">
        <f t="shared" si="2"/>
        <v>0</v>
      </c>
      <c r="AI37" s="107">
        <f t="shared" si="3"/>
        <v>0</v>
      </c>
      <c r="AJ37" s="107">
        <f t="shared" si="3"/>
        <v>0</v>
      </c>
      <c r="AK37" s="107">
        <f t="shared" si="4"/>
        <v>0.29033342667415429</v>
      </c>
    </row>
    <row r="38" spans="1:37" ht="15" thickBot="1" x14ac:dyDescent="0.35">
      <c r="A38" s="85"/>
      <c r="B38" s="84"/>
      <c r="C38" s="108"/>
      <c r="D38" s="84"/>
      <c r="E38" s="109"/>
      <c r="F38" s="109"/>
      <c r="G38" s="110"/>
      <c r="I38" s="118"/>
      <c r="L38" t="s">
        <v>65</v>
      </c>
      <c r="M38" s="87" t="s">
        <v>48</v>
      </c>
      <c r="N38" s="88">
        <f>PI()*(AVERAGE(S45:S46))^2</f>
        <v>712.70779366681222</v>
      </c>
      <c r="Y38" s="104">
        <v>19.547889911701468</v>
      </c>
      <c r="Z38" s="98">
        <v>6</v>
      </c>
      <c r="AA38" s="99" t="s">
        <v>7</v>
      </c>
      <c r="AB38" s="99">
        <v>44.88</v>
      </c>
      <c r="AC38" s="99">
        <v>7.8</v>
      </c>
      <c r="AD38" s="99">
        <v>2.4</v>
      </c>
      <c r="AE38" s="99">
        <v>1.9</v>
      </c>
      <c r="AF38" s="99">
        <v>2.4</v>
      </c>
      <c r="AG38" s="105">
        <f t="shared" si="1"/>
        <v>0.15819602904486935</v>
      </c>
      <c r="AH38" s="106">
        <f t="shared" si="2"/>
        <v>0</v>
      </c>
      <c r="AI38" s="107">
        <f t="shared" si="3"/>
        <v>0</v>
      </c>
      <c r="AJ38" s="107">
        <f t="shared" si="3"/>
        <v>0.15819602904486935</v>
      </c>
      <c r="AK38" s="107">
        <f t="shared" si="4"/>
        <v>0</v>
      </c>
    </row>
    <row r="39" spans="1:37" ht="15.6" thickTop="1" thickBot="1" x14ac:dyDescent="0.35">
      <c r="A39" s="85"/>
      <c r="B39" s="183" t="s">
        <v>1</v>
      </c>
      <c r="C39" s="183" t="s">
        <v>2</v>
      </c>
      <c r="D39" s="183" t="s">
        <v>3</v>
      </c>
      <c r="E39" s="188" t="s">
        <v>52</v>
      </c>
      <c r="F39" s="189"/>
      <c r="G39" s="189"/>
      <c r="H39" s="190"/>
      <c r="I39" s="191" t="s">
        <v>53</v>
      </c>
      <c r="L39" s="183" t="s">
        <v>1</v>
      </c>
      <c r="M39" s="183" t="s">
        <v>2</v>
      </c>
      <c r="N39" s="183" t="s">
        <v>3</v>
      </c>
      <c r="O39" s="188" t="s">
        <v>52</v>
      </c>
      <c r="P39" s="189"/>
      <c r="Q39" s="189"/>
      <c r="R39" s="190"/>
      <c r="S39" s="183" t="s">
        <v>54</v>
      </c>
      <c r="T39" s="191" t="s">
        <v>53</v>
      </c>
      <c r="Y39" s="104">
        <v>20.529490982486632</v>
      </c>
      <c r="Z39" s="98">
        <v>2</v>
      </c>
      <c r="AA39" s="99" t="s">
        <v>7</v>
      </c>
      <c r="AB39" s="99">
        <v>42.02</v>
      </c>
      <c r="AC39" s="99">
        <v>9.8000000000000007</v>
      </c>
      <c r="AD39" s="99">
        <v>3</v>
      </c>
      <c r="AE39" s="99">
        <v>3.1</v>
      </c>
      <c r="AF39" s="99">
        <v>3.6</v>
      </c>
      <c r="AG39" s="105">
        <f t="shared" si="1"/>
        <v>0.13867621433068719</v>
      </c>
      <c r="AH39" s="106">
        <f t="shared" si="2"/>
        <v>0</v>
      </c>
      <c r="AI39" s="107">
        <f t="shared" si="3"/>
        <v>0</v>
      </c>
      <c r="AJ39" s="107">
        <f t="shared" si="3"/>
        <v>0.13867621433068719</v>
      </c>
      <c r="AK39" s="107">
        <f t="shared" si="4"/>
        <v>0</v>
      </c>
    </row>
    <row r="40" spans="1:37" ht="15" thickBot="1" x14ac:dyDescent="0.35">
      <c r="A40" s="85"/>
      <c r="B40" s="184"/>
      <c r="C40" s="184"/>
      <c r="D40" s="184"/>
      <c r="E40" s="90" t="s">
        <v>55</v>
      </c>
      <c r="F40" s="90" t="s">
        <v>56</v>
      </c>
      <c r="G40" s="90" t="s">
        <v>57</v>
      </c>
      <c r="H40" s="90" t="s">
        <v>58</v>
      </c>
      <c r="I40" s="192"/>
      <c r="L40" s="184"/>
      <c r="M40" s="184"/>
      <c r="N40" s="184"/>
      <c r="O40" s="90" t="s">
        <v>55</v>
      </c>
      <c r="P40" s="90" t="s">
        <v>56</v>
      </c>
      <c r="Q40" s="90" t="s">
        <v>57</v>
      </c>
      <c r="R40" s="90" t="s">
        <v>58</v>
      </c>
      <c r="S40" s="184"/>
      <c r="T40" s="192"/>
      <c r="Y40" s="104">
        <v>36.891733491393431</v>
      </c>
      <c r="Z40" s="98">
        <v>15</v>
      </c>
      <c r="AA40" s="99" t="s">
        <v>7</v>
      </c>
      <c r="AB40" s="99">
        <v>58.25</v>
      </c>
      <c r="AC40" s="99">
        <v>7.7</v>
      </c>
      <c r="AD40" s="99">
        <v>1.8</v>
      </c>
      <c r="AE40" s="99">
        <v>1.6</v>
      </c>
      <c r="AF40" s="99">
        <v>3.6</v>
      </c>
      <c r="AG40" s="105">
        <f t="shared" si="1"/>
        <v>0.26649050557927545</v>
      </c>
      <c r="AH40" s="106">
        <f t="shared" si="2"/>
        <v>0</v>
      </c>
      <c r="AI40" s="107">
        <f t="shared" si="3"/>
        <v>0</v>
      </c>
      <c r="AJ40" s="107">
        <f t="shared" si="3"/>
        <v>0</v>
      </c>
      <c r="AK40" s="107">
        <f t="shared" si="4"/>
        <v>0.26649050557927545</v>
      </c>
    </row>
    <row r="41" spans="1:37" ht="16.8" thickBot="1" x14ac:dyDescent="0.35">
      <c r="A41" s="85">
        <v>1.6031219541881399</v>
      </c>
      <c r="B41" s="94">
        <v>29</v>
      </c>
      <c r="C41" s="90" t="s">
        <v>8</v>
      </c>
      <c r="D41" s="90">
        <v>48.06</v>
      </c>
      <c r="E41" s="90">
        <v>10.6</v>
      </c>
      <c r="F41" s="90">
        <v>2.2999999999999998</v>
      </c>
      <c r="G41" s="90">
        <v>2.2999999999999998</v>
      </c>
      <c r="H41" s="95" t="s">
        <v>59</v>
      </c>
      <c r="I41" s="96">
        <f t="shared" si="0"/>
        <v>0.18140840893222784</v>
      </c>
      <c r="K41" s="97">
        <v>1</v>
      </c>
      <c r="L41" s="98">
        <v>29</v>
      </c>
      <c r="M41" s="99" t="s">
        <v>8</v>
      </c>
      <c r="N41" s="99">
        <v>48.06</v>
      </c>
      <c r="O41" s="99">
        <v>10.6</v>
      </c>
      <c r="P41" s="99">
        <v>2.2999999999999998</v>
      </c>
      <c r="Q41" s="99">
        <v>2.2999999999999998</v>
      </c>
      <c r="R41" s="100" t="s">
        <v>59</v>
      </c>
      <c r="S41" s="101" t="s">
        <v>59</v>
      </c>
      <c r="T41" s="102">
        <f>PI()/40000*N41^2</f>
        <v>0.18140840893222784</v>
      </c>
      <c r="Y41" s="83"/>
      <c r="Z41" s="83"/>
      <c r="AA41" s="83"/>
      <c r="AB41" s="83"/>
      <c r="AC41" s="83"/>
      <c r="AD41" s="83"/>
      <c r="AE41" s="83"/>
      <c r="AF41" s="83"/>
      <c r="AG41" t="s">
        <v>60</v>
      </c>
      <c r="AH41" s="119">
        <f>SUM(AH32:AH40)</f>
        <v>0</v>
      </c>
      <c r="AI41" s="119">
        <f>SUM(AI32:AI40)</f>
        <v>9.1025416606980214E-2</v>
      </c>
      <c r="AJ41" s="119">
        <f>SUM(AJ32:AJ40)</f>
        <v>0.72534156185990717</v>
      </c>
      <c r="AK41" s="119">
        <f>SUM(AK32:AK40)</f>
        <v>0.55682393225342974</v>
      </c>
    </row>
    <row r="42" spans="1:37" ht="17.399999999999999" thickBot="1" x14ac:dyDescent="0.35">
      <c r="A42" s="85">
        <v>6.2361847310675458</v>
      </c>
      <c r="B42" s="94">
        <v>4</v>
      </c>
      <c r="C42" s="90" t="s">
        <v>7</v>
      </c>
      <c r="D42" s="90">
        <v>22.6</v>
      </c>
      <c r="E42" s="90">
        <v>7.1</v>
      </c>
      <c r="F42" s="90">
        <v>2.1</v>
      </c>
      <c r="G42" s="90">
        <v>1.6</v>
      </c>
      <c r="H42" s="95">
        <v>1.5</v>
      </c>
      <c r="I42" s="96">
        <f t="shared" si="0"/>
        <v>4.0114996593688071E-2</v>
      </c>
      <c r="K42" s="97">
        <v>2</v>
      </c>
      <c r="L42" s="98">
        <v>4</v>
      </c>
      <c r="M42" s="99" t="s">
        <v>7</v>
      </c>
      <c r="N42" s="99">
        <v>22.6</v>
      </c>
      <c r="O42" s="99">
        <v>7.1</v>
      </c>
      <c r="P42" s="99">
        <v>2.1</v>
      </c>
      <c r="Q42" s="99">
        <v>1.6</v>
      </c>
      <c r="R42" s="100">
        <v>1.5</v>
      </c>
      <c r="S42" s="98" t="s">
        <v>59</v>
      </c>
      <c r="T42" s="102">
        <f>PI()/40000*N42^2</f>
        <v>4.0114996593688071E-2</v>
      </c>
      <c r="Y42" s="83"/>
      <c r="Z42" s="83"/>
      <c r="AA42" s="83"/>
      <c r="AB42" s="83"/>
      <c r="AC42" s="83"/>
      <c r="AD42" s="83"/>
      <c r="AE42" s="83"/>
      <c r="AF42" s="83"/>
      <c r="AG42" s="84" t="s">
        <v>66</v>
      </c>
      <c r="AH42" s="106">
        <f>PI()*AH31^2</f>
        <v>314.15926535897933</v>
      </c>
      <c r="AI42" s="106">
        <f>PI()*AI31^2</f>
        <v>1256.6370614359173</v>
      </c>
      <c r="AJ42" s="106">
        <f>PI()*AJ31^2</f>
        <v>2827.4333882308138</v>
      </c>
      <c r="AK42" s="106">
        <f>PI()*AK31^2</f>
        <v>5026.5482457436692</v>
      </c>
    </row>
    <row r="43" spans="1:37" ht="15" thickBot="1" x14ac:dyDescent="0.35">
      <c r="A43" s="85">
        <v>9.4366307546708637</v>
      </c>
      <c r="B43" s="94">
        <v>5</v>
      </c>
      <c r="C43" s="90" t="s">
        <v>7</v>
      </c>
      <c r="D43" s="90">
        <v>44.56</v>
      </c>
      <c r="E43" s="90">
        <v>8.8000000000000007</v>
      </c>
      <c r="F43" s="90">
        <v>3</v>
      </c>
      <c r="G43" s="90">
        <v>1.4</v>
      </c>
      <c r="H43" s="95">
        <v>2.7</v>
      </c>
      <c r="I43" s="96">
        <f t="shared" si="0"/>
        <v>0.15594815666937276</v>
      </c>
      <c r="K43" s="97">
        <v>3</v>
      </c>
      <c r="L43" s="98">
        <v>5</v>
      </c>
      <c r="M43" s="99" t="s">
        <v>7</v>
      </c>
      <c r="N43" s="99">
        <v>44.56</v>
      </c>
      <c r="O43" s="99">
        <v>8.8000000000000007</v>
      </c>
      <c r="P43" s="99">
        <v>3</v>
      </c>
      <c r="Q43" s="99">
        <v>1.4</v>
      </c>
      <c r="R43" s="100">
        <v>2.7</v>
      </c>
      <c r="S43" s="98" t="s">
        <v>59</v>
      </c>
      <c r="T43" s="102">
        <f>PI()/40000*N43^2</f>
        <v>0.15594815666937276</v>
      </c>
      <c r="Y43" s="83"/>
      <c r="Z43" s="84"/>
      <c r="AA43" s="84"/>
      <c r="AB43" s="84"/>
      <c r="AC43" s="84"/>
      <c r="AD43" s="84"/>
      <c r="AE43" s="84"/>
      <c r="AF43" s="84"/>
      <c r="AG43" s="84"/>
      <c r="AH43" s="106">
        <f>AH41*10000/AH42</f>
        <v>0</v>
      </c>
      <c r="AI43" s="106">
        <f>AI41*10000/AI42</f>
        <v>0.72435725000000006</v>
      </c>
      <c r="AJ43" s="106">
        <f>AJ41*10000/AJ42</f>
        <v>2.5653710000000003</v>
      </c>
      <c r="AK43" s="106">
        <f>AK41*10000/AK42</f>
        <v>1.107766015625</v>
      </c>
    </row>
    <row r="44" spans="1:37" ht="16.2" thickBot="1" x14ac:dyDescent="0.35">
      <c r="A44" s="85">
        <v>14.368020044529448</v>
      </c>
      <c r="B44" s="94">
        <v>28</v>
      </c>
      <c r="C44" s="90" t="s">
        <v>8</v>
      </c>
      <c r="D44" s="90">
        <v>13.69</v>
      </c>
      <c r="E44" s="90">
        <v>4.2</v>
      </c>
      <c r="F44" s="90">
        <v>1.5</v>
      </c>
      <c r="G44" s="90">
        <v>1.5</v>
      </c>
      <c r="H44" s="95" t="s">
        <v>59</v>
      </c>
      <c r="I44" s="96">
        <f t="shared" si="0"/>
        <v>1.4719626073111251E-2</v>
      </c>
      <c r="K44" s="97">
        <v>4</v>
      </c>
      <c r="L44" s="98">
        <v>28</v>
      </c>
      <c r="M44" s="99" t="s">
        <v>8</v>
      </c>
      <c r="N44" s="99">
        <v>13.69</v>
      </c>
      <c r="O44" s="99">
        <v>4.2</v>
      </c>
      <c r="P44" s="99">
        <v>1.5</v>
      </c>
      <c r="Q44" s="99">
        <v>1.5</v>
      </c>
      <c r="R44" s="100" t="s">
        <v>59</v>
      </c>
      <c r="S44" s="98" t="s">
        <v>59</v>
      </c>
      <c r="T44" s="102">
        <f>PI()/40000*N44^2</f>
        <v>1.4719626073111251E-2</v>
      </c>
      <c r="Y44" s="83"/>
      <c r="Z44" s="84"/>
      <c r="AA44" s="84"/>
      <c r="AB44" s="84"/>
      <c r="AC44" s="84"/>
      <c r="AD44" s="84"/>
      <c r="AE44" s="84"/>
      <c r="AF44" s="84"/>
      <c r="AG44" s="114" t="s">
        <v>62</v>
      </c>
      <c r="AH44" s="120">
        <f>SUM(AH43:AK43)</f>
        <v>4.3974942656250002</v>
      </c>
      <c r="AI44" s="88"/>
      <c r="AJ44" s="88"/>
      <c r="AK44" s="88"/>
    </row>
    <row r="45" spans="1:37" ht="16.8" thickBot="1" x14ac:dyDescent="0.35">
      <c r="A45" s="85">
        <v>14.56193668438371</v>
      </c>
      <c r="B45" s="94">
        <v>24</v>
      </c>
      <c r="C45" s="90" t="s">
        <v>8</v>
      </c>
      <c r="D45" s="90">
        <v>25.46</v>
      </c>
      <c r="E45" s="90">
        <v>6.9</v>
      </c>
      <c r="F45" s="90">
        <v>2.1</v>
      </c>
      <c r="G45" s="90">
        <v>2.1</v>
      </c>
      <c r="H45" s="95" t="s">
        <v>59</v>
      </c>
      <c r="I45" s="96">
        <f t="shared" si="0"/>
        <v>5.0910420013292143E-2</v>
      </c>
      <c r="K45" s="97">
        <v>5</v>
      </c>
      <c r="L45" s="98">
        <v>24</v>
      </c>
      <c r="M45" s="99" t="s">
        <v>8</v>
      </c>
      <c r="N45" s="99">
        <v>25.46</v>
      </c>
      <c r="O45" s="99">
        <v>6.9</v>
      </c>
      <c r="P45" s="99">
        <v>2.1</v>
      </c>
      <c r="Q45" s="99">
        <v>2.1</v>
      </c>
      <c r="R45" s="100" t="s">
        <v>59</v>
      </c>
      <c r="S45" s="121">
        <v>14.56193668438371</v>
      </c>
      <c r="T45" s="115">
        <f>PI()/40000*N45^2</f>
        <v>5.0910420013292143E-2</v>
      </c>
      <c r="U45" s="118">
        <f>SUM(T41:T45)</f>
        <v>0.44310160828169204</v>
      </c>
      <c r="V45" s="117" t="s">
        <v>63</v>
      </c>
      <c r="Y45" s="83"/>
      <c r="Z45" s="84"/>
      <c r="AA45" s="84"/>
      <c r="AB45" s="84"/>
      <c r="AC45" s="84"/>
      <c r="AD45" s="84"/>
      <c r="AE45" s="84"/>
      <c r="AF45" s="84"/>
      <c r="AH45" s="1"/>
    </row>
    <row r="46" spans="1:37" ht="16.8" thickBot="1" x14ac:dyDescent="0.35">
      <c r="A46" s="85">
        <v>15.608331108738051</v>
      </c>
      <c r="B46" s="94">
        <v>3</v>
      </c>
      <c r="C46" s="90" t="s">
        <v>7</v>
      </c>
      <c r="D46" s="90">
        <v>34.06</v>
      </c>
      <c r="E46" s="90">
        <v>9.3000000000000007</v>
      </c>
      <c r="F46" s="90">
        <v>3.1</v>
      </c>
      <c r="G46" s="90">
        <v>2.9</v>
      </c>
      <c r="H46" s="95">
        <v>2.2000000000000002</v>
      </c>
      <c r="I46" s="96">
        <f t="shared" si="0"/>
        <v>9.1112752882750017E-2</v>
      </c>
      <c r="K46" s="97">
        <v>6</v>
      </c>
      <c r="L46" s="98">
        <v>3</v>
      </c>
      <c r="M46" s="90" t="s">
        <v>7</v>
      </c>
      <c r="N46" s="100" t="s">
        <v>59</v>
      </c>
      <c r="O46" s="100" t="s">
        <v>59</v>
      </c>
      <c r="P46" s="100" t="s">
        <v>59</v>
      </c>
      <c r="Q46" s="100" t="s">
        <v>59</v>
      </c>
      <c r="R46" s="100" t="s">
        <v>59</v>
      </c>
      <c r="S46" s="121">
        <v>15.561936684383699</v>
      </c>
      <c r="U46" s="88">
        <f>U45*10000/N38</f>
        <v>6.2171567677403576</v>
      </c>
      <c r="V46" s="117" t="s">
        <v>64</v>
      </c>
      <c r="Y46" s="83"/>
      <c r="Z46" s="84"/>
      <c r="AA46" s="84"/>
      <c r="AB46" s="84"/>
      <c r="AC46" s="84"/>
      <c r="AD46" s="84"/>
      <c r="AE46" s="84"/>
      <c r="AF46" s="84"/>
      <c r="AG46" s="84"/>
      <c r="AH46" s="1"/>
    </row>
    <row r="47" spans="1:37" ht="15" thickBot="1" x14ac:dyDescent="0.35">
      <c r="A47" s="85">
        <v>18.507566020414462</v>
      </c>
      <c r="B47" s="94">
        <v>30</v>
      </c>
      <c r="C47" s="90" t="s">
        <v>8</v>
      </c>
      <c r="D47" s="90">
        <v>18.46</v>
      </c>
      <c r="E47" s="90">
        <v>5.5</v>
      </c>
      <c r="F47" s="90">
        <v>1.7</v>
      </c>
      <c r="G47" s="90">
        <v>1.7</v>
      </c>
      <c r="H47" s="95" t="s">
        <v>59</v>
      </c>
      <c r="I47" s="96">
        <f t="shared" si="0"/>
        <v>2.6764138877800991E-2</v>
      </c>
      <c r="Y47" s="83"/>
      <c r="Z47" s="84"/>
      <c r="AA47" s="84"/>
      <c r="AB47" s="84"/>
      <c r="AC47" s="84"/>
      <c r="AD47" s="84"/>
      <c r="AE47" s="84"/>
      <c r="AF47" s="84"/>
      <c r="AG47" s="84"/>
      <c r="AH47" s="1"/>
    </row>
    <row r="48" spans="1:37" ht="15" thickBot="1" x14ac:dyDescent="0.35">
      <c r="A48" s="85">
        <v>19.448650338776723</v>
      </c>
      <c r="B48" s="94">
        <v>8</v>
      </c>
      <c r="C48" s="90" t="s">
        <v>7</v>
      </c>
      <c r="D48" s="90">
        <v>60.8</v>
      </c>
      <c r="E48" s="90">
        <v>14</v>
      </c>
      <c r="F48" s="90">
        <v>2.4</v>
      </c>
      <c r="G48" s="90">
        <v>2.2000000000000002</v>
      </c>
      <c r="H48" s="95">
        <v>3.4</v>
      </c>
      <c r="I48" s="96">
        <f t="shared" si="0"/>
        <v>0.29033342667415429</v>
      </c>
      <c r="Y48" s="83"/>
      <c r="Z48" s="84"/>
      <c r="AA48" s="84"/>
      <c r="AB48" s="84"/>
      <c r="AC48" s="84"/>
      <c r="AD48" s="84"/>
      <c r="AE48" s="84"/>
      <c r="AF48" s="84"/>
      <c r="AG48" s="84"/>
      <c r="AH48" s="1"/>
    </row>
    <row r="49" spans="1:36" ht="15" thickBot="1" x14ac:dyDescent="0.35">
      <c r="A49" s="85">
        <v>19.547889911701468</v>
      </c>
      <c r="B49" s="94">
        <v>6</v>
      </c>
      <c r="C49" s="90" t="s">
        <v>7</v>
      </c>
      <c r="D49" s="90">
        <v>44.88</v>
      </c>
      <c r="E49" s="90">
        <v>7.8</v>
      </c>
      <c r="F49" s="90">
        <v>2.4</v>
      </c>
      <c r="G49" s="90">
        <v>1.9</v>
      </c>
      <c r="H49" s="95">
        <v>2.4</v>
      </c>
      <c r="I49" s="96">
        <f t="shared" si="0"/>
        <v>0.15819602904486935</v>
      </c>
      <c r="L49" t="s">
        <v>67</v>
      </c>
      <c r="Y49" s="83"/>
      <c r="Z49" s="84"/>
      <c r="AA49" s="84"/>
      <c r="AB49" s="84"/>
      <c r="AC49" s="84"/>
      <c r="AD49" s="84"/>
      <c r="AE49" s="84"/>
      <c r="AF49" s="84"/>
      <c r="AG49" s="84"/>
      <c r="AH49" s="1"/>
    </row>
    <row r="50" spans="1:36" ht="16.8" thickBot="1" x14ac:dyDescent="0.35">
      <c r="A50" s="85"/>
      <c r="B50" s="84"/>
      <c r="C50" s="108"/>
      <c r="D50" s="84"/>
      <c r="E50" s="122"/>
      <c r="F50" s="122"/>
      <c r="G50" s="110"/>
      <c r="H50" t="s">
        <v>60</v>
      </c>
      <c r="I50" s="96">
        <f>SUM(I41:I49)</f>
        <v>1.0095079557612667</v>
      </c>
      <c r="L50" t="s">
        <v>51</v>
      </c>
      <c r="M50" s="87" t="s">
        <v>48</v>
      </c>
      <c r="N50" s="88">
        <f>PI()*S62^2</f>
        <v>1324.0556397819498</v>
      </c>
      <c r="Y50" s="83"/>
      <c r="Z50" s="84"/>
      <c r="AA50" s="84"/>
      <c r="AB50" s="84"/>
      <c r="AC50" s="84"/>
      <c r="AD50" s="84"/>
      <c r="AE50" s="84"/>
      <c r="AF50" s="84"/>
      <c r="AG50" s="84"/>
      <c r="AH50" s="1"/>
    </row>
    <row r="51" spans="1:36" ht="16.8" thickTop="1" thickBot="1" x14ac:dyDescent="0.35">
      <c r="A51" s="85"/>
      <c r="B51" s="38" t="s">
        <v>47</v>
      </c>
      <c r="C51" s="86">
        <v>30</v>
      </c>
      <c r="D51" s="87" t="s">
        <v>48</v>
      </c>
      <c r="E51" s="88">
        <f>PI()*C51^2</f>
        <v>2827.4333882308138</v>
      </c>
      <c r="F51" s="122"/>
      <c r="G51" s="110"/>
      <c r="H51" s="114" t="s">
        <v>62</v>
      </c>
      <c r="I51" s="96">
        <f>I50*10000/E37</f>
        <v>8.0334090625000005</v>
      </c>
      <c r="L51" s="193" t="s">
        <v>1</v>
      </c>
      <c r="M51" s="193" t="s">
        <v>2</v>
      </c>
      <c r="N51" s="193" t="s">
        <v>3</v>
      </c>
      <c r="O51" s="195" t="s">
        <v>52</v>
      </c>
      <c r="P51" s="196"/>
      <c r="Q51" s="196"/>
      <c r="R51" s="197"/>
      <c r="S51" s="183" t="s">
        <v>54</v>
      </c>
      <c r="T51" s="191" t="s">
        <v>53</v>
      </c>
      <c r="Y51" s="83"/>
      <c r="Z51" s="84"/>
      <c r="AA51" s="84"/>
      <c r="AB51" s="84"/>
      <c r="AC51" s="84"/>
      <c r="AD51" s="84"/>
      <c r="AE51" s="84"/>
      <c r="AF51" s="84"/>
      <c r="AG51" s="84"/>
      <c r="AH51" s="1"/>
    </row>
    <row r="52" spans="1:36" ht="15" thickBot="1" x14ac:dyDescent="0.35">
      <c r="A52" s="85"/>
      <c r="B52" s="84"/>
      <c r="C52" s="84"/>
      <c r="D52" s="84"/>
      <c r="E52" s="122"/>
      <c r="F52" s="122"/>
      <c r="G52" s="110"/>
      <c r="I52" s="118"/>
      <c r="L52" s="194"/>
      <c r="M52" s="194"/>
      <c r="N52" s="194"/>
      <c r="O52" s="99" t="s">
        <v>55</v>
      </c>
      <c r="P52" s="99" t="s">
        <v>56</v>
      </c>
      <c r="Q52" s="99" t="s">
        <v>57</v>
      </c>
      <c r="R52" s="99" t="s">
        <v>58</v>
      </c>
      <c r="S52" s="184"/>
      <c r="T52" s="192"/>
      <c r="Y52" s="83"/>
      <c r="Z52" s="84"/>
      <c r="AA52" s="84"/>
      <c r="AB52" s="84"/>
      <c r="AC52" s="84"/>
      <c r="AD52" s="84"/>
      <c r="AE52" s="84"/>
      <c r="AF52" s="84"/>
      <c r="AG52" s="84"/>
      <c r="AH52" s="1"/>
    </row>
    <row r="53" spans="1:36" ht="15.6" thickTop="1" thickBot="1" x14ac:dyDescent="0.35">
      <c r="A53" s="85"/>
      <c r="B53" s="183" t="s">
        <v>1</v>
      </c>
      <c r="C53" s="183" t="s">
        <v>2</v>
      </c>
      <c r="D53" s="183" t="s">
        <v>3</v>
      </c>
      <c r="E53" s="188" t="s">
        <v>52</v>
      </c>
      <c r="F53" s="189"/>
      <c r="G53" s="189"/>
      <c r="H53" s="190"/>
      <c r="I53" s="191" t="s">
        <v>53</v>
      </c>
      <c r="K53" s="97">
        <v>1</v>
      </c>
      <c r="L53" s="98">
        <v>29</v>
      </c>
      <c r="M53" s="99" t="s">
        <v>8</v>
      </c>
      <c r="N53" s="99">
        <v>48.06</v>
      </c>
      <c r="O53" s="99">
        <v>10.6</v>
      </c>
      <c r="P53" s="99">
        <v>2.2999999999999998</v>
      </c>
      <c r="Q53" s="99">
        <v>2.2999999999999998</v>
      </c>
      <c r="R53" s="99" t="s">
        <v>59</v>
      </c>
      <c r="S53" s="101" t="s">
        <v>59</v>
      </c>
      <c r="T53" s="102">
        <f>PI()/40000*N53^2</f>
        <v>0.18140840893222784</v>
      </c>
      <c r="Y53" s="83"/>
      <c r="Z53" s="84"/>
      <c r="AA53" s="84"/>
      <c r="AB53" s="84"/>
      <c r="AC53" s="84"/>
      <c r="AD53" s="84"/>
      <c r="AE53" s="84"/>
      <c r="AF53" s="84"/>
      <c r="AG53" s="84"/>
      <c r="AH53" s="1"/>
    </row>
    <row r="54" spans="1:36" ht="15" thickBot="1" x14ac:dyDescent="0.35">
      <c r="A54" s="85"/>
      <c r="B54" s="184"/>
      <c r="C54" s="184"/>
      <c r="D54" s="184"/>
      <c r="E54" s="90" t="s">
        <v>55</v>
      </c>
      <c r="F54" s="90" t="s">
        <v>56</v>
      </c>
      <c r="G54" s="90" t="s">
        <v>57</v>
      </c>
      <c r="H54" s="90" t="s">
        <v>58</v>
      </c>
      <c r="I54" s="192"/>
      <c r="K54" s="97">
        <v>2</v>
      </c>
      <c r="L54" s="98">
        <v>4</v>
      </c>
      <c r="M54" s="99" t="s">
        <v>7</v>
      </c>
      <c r="N54" s="99">
        <v>22.6</v>
      </c>
      <c r="O54" s="99">
        <v>7.1</v>
      </c>
      <c r="P54" s="99">
        <v>2.1</v>
      </c>
      <c r="Q54" s="99">
        <v>1.6</v>
      </c>
      <c r="R54" s="99">
        <v>1.5</v>
      </c>
      <c r="S54" s="98" t="s">
        <v>59</v>
      </c>
      <c r="T54" s="102">
        <f t="shared" ref="T54:T62" si="5">PI()/40000*N54^2</f>
        <v>4.0114996593688071E-2</v>
      </c>
      <c r="Y54" s="83"/>
      <c r="Z54" s="83"/>
      <c r="AA54" s="83"/>
      <c r="AB54" s="83"/>
      <c r="AC54" s="83"/>
      <c r="AD54" s="83"/>
      <c r="AE54" s="83"/>
      <c r="AF54" s="83"/>
      <c r="AG54" s="84"/>
      <c r="AH54" s="84"/>
      <c r="AI54" s="84"/>
      <c r="AJ54" s="84"/>
    </row>
    <row r="55" spans="1:36" ht="15" thickBot="1" x14ac:dyDescent="0.35">
      <c r="A55" s="85">
        <v>1.6031219541881399</v>
      </c>
      <c r="B55" s="94">
        <v>29</v>
      </c>
      <c r="C55" s="90" t="s">
        <v>8</v>
      </c>
      <c r="D55" s="90">
        <v>48.06</v>
      </c>
      <c r="E55" s="90">
        <v>10.6</v>
      </c>
      <c r="F55" s="90">
        <v>2.2999999999999998</v>
      </c>
      <c r="G55" s="90">
        <v>2.2999999999999998</v>
      </c>
      <c r="H55" s="95" t="s">
        <v>59</v>
      </c>
      <c r="I55" s="96">
        <f t="shared" si="0"/>
        <v>0.18140840893222784</v>
      </c>
      <c r="K55" s="97">
        <v>3</v>
      </c>
      <c r="L55" s="98">
        <v>5</v>
      </c>
      <c r="M55" s="99" t="s">
        <v>7</v>
      </c>
      <c r="N55" s="99">
        <v>44.56</v>
      </c>
      <c r="O55" s="99">
        <v>8.8000000000000007</v>
      </c>
      <c r="P55" s="99">
        <v>3</v>
      </c>
      <c r="Q55" s="99">
        <v>1.4</v>
      </c>
      <c r="R55" s="99">
        <v>2.7</v>
      </c>
      <c r="S55" s="98" t="s">
        <v>59</v>
      </c>
      <c r="T55" s="102">
        <f t="shared" si="5"/>
        <v>0.15594815666937276</v>
      </c>
      <c r="Y55" s="83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</row>
    <row r="56" spans="1:36" ht="15" thickBot="1" x14ac:dyDescent="0.35">
      <c r="A56" s="85">
        <v>6.2361847310675458</v>
      </c>
      <c r="B56" s="94">
        <v>4</v>
      </c>
      <c r="C56" s="90" t="s">
        <v>7</v>
      </c>
      <c r="D56" s="90">
        <v>22.6</v>
      </c>
      <c r="E56" s="90">
        <v>7.1</v>
      </c>
      <c r="F56" s="90">
        <v>2.1</v>
      </c>
      <c r="G56" s="90">
        <v>1.6</v>
      </c>
      <c r="H56" s="95">
        <v>1.5</v>
      </c>
      <c r="I56" s="96">
        <f t="shared" si="0"/>
        <v>4.0114996593688071E-2</v>
      </c>
      <c r="K56" s="97">
        <v>4</v>
      </c>
      <c r="L56" s="98">
        <v>28</v>
      </c>
      <c r="M56" s="99" t="s">
        <v>8</v>
      </c>
      <c r="N56" s="99">
        <v>13.69</v>
      </c>
      <c r="O56" s="99">
        <v>4.2</v>
      </c>
      <c r="P56" s="99">
        <v>1.5</v>
      </c>
      <c r="Q56" s="99">
        <v>1.5</v>
      </c>
      <c r="R56" s="99" t="s">
        <v>59</v>
      </c>
      <c r="S56" s="98" t="s">
        <v>59</v>
      </c>
      <c r="T56" s="102">
        <f t="shared" si="5"/>
        <v>1.4719626073111251E-2</v>
      </c>
      <c r="Y56" s="83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</row>
    <row r="57" spans="1:36" ht="15" thickBot="1" x14ac:dyDescent="0.35">
      <c r="A57" s="85">
        <v>9.4366307546708637</v>
      </c>
      <c r="B57" s="94">
        <v>5</v>
      </c>
      <c r="C57" s="90" t="s">
        <v>7</v>
      </c>
      <c r="D57" s="90">
        <v>44.56</v>
      </c>
      <c r="E57" s="90">
        <v>8.8000000000000007</v>
      </c>
      <c r="F57" s="90">
        <v>3</v>
      </c>
      <c r="G57" s="90">
        <v>1.4</v>
      </c>
      <c r="H57" s="95">
        <v>2.7</v>
      </c>
      <c r="I57" s="96">
        <f t="shared" si="0"/>
        <v>0.15594815666937276</v>
      </c>
      <c r="K57" s="97">
        <v>5</v>
      </c>
      <c r="L57" s="98">
        <v>24</v>
      </c>
      <c r="M57" s="99" t="s">
        <v>8</v>
      </c>
      <c r="N57" s="99">
        <v>25.46</v>
      </c>
      <c r="O57" s="99">
        <v>6.9</v>
      </c>
      <c r="P57" s="99">
        <v>2.1</v>
      </c>
      <c r="Q57" s="99">
        <v>2.1</v>
      </c>
      <c r="R57" s="99" t="s">
        <v>59</v>
      </c>
      <c r="S57" s="98" t="s">
        <v>59</v>
      </c>
      <c r="T57" s="102">
        <f t="shared" si="5"/>
        <v>5.0910420013292143E-2</v>
      </c>
      <c r="Y57" s="83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</row>
    <row r="58" spans="1:36" ht="15" thickBot="1" x14ac:dyDescent="0.35">
      <c r="A58" s="85">
        <v>14.368020044529448</v>
      </c>
      <c r="B58" s="94">
        <v>28</v>
      </c>
      <c r="C58" s="90" t="s">
        <v>8</v>
      </c>
      <c r="D58" s="90">
        <v>13.69</v>
      </c>
      <c r="E58" s="90">
        <v>4.2</v>
      </c>
      <c r="F58" s="90">
        <v>1.5</v>
      </c>
      <c r="G58" s="90">
        <v>1.5</v>
      </c>
      <c r="H58" s="95" t="s">
        <v>59</v>
      </c>
      <c r="I58" s="96">
        <f t="shared" si="0"/>
        <v>1.4719626073111251E-2</v>
      </c>
      <c r="K58" s="97">
        <v>6</v>
      </c>
      <c r="L58" s="98">
        <v>3</v>
      </c>
      <c r="M58" s="99" t="s">
        <v>7</v>
      </c>
      <c r="N58" s="99">
        <v>34.06</v>
      </c>
      <c r="O58" s="99">
        <v>9.3000000000000007</v>
      </c>
      <c r="P58" s="99">
        <v>3.1</v>
      </c>
      <c r="Q58" s="99">
        <v>2.9</v>
      </c>
      <c r="R58" s="99">
        <v>2.2000000000000002</v>
      </c>
      <c r="S58" s="98" t="s">
        <v>59</v>
      </c>
      <c r="T58" s="102">
        <f t="shared" si="5"/>
        <v>9.1112752882750017E-2</v>
      </c>
      <c r="Y58" s="83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</row>
    <row r="59" spans="1:36" ht="15" thickBot="1" x14ac:dyDescent="0.35">
      <c r="A59" s="85">
        <v>14.56193668438371</v>
      </c>
      <c r="B59" s="94">
        <v>24</v>
      </c>
      <c r="C59" s="90" t="s">
        <v>8</v>
      </c>
      <c r="D59" s="90">
        <v>25.46</v>
      </c>
      <c r="E59" s="90">
        <v>6.9</v>
      </c>
      <c r="F59" s="90">
        <v>2.1</v>
      </c>
      <c r="G59" s="90">
        <v>2.1</v>
      </c>
      <c r="H59" s="95" t="s">
        <v>59</v>
      </c>
      <c r="I59" s="96">
        <f t="shared" si="0"/>
        <v>5.0910420013292143E-2</v>
      </c>
      <c r="K59" s="97">
        <v>7</v>
      </c>
      <c r="L59" s="98">
        <v>30</v>
      </c>
      <c r="M59" s="99" t="s">
        <v>8</v>
      </c>
      <c r="N59" s="99">
        <v>18.46</v>
      </c>
      <c r="O59" s="99">
        <v>5.5</v>
      </c>
      <c r="P59" s="99">
        <v>1.7</v>
      </c>
      <c r="Q59" s="99">
        <v>1.7</v>
      </c>
      <c r="R59" s="99" t="s">
        <v>59</v>
      </c>
      <c r="S59" s="98" t="s">
        <v>59</v>
      </c>
      <c r="T59" s="102">
        <f t="shared" si="5"/>
        <v>2.6764138877800991E-2</v>
      </c>
      <c r="Y59" s="83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</row>
    <row r="60" spans="1:36" ht="15" thickBot="1" x14ac:dyDescent="0.35">
      <c r="A60" s="85">
        <v>15.608331108738051</v>
      </c>
      <c r="B60" s="94">
        <v>3</v>
      </c>
      <c r="C60" s="90" t="s">
        <v>7</v>
      </c>
      <c r="D60" s="90">
        <v>34.06</v>
      </c>
      <c r="E60" s="90">
        <v>9.3000000000000007</v>
      </c>
      <c r="F60" s="90">
        <v>3.1</v>
      </c>
      <c r="G60" s="90">
        <v>2.9</v>
      </c>
      <c r="H60" s="95">
        <v>2.2000000000000002</v>
      </c>
      <c r="I60" s="96">
        <f t="shared" si="0"/>
        <v>9.1112752882750017E-2</v>
      </c>
      <c r="K60" s="97">
        <v>8</v>
      </c>
      <c r="L60" s="98">
        <v>8</v>
      </c>
      <c r="M60" s="99" t="s">
        <v>7</v>
      </c>
      <c r="N60" s="99">
        <v>60.8</v>
      </c>
      <c r="O60" s="99">
        <v>14</v>
      </c>
      <c r="P60" s="99">
        <v>2.4</v>
      </c>
      <c r="Q60" s="99">
        <v>2.2000000000000002</v>
      </c>
      <c r="R60" s="99">
        <v>3.4</v>
      </c>
      <c r="S60" s="98" t="s">
        <v>59</v>
      </c>
      <c r="T60" s="102">
        <f t="shared" si="5"/>
        <v>0.29033342667415429</v>
      </c>
      <c r="Y60" s="83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</row>
    <row r="61" spans="1:36" ht="15" thickBot="1" x14ac:dyDescent="0.35">
      <c r="A61" s="85">
        <v>18.507566020414462</v>
      </c>
      <c r="B61" s="94">
        <v>30</v>
      </c>
      <c r="C61" s="90" t="s">
        <v>8</v>
      </c>
      <c r="D61" s="90">
        <v>18.46</v>
      </c>
      <c r="E61" s="90">
        <v>5.5</v>
      </c>
      <c r="F61" s="90">
        <v>1.7</v>
      </c>
      <c r="G61" s="90">
        <v>1.7</v>
      </c>
      <c r="H61" s="95" t="s">
        <v>59</v>
      </c>
      <c r="I61" s="96">
        <f t="shared" si="0"/>
        <v>2.6764138877800991E-2</v>
      </c>
      <c r="K61" s="97">
        <v>9</v>
      </c>
      <c r="L61" s="98">
        <v>6</v>
      </c>
      <c r="M61" s="99" t="s">
        <v>7</v>
      </c>
      <c r="N61" s="99">
        <v>44.88</v>
      </c>
      <c r="O61" s="99">
        <v>7.8</v>
      </c>
      <c r="P61" s="99">
        <v>2.4</v>
      </c>
      <c r="Q61" s="99">
        <v>1.9</v>
      </c>
      <c r="R61" s="99">
        <v>2.4</v>
      </c>
      <c r="S61" s="98" t="s">
        <v>59</v>
      </c>
      <c r="T61" s="102">
        <f t="shared" si="5"/>
        <v>0.15819602904486935</v>
      </c>
      <c r="V61" s="111" t="s">
        <v>61</v>
      </c>
      <c r="W61" s="112">
        <f>(10-1)/10</f>
        <v>0.9</v>
      </c>
      <c r="Y61" s="83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</row>
    <row r="62" spans="1:36" ht="16.8" thickBot="1" x14ac:dyDescent="0.35">
      <c r="A62" s="85">
        <v>19.448650338776723</v>
      </c>
      <c r="B62" s="94">
        <v>8</v>
      </c>
      <c r="C62" s="90" t="s">
        <v>7</v>
      </c>
      <c r="D62" s="90">
        <v>60.8</v>
      </c>
      <c r="E62" s="90">
        <v>14</v>
      </c>
      <c r="F62" s="90">
        <v>2.4</v>
      </c>
      <c r="G62" s="90">
        <v>2.2000000000000002</v>
      </c>
      <c r="H62" s="95">
        <v>3.4</v>
      </c>
      <c r="I62" s="96">
        <f t="shared" si="0"/>
        <v>0.29033342667415429</v>
      </c>
      <c r="K62" s="97">
        <v>10</v>
      </c>
      <c r="L62" s="98">
        <v>2</v>
      </c>
      <c r="M62" s="99" t="s">
        <v>7</v>
      </c>
      <c r="N62" s="99">
        <v>42.02</v>
      </c>
      <c r="O62" s="99">
        <v>9.8000000000000007</v>
      </c>
      <c r="P62" s="99">
        <v>3</v>
      </c>
      <c r="Q62" s="99">
        <v>3.1</v>
      </c>
      <c r="R62" s="99">
        <v>3.6</v>
      </c>
      <c r="S62" s="121">
        <v>20.5294909824866</v>
      </c>
      <c r="T62" s="115">
        <f t="shared" si="5"/>
        <v>0.13867621433068719</v>
      </c>
      <c r="U62" s="118">
        <f>SUM(T53:T62)</f>
        <v>1.1481841700919539</v>
      </c>
      <c r="V62" s="117" t="s">
        <v>63</v>
      </c>
      <c r="Y62" s="83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</row>
    <row r="63" spans="1:36" ht="16.8" thickBot="1" x14ac:dyDescent="0.35">
      <c r="A63" s="85">
        <v>19.547889911701468</v>
      </c>
      <c r="B63" s="94">
        <v>6</v>
      </c>
      <c r="C63" s="90" t="s">
        <v>7</v>
      </c>
      <c r="D63" s="90">
        <v>44.88</v>
      </c>
      <c r="E63" s="90">
        <v>7.8</v>
      </c>
      <c r="F63" s="90">
        <v>2.4</v>
      </c>
      <c r="G63" s="90">
        <v>1.9</v>
      </c>
      <c r="H63" s="95">
        <v>2.4</v>
      </c>
      <c r="I63" s="96">
        <f t="shared" si="0"/>
        <v>0.15819602904486935</v>
      </c>
      <c r="U63" s="123">
        <f>U62*10000/N50*W61</f>
        <v>7.8045493107293957</v>
      </c>
      <c r="V63" s="117" t="s">
        <v>64</v>
      </c>
      <c r="Y63" s="83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</row>
    <row r="64" spans="1:36" ht="15" thickBot="1" x14ac:dyDescent="0.35">
      <c r="A64" s="85">
        <v>20.529490982486632</v>
      </c>
      <c r="B64" s="94">
        <v>2</v>
      </c>
      <c r="C64" s="90" t="s">
        <v>7</v>
      </c>
      <c r="D64" s="90">
        <v>42.02</v>
      </c>
      <c r="E64" s="90">
        <v>9.8000000000000007</v>
      </c>
      <c r="F64" s="90">
        <v>3</v>
      </c>
      <c r="G64" s="90">
        <v>3.1</v>
      </c>
      <c r="H64" s="95">
        <v>3.6</v>
      </c>
      <c r="I64" s="96">
        <f t="shared" si="0"/>
        <v>0.13867621433068719</v>
      </c>
      <c r="L64" t="s">
        <v>65</v>
      </c>
      <c r="M64" s="87" t="s">
        <v>48</v>
      </c>
      <c r="N64" s="88">
        <f>PI()*(AVERAGE(S76:S77))^2</f>
        <v>1473.7355947182305</v>
      </c>
    </row>
    <row r="65" spans="1:22" ht="15.6" thickTop="1" thickBot="1" x14ac:dyDescent="0.35">
      <c r="A65" s="85">
        <v>22.78815481779953</v>
      </c>
      <c r="B65" s="94">
        <v>7</v>
      </c>
      <c r="C65" s="90" t="s">
        <v>7</v>
      </c>
      <c r="D65" s="90">
        <v>31.19</v>
      </c>
      <c r="E65" s="90">
        <v>10.4</v>
      </c>
      <c r="F65" s="90">
        <v>4.2</v>
      </c>
      <c r="G65" s="90">
        <v>5.0999999999999996</v>
      </c>
      <c r="H65" s="95">
        <v>2.7</v>
      </c>
      <c r="I65" s="96">
        <f t="shared" si="0"/>
        <v>7.6404797826346849E-2</v>
      </c>
      <c r="L65" s="183" t="s">
        <v>1</v>
      </c>
      <c r="M65" s="183" t="s">
        <v>2</v>
      </c>
      <c r="N65" s="183" t="s">
        <v>3</v>
      </c>
      <c r="O65" s="188" t="s">
        <v>52</v>
      </c>
      <c r="P65" s="189"/>
      <c r="Q65" s="189"/>
      <c r="R65" s="190"/>
      <c r="S65" s="183" t="s">
        <v>54</v>
      </c>
      <c r="T65" s="191" t="s">
        <v>53</v>
      </c>
    </row>
    <row r="66" spans="1:22" ht="15" thickBot="1" x14ac:dyDescent="0.35">
      <c r="A66" s="85">
        <v>23.05168106668145</v>
      </c>
      <c r="B66" s="94">
        <v>9</v>
      </c>
      <c r="C66" s="90" t="s">
        <v>7</v>
      </c>
      <c r="D66" s="90">
        <v>27.69</v>
      </c>
      <c r="E66" s="90">
        <v>8.4</v>
      </c>
      <c r="F66" s="90">
        <v>3.3</v>
      </c>
      <c r="G66" s="90">
        <v>2.5</v>
      </c>
      <c r="H66" s="95">
        <v>2.2000000000000002</v>
      </c>
      <c r="I66" s="96">
        <f t="shared" si="0"/>
        <v>6.0219312475052231E-2</v>
      </c>
      <c r="L66" s="184"/>
      <c r="M66" s="184"/>
      <c r="N66" s="184"/>
      <c r="O66" s="90" t="s">
        <v>55</v>
      </c>
      <c r="P66" s="90" t="s">
        <v>56</v>
      </c>
      <c r="Q66" s="90" t="s">
        <v>57</v>
      </c>
      <c r="R66" s="90" t="s">
        <v>58</v>
      </c>
      <c r="S66" s="184"/>
      <c r="T66" s="192"/>
    </row>
    <row r="67" spans="1:22" ht="15" thickBot="1" x14ac:dyDescent="0.35">
      <c r="A67" s="85">
        <v>27.435743110038043</v>
      </c>
      <c r="B67" s="94">
        <v>21</v>
      </c>
      <c r="C67" s="90" t="s">
        <v>7</v>
      </c>
      <c r="D67" s="90">
        <v>22.28</v>
      </c>
      <c r="E67" s="90">
        <v>5.4</v>
      </c>
      <c r="F67" s="90">
        <v>1.9</v>
      </c>
      <c r="G67" s="90">
        <v>2.4</v>
      </c>
      <c r="H67" s="95">
        <v>1.2</v>
      </c>
      <c r="I67" s="96">
        <f t="shared" si="0"/>
        <v>3.8987039167343189E-2</v>
      </c>
      <c r="K67" s="97">
        <v>1</v>
      </c>
      <c r="L67" s="98">
        <v>29</v>
      </c>
      <c r="M67" s="99" t="s">
        <v>8</v>
      </c>
      <c r="N67" s="99">
        <v>48.06</v>
      </c>
      <c r="O67" s="99">
        <v>10.6</v>
      </c>
      <c r="P67" s="99">
        <v>2.2999999999999998</v>
      </c>
      <c r="Q67" s="99">
        <v>2.2999999999999998</v>
      </c>
      <c r="R67" s="99" t="s">
        <v>59</v>
      </c>
      <c r="S67" s="101" t="s">
        <v>59</v>
      </c>
      <c r="T67" s="102">
        <f>PI()/40000*N67^2</f>
        <v>0.18140840893222784</v>
      </c>
    </row>
    <row r="68" spans="1:22" ht="15" thickBot="1" x14ac:dyDescent="0.35">
      <c r="A68" s="85">
        <v>28.252610498854789</v>
      </c>
      <c r="B68" s="94">
        <v>10</v>
      </c>
      <c r="C68" s="90" t="s">
        <v>7</v>
      </c>
      <c r="D68" s="90">
        <v>27.37</v>
      </c>
      <c r="E68" s="90">
        <v>7.2</v>
      </c>
      <c r="F68" s="90">
        <v>2.8</v>
      </c>
      <c r="G68" s="90">
        <v>1.6</v>
      </c>
      <c r="H68" s="95">
        <v>2</v>
      </c>
      <c r="I68" s="96">
        <f t="shared" si="0"/>
        <v>5.8835503742999E-2</v>
      </c>
      <c r="K68" s="97">
        <v>2</v>
      </c>
      <c r="L68" s="98">
        <v>4</v>
      </c>
      <c r="M68" s="99" t="s">
        <v>7</v>
      </c>
      <c r="N68" s="99">
        <v>22.6</v>
      </c>
      <c r="O68" s="99">
        <v>7.1</v>
      </c>
      <c r="P68" s="99">
        <v>2.1</v>
      </c>
      <c r="Q68" s="99">
        <v>1.6</v>
      </c>
      <c r="R68" s="99">
        <v>1.5</v>
      </c>
      <c r="S68" s="98" t="s">
        <v>59</v>
      </c>
      <c r="T68" s="102">
        <f t="shared" ref="T68:T76" si="6">PI()/40000*N68^2</f>
        <v>4.0114996593688071E-2</v>
      </c>
    </row>
    <row r="69" spans="1:22" ht="15" thickBot="1" x14ac:dyDescent="0.35">
      <c r="A69" s="85">
        <v>28.310598722033415</v>
      </c>
      <c r="B69" s="94">
        <v>1</v>
      </c>
      <c r="C69" s="90" t="s">
        <v>7</v>
      </c>
      <c r="D69" s="90">
        <v>25.46</v>
      </c>
      <c r="E69" s="90">
        <v>7.4</v>
      </c>
      <c r="F69" s="90">
        <v>2.7</v>
      </c>
      <c r="G69" s="90">
        <v>2.2000000000000002</v>
      </c>
      <c r="H69" s="95">
        <v>1.8</v>
      </c>
      <c r="I69" s="96">
        <f t="shared" si="0"/>
        <v>5.0910420013292143E-2</v>
      </c>
      <c r="K69" s="97">
        <v>3</v>
      </c>
      <c r="L69" s="98">
        <v>5</v>
      </c>
      <c r="M69" s="99" t="s">
        <v>7</v>
      </c>
      <c r="N69" s="99">
        <v>44.56</v>
      </c>
      <c r="O69" s="99">
        <v>8.8000000000000007</v>
      </c>
      <c r="P69" s="99">
        <v>3</v>
      </c>
      <c r="Q69" s="99">
        <v>1.4</v>
      </c>
      <c r="R69" s="99">
        <v>2.7</v>
      </c>
      <c r="S69" s="98" t="s">
        <v>59</v>
      </c>
      <c r="T69" s="102">
        <f t="shared" si="6"/>
        <v>0.15594815666937276</v>
      </c>
    </row>
    <row r="70" spans="1:22" ht="16.8" thickBot="1" x14ac:dyDescent="0.35">
      <c r="A70" s="85"/>
      <c r="H70" t="s">
        <v>60</v>
      </c>
      <c r="I70" s="96">
        <f>SUM(I55:I69)</f>
        <v>1.4335412433169876</v>
      </c>
      <c r="K70" s="97">
        <v>4</v>
      </c>
      <c r="L70" s="98">
        <v>28</v>
      </c>
      <c r="M70" s="99" t="s">
        <v>8</v>
      </c>
      <c r="N70" s="99">
        <v>13.69</v>
      </c>
      <c r="O70" s="99">
        <v>4.2</v>
      </c>
      <c r="P70" s="99">
        <v>1.5</v>
      </c>
      <c r="Q70" s="99">
        <v>1.5</v>
      </c>
      <c r="R70" s="99" t="s">
        <v>59</v>
      </c>
      <c r="S70" s="98" t="s">
        <v>59</v>
      </c>
      <c r="T70" s="102">
        <f t="shared" si="6"/>
        <v>1.4719626073111251E-2</v>
      </c>
    </row>
    <row r="71" spans="1:22" ht="16.2" thickBot="1" x14ac:dyDescent="0.35">
      <c r="A71" s="85"/>
      <c r="B71" s="38" t="s">
        <v>47</v>
      </c>
      <c r="C71" s="86">
        <v>40</v>
      </c>
      <c r="D71" s="87" t="s">
        <v>48</v>
      </c>
      <c r="E71" s="88">
        <f>PI()*C71^2</f>
        <v>5026.5482457436692</v>
      </c>
      <c r="F71" s="122"/>
      <c r="G71" s="110"/>
      <c r="H71" s="114" t="s">
        <v>62</v>
      </c>
      <c r="I71" s="96">
        <f>I70*10000/E51</f>
        <v>5.0701150000000013</v>
      </c>
      <c r="K71" s="97">
        <v>5</v>
      </c>
      <c r="L71" s="98">
        <v>24</v>
      </c>
      <c r="M71" s="99" t="s">
        <v>8</v>
      </c>
      <c r="N71" s="99">
        <v>25.46</v>
      </c>
      <c r="O71" s="99">
        <v>6.9</v>
      </c>
      <c r="P71" s="99">
        <v>2.1</v>
      </c>
      <c r="Q71" s="99">
        <v>2.1</v>
      </c>
      <c r="R71" s="99" t="s">
        <v>59</v>
      </c>
      <c r="S71" s="98" t="s">
        <v>59</v>
      </c>
      <c r="T71" s="102">
        <f t="shared" si="6"/>
        <v>5.0910420013292143E-2</v>
      </c>
    </row>
    <row r="72" spans="1:22" ht="15" thickBot="1" x14ac:dyDescent="0.35">
      <c r="A72" s="85"/>
      <c r="B72" s="84"/>
      <c r="C72" s="84"/>
      <c r="D72" s="84"/>
      <c r="E72" s="122"/>
      <c r="F72" s="122"/>
      <c r="G72" s="110"/>
      <c r="I72" s="118"/>
      <c r="K72" s="97">
        <v>6</v>
      </c>
      <c r="L72" s="98">
        <v>3</v>
      </c>
      <c r="M72" s="99" t="s">
        <v>7</v>
      </c>
      <c r="N72" s="99">
        <v>34.06</v>
      </c>
      <c r="O72" s="99">
        <v>9.3000000000000007</v>
      </c>
      <c r="P72" s="99">
        <v>3.1</v>
      </c>
      <c r="Q72" s="99">
        <v>2.9</v>
      </c>
      <c r="R72" s="99">
        <v>2.2000000000000002</v>
      </c>
      <c r="S72" s="98" t="s">
        <v>59</v>
      </c>
      <c r="T72" s="102">
        <f t="shared" si="6"/>
        <v>9.1112752882750017E-2</v>
      </c>
    </row>
    <row r="73" spans="1:22" ht="15.6" thickTop="1" thickBot="1" x14ac:dyDescent="0.35">
      <c r="A73" s="85"/>
      <c r="B73" s="183" t="s">
        <v>1</v>
      </c>
      <c r="C73" s="183" t="s">
        <v>2</v>
      </c>
      <c r="D73" s="183" t="s">
        <v>3</v>
      </c>
      <c r="E73" s="188" t="s">
        <v>52</v>
      </c>
      <c r="F73" s="189"/>
      <c r="G73" s="189"/>
      <c r="H73" s="190"/>
      <c r="I73" s="191" t="s">
        <v>53</v>
      </c>
      <c r="K73" s="97">
        <v>7</v>
      </c>
      <c r="L73" s="98">
        <v>30</v>
      </c>
      <c r="M73" s="99" t="s">
        <v>8</v>
      </c>
      <c r="N73" s="99">
        <v>18.46</v>
      </c>
      <c r="O73" s="99">
        <v>5.5</v>
      </c>
      <c r="P73" s="99">
        <v>1.7</v>
      </c>
      <c r="Q73" s="99">
        <v>1.7</v>
      </c>
      <c r="R73" s="99" t="s">
        <v>59</v>
      </c>
      <c r="S73" s="98" t="s">
        <v>59</v>
      </c>
      <c r="T73" s="102">
        <f t="shared" si="6"/>
        <v>2.6764138877800991E-2</v>
      </c>
    </row>
    <row r="74" spans="1:22" ht="15" thickBot="1" x14ac:dyDescent="0.35">
      <c r="A74" s="85"/>
      <c r="B74" s="184"/>
      <c r="C74" s="184"/>
      <c r="D74" s="184"/>
      <c r="E74" s="90" t="s">
        <v>55</v>
      </c>
      <c r="F74" s="90" t="s">
        <v>56</v>
      </c>
      <c r="G74" s="90" t="s">
        <v>57</v>
      </c>
      <c r="H74" s="90" t="s">
        <v>58</v>
      </c>
      <c r="I74" s="192"/>
      <c r="K74" s="97">
        <v>8</v>
      </c>
      <c r="L74" s="98">
        <v>8</v>
      </c>
      <c r="M74" s="99" t="s">
        <v>7</v>
      </c>
      <c r="N74" s="99">
        <v>60.8</v>
      </c>
      <c r="O74" s="99">
        <v>14</v>
      </c>
      <c r="P74" s="99">
        <v>2.4</v>
      </c>
      <c r="Q74" s="99">
        <v>2.2000000000000002</v>
      </c>
      <c r="R74" s="99">
        <v>3.4</v>
      </c>
      <c r="S74" s="98" t="s">
        <v>59</v>
      </c>
      <c r="T74" s="102">
        <f t="shared" si="6"/>
        <v>0.29033342667415429</v>
      </c>
    </row>
    <row r="75" spans="1:22" ht="15" thickBot="1" x14ac:dyDescent="0.35">
      <c r="A75" s="85">
        <v>1.6031219541881399</v>
      </c>
      <c r="B75" s="94">
        <v>29</v>
      </c>
      <c r="C75" s="90" t="s">
        <v>8</v>
      </c>
      <c r="D75" s="90">
        <v>48.06</v>
      </c>
      <c r="E75" s="90">
        <v>10.6</v>
      </c>
      <c r="F75" s="90">
        <v>2.2999999999999998</v>
      </c>
      <c r="G75" s="90">
        <v>2.2999999999999998</v>
      </c>
      <c r="H75" s="95" t="s">
        <v>59</v>
      </c>
      <c r="I75" s="96">
        <f t="shared" si="0"/>
        <v>0.18140840893222784</v>
      </c>
      <c r="K75" s="97">
        <v>9</v>
      </c>
      <c r="L75" s="98">
        <v>6</v>
      </c>
      <c r="M75" s="99" t="s">
        <v>7</v>
      </c>
      <c r="N75" s="99">
        <v>44.88</v>
      </c>
      <c r="O75" s="99">
        <v>7.8</v>
      </c>
      <c r="P75" s="99">
        <v>2.4</v>
      </c>
      <c r="Q75" s="99">
        <v>1.9</v>
      </c>
      <c r="R75" s="99">
        <v>2.4</v>
      </c>
      <c r="S75" s="98" t="s">
        <v>59</v>
      </c>
      <c r="T75" s="102">
        <f t="shared" si="6"/>
        <v>0.15819602904486935</v>
      </c>
    </row>
    <row r="76" spans="1:22" ht="16.8" thickBot="1" x14ac:dyDescent="0.35">
      <c r="A76" s="85">
        <v>6.2361847310675458</v>
      </c>
      <c r="B76" s="94">
        <v>4</v>
      </c>
      <c r="C76" s="90" t="s">
        <v>7</v>
      </c>
      <c r="D76" s="90">
        <v>22.6</v>
      </c>
      <c r="E76" s="90">
        <v>7.1</v>
      </c>
      <c r="F76" s="90">
        <v>2.1</v>
      </c>
      <c r="G76" s="90">
        <v>1.6</v>
      </c>
      <c r="H76" s="95">
        <v>1.5</v>
      </c>
      <c r="I76" s="96">
        <f t="shared" si="0"/>
        <v>4.0114996593688071E-2</v>
      </c>
      <c r="K76" s="97">
        <v>10</v>
      </c>
      <c r="L76" s="98">
        <v>2</v>
      </c>
      <c r="M76" s="99" t="s">
        <v>7</v>
      </c>
      <c r="N76" s="99">
        <v>42.02</v>
      </c>
      <c r="O76" s="99">
        <v>9.8000000000000007</v>
      </c>
      <c r="P76" s="99">
        <v>3</v>
      </c>
      <c r="Q76" s="99">
        <v>3.1</v>
      </c>
      <c r="R76" s="99">
        <v>3.6</v>
      </c>
      <c r="S76" s="121">
        <v>20.5294909824866</v>
      </c>
      <c r="T76" s="115">
        <f t="shared" si="6"/>
        <v>0.13867621433068719</v>
      </c>
      <c r="U76" s="118">
        <f>SUM(T67:T76)</f>
        <v>1.1481841700919539</v>
      </c>
      <c r="V76" s="117" t="s">
        <v>63</v>
      </c>
    </row>
    <row r="77" spans="1:22" ht="16.8" thickBot="1" x14ac:dyDescent="0.35">
      <c r="A77" s="85">
        <v>9.4366307546708637</v>
      </c>
      <c r="B77" s="94">
        <v>5</v>
      </c>
      <c r="C77" s="90" t="s">
        <v>7</v>
      </c>
      <c r="D77" s="90">
        <v>44.56</v>
      </c>
      <c r="E77" s="90">
        <v>8.8000000000000007</v>
      </c>
      <c r="F77" s="90">
        <v>3</v>
      </c>
      <c r="G77" s="90">
        <v>1.4</v>
      </c>
      <c r="H77" s="95">
        <v>2.7</v>
      </c>
      <c r="I77" s="96">
        <f t="shared" si="0"/>
        <v>0.15594815666937276</v>
      </c>
      <c r="K77" s="97">
        <v>11</v>
      </c>
      <c r="L77" s="98">
        <v>3</v>
      </c>
      <c r="M77" s="99" t="s">
        <v>7</v>
      </c>
      <c r="N77" s="98" t="s">
        <v>59</v>
      </c>
      <c r="O77" s="98" t="s">
        <v>59</v>
      </c>
      <c r="P77" s="98" t="s">
        <v>59</v>
      </c>
      <c r="Q77" s="98" t="s">
        <v>59</v>
      </c>
      <c r="R77" s="98" t="s">
        <v>59</v>
      </c>
      <c r="S77" s="124">
        <v>22.788154817799501</v>
      </c>
      <c r="U77" s="123">
        <f>U76*10000/N64</f>
        <v>7.7909780710119856</v>
      </c>
      <c r="V77" s="117" t="s">
        <v>64</v>
      </c>
    </row>
    <row r="78" spans="1:22" ht="15" thickBot="1" x14ac:dyDescent="0.35">
      <c r="A78" s="85">
        <v>14.368020044529448</v>
      </c>
      <c r="B78" s="94">
        <v>28</v>
      </c>
      <c r="C78" s="90" t="s">
        <v>8</v>
      </c>
      <c r="D78" s="90">
        <v>13.69</v>
      </c>
      <c r="E78" s="90">
        <v>4.2</v>
      </c>
      <c r="F78" s="90">
        <v>1.5</v>
      </c>
      <c r="G78" s="90">
        <v>1.5</v>
      </c>
      <c r="H78" s="95" t="s">
        <v>59</v>
      </c>
      <c r="I78" s="96">
        <f t="shared" si="0"/>
        <v>1.4719626073111251E-2</v>
      </c>
    </row>
    <row r="79" spans="1:22" ht="15" thickBot="1" x14ac:dyDescent="0.35">
      <c r="A79" s="85">
        <v>14.56193668438371</v>
      </c>
      <c r="B79" s="94">
        <v>24</v>
      </c>
      <c r="C79" s="90" t="s">
        <v>8</v>
      </c>
      <c r="D79" s="90">
        <v>25.46</v>
      </c>
      <c r="E79" s="90">
        <v>6.9</v>
      </c>
      <c r="F79" s="90">
        <v>2.1</v>
      </c>
      <c r="G79" s="90">
        <v>2.1</v>
      </c>
      <c r="H79" s="95" t="s">
        <v>59</v>
      </c>
      <c r="I79" s="96">
        <f t="shared" si="0"/>
        <v>5.0910420013292143E-2</v>
      </c>
      <c r="L79" t="s">
        <v>68</v>
      </c>
    </row>
    <row r="80" spans="1:22" ht="15" thickBot="1" x14ac:dyDescent="0.35">
      <c r="A80" s="85">
        <v>15.608331108738051</v>
      </c>
      <c r="B80" s="94">
        <v>3</v>
      </c>
      <c r="C80" s="90" t="s">
        <v>7</v>
      </c>
      <c r="D80" s="90">
        <v>34.06</v>
      </c>
      <c r="E80" s="90">
        <v>9.3000000000000007</v>
      </c>
      <c r="F80" s="90">
        <v>3.1</v>
      </c>
      <c r="G80" s="90">
        <v>2.9</v>
      </c>
      <c r="H80" s="95">
        <v>2.2000000000000002</v>
      </c>
      <c r="I80" s="96">
        <f t="shared" si="0"/>
        <v>9.1112752882750017E-2</v>
      </c>
    </row>
    <row r="81" spans="1:20" ht="15" thickBot="1" x14ac:dyDescent="0.35">
      <c r="A81" s="85">
        <v>18.507566020414462</v>
      </c>
      <c r="B81" s="94">
        <v>30</v>
      </c>
      <c r="C81" s="90" t="s">
        <v>8</v>
      </c>
      <c r="D81" s="90">
        <v>18.46</v>
      </c>
      <c r="E81" s="90">
        <v>5.5</v>
      </c>
      <c r="F81" s="90">
        <v>1.7</v>
      </c>
      <c r="G81" s="90">
        <v>1.7</v>
      </c>
      <c r="H81" s="95" t="s">
        <v>59</v>
      </c>
      <c r="I81" s="96">
        <f t="shared" si="0"/>
        <v>2.6764138877800991E-2</v>
      </c>
      <c r="L81" t="s">
        <v>69</v>
      </c>
    </row>
    <row r="82" spans="1:20" ht="15" thickBot="1" x14ac:dyDescent="0.35">
      <c r="A82" s="85">
        <v>19.448650338776723</v>
      </c>
      <c r="B82" s="94">
        <v>8</v>
      </c>
      <c r="C82" s="90" t="s">
        <v>7</v>
      </c>
      <c r="D82" s="90">
        <v>60.8</v>
      </c>
      <c r="E82" s="90">
        <v>14</v>
      </c>
      <c r="F82" s="90">
        <v>2.4</v>
      </c>
      <c r="G82" s="90">
        <v>2.2000000000000002</v>
      </c>
      <c r="H82" s="95">
        <v>3.4</v>
      </c>
      <c r="I82" s="96">
        <f t="shared" si="0"/>
        <v>0.29033342667415429</v>
      </c>
      <c r="L82" t="s">
        <v>51</v>
      </c>
      <c r="M82" s="87" t="s">
        <v>48</v>
      </c>
      <c r="N82" s="88">
        <f>PI()*S104^2</f>
        <v>3538.3129738851121</v>
      </c>
    </row>
    <row r="83" spans="1:20" ht="15.6" thickTop="1" thickBot="1" x14ac:dyDescent="0.35">
      <c r="A83" s="85">
        <v>19.547889911701468</v>
      </c>
      <c r="B83" s="94">
        <v>6</v>
      </c>
      <c r="C83" s="90" t="s">
        <v>7</v>
      </c>
      <c r="D83" s="90">
        <v>44.88</v>
      </c>
      <c r="E83" s="90">
        <v>7.8</v>
      </c>
      <c r="F83" s="90">
        <v>2.4</v>
      </c>
      <c r="G83" s="90">
        <v>1.9</v>
      </c>
      <c r="H83" s="95">
        <v>2.4</v>
      </c>
      <c r="I83" s="96">
        <f t="shared" si="0"/>
        <v>0.15819602904486935</v>
      </c>
      <c r="L83" s="193" t="s">
        <v>1</v>
      </c>
      <c r="M83" s="193" t="s">
        <v>2</v>
      </c>
      <c r="N83" s="193" t="s">
        <v>3</v>
      </c>
      <c r="O83" s="195" t="s">
        <v>52</v>
      </c>
      <c r="P83" s="196"/>
      <c r="Q83" s="196"/>
      <c r="R83" s="197"/>
      <c r="S83" s="183" t="s">
        <v>54</v>
      </c>
      <c r="T83" s="191" t="s">
        <v>53</v>
      </c>
    </row>
    <row r="84" spans="1:20" ht="15" thickBot="1" x14ac:dyDescent="0.35">
      <c r="A84" s="85">
        <v>20.529490982486632</v>
      </c>
      <c r="B84" s="94">
        <v>2</v>
      </c>
      <c r="C84" s="90" t="s">
        <v>7</v>
      </c>
      <c r="D84" s="90">
        <v>42.02</v>
      </c>
      <c r="E84" s="90">
        <v>9.8000000000000007</v>
      </c>
      <c r="F84" s="90">
        <v>3</v>
      </c>
      <c r="G84" s="90">
        <v>3.1</v>
      </c>
      <c r="H84" s="95">
        <v>3.6</v>
      </c>
      <c r="I84" s="96">
        <f t="shared" si="0"/>
        <v>0.13867621433068719</v>
      </c>
      <c r="L84" s="194"/>
      <c r="M84" s="194"/>
      <c r="N84" s="194"/>
      <c r="O84" s="99" t="s">
        <v>55</v>
      </c>
      <c r="P84" s="99" t="s">
        <v>56</v>
      </c>
      <c r="Q84" s="99" t="s">
        <v>57</v>
      </c>
      <c r="R84" s="99" t="s">
        <v>58</v>
      </c>
      <c r="S84" s="184"/>
      <c r="T84" s="192"/>
    </row>
    <row r="85" spans="1:20" ht="15" thickBot="1" x14ac:dyDescent="0.35">
      <c r="A85" s="85">
        <v>22.78815481779953</v>
      </c>
      <c r="B85" s="94">
        <v>7</v>
      </c>
      <c r="C85" s="90" t="s">
        <v>7</v>
      </c>
      <c r="D85" s="90">
        <v>31.19</v>
      </c>
      <c r="E85" s="90">
        <v>10.4</v>
      </c>
      <c r="F85" s="90">
        <v>4.2</v>
      </c>
      <c r="G85" s="90">
        <v>5.0999999999999996</v>
      </c>
      <c r="H85" s="95">
        <v>2.7</v>
      </c>
      <c r="I85" s="96">
        <f t="shared" si="0"/>
        <v>7.6404797826346849E-2</v>
      </c>
      <c r="K85" s="97">
        <v>1</v>
      </c>
      <c r="L85" s="98">
        <v>29</v>
      </c>
      <c r="M85" s="99" t="s">
        <v>8</v>
      </c>
      <c r="N85" s="99">
        <v>48.06</v>
      </c>
      <c r="O85" s="99">
        <v>10.6</v>
      </c>
      <c r="P85" s="99">
        <v>2.2999999999999998</v>
      </c>
      <c r="Q85" s="99">
        <v>2.2999999999999998</v>
      </c>
      <c r="R85" s="99" t="s">
        <v>59</v>
      </c>
      <c r="S85" s="99" t="s">
        <v>59</v>
      </c>
      <c r="T85" s="102">
        <f>PI()/40000*N85^2</f>
        <v>0.18140840893222784</v>
      </c>
    </row>
    <row r="86" spans="1:20" ht="15" thickBot="1" x14ac:dyDescent="0.35">
      <c r="A86" s="85">
        <v>23.05168106668145</v>
      </c>
      <c r="B86" s="94">
        <v>9</v>
      </c>
      <c r="C86" s="90" t="s">
        <v>7</v>
      </c>
      <c r="D86" s="90">
        <v>27.69</v>
      </c>
      <c r="E86" s="90">
        <v>8.4</v>
      </c>
      <c r="F86" s="90">
        <v>3.3</v>
      </c>
      <c r="G86" s="90">
        <v>2.5</v>
      </c>
      <c r="H86" s="95">
        <v>2.2000000000000002</v>
      </c>
      <c r="I86" s="96">
        <f t="shared" si="0"/>
        <v>6.0219312475052231E-2</v>
      </c>
      <c r="K86" s="97">
        <v>2</v>
      </c>
      <c r="L86" s="98">
        <v>4</v>
      </c>
      <c r="M86" s="99" t="s">
        <v>7</v>
      </c>
      <c r="N86" s="99">
        <v>22.6</v>
      </c>
      <c r="O86" s="99">
        <v>7.1</v>
      </c>
      <c r="P86" s="99">
        <v>2.1</v>
      </c>
      <c r="Q86" s="99">
        <v>1.6</v>
      </c>
      <c r="R86" s="99">
        <v>1.5</v>
      </c>
      <c r="S86" s="99" t="s">
        <v>59</v>
      </c>
      <c r="T86" s="102">
        <f t="shared" ref="T86:T104" si="7">PI()/40000*N86^2</f>
        <v>4.0114996593688071E-2</v>
      </c>
    </row>
    <row r="87" spans="1:20" ht="15" thickBot="1" x14ac:dyDescent="0.35">
      <c r="A87" s="85">
        <v>27.435743110038043</v>
      </c>
      <c r="B87" s="94">
        <v>21</v>
      </c>
      <c r="C87" s="90" t="s">
        <v>7</v>
      </c>
      <c r="D87" s="90">
        <v>22.28</v>
      </c>
      <c r="E87" s="90">
        <v>5.4</v>
      </c>
      <c r="F87" s="90">
        <v>1.9</v>
      </c>
      <c r="G87" s="90">
        <v>2.4</v>
      </c>
      <c r="H87" s="95">
        <v>1.2</v>
      </c>
      <c r="I87" s="96">
        <f t="shared" si="0"/>
        <v>3.8987039167343189E-2</v>
      </c>
      <c r="K87" s="97">
        <v>3</v>
      </c>
      <c r="L87" s="98">
        <v>5</v>
      </c>
      <c r="M87" s="99" t="s">
        <v>7</v>
      </c>
      <c r="N87" s="99">
        <v>44.56</v>
      </c>
      <c r="O87" s="99">
        <v>8.8000000000000007</v>
      </c>
      <c r="P87" s="99">
        <v>3</v>
      </c>
      <c r="Q87" s="99">
        <v>1.4</v>
      </c>
      <c r="R87" s="99">
        <v>2.7</v>
      </c>
      <c r="S87" s="99" t="s">
        <v>59</v>
      </c>
      <c r="T87" s="102">
        <f t="shared" si="7"/>
        <v>0.15594815666937276</v>
      </c>
    </row>
    <row r="88" spans="1:20" ht="15" thickBot="1" x14ac:dyDescent="0.35">
      <c r="A88" s="85">
        <v>28.252610498854789</v>
      </c>
      <c r="B88" s="94">
        <v>10</v>
      </c>
      <c r="C88" s="90" t="s">
        <v>7</v>
      </c>
      <c r="D88" s="90">
        <v>27.37</v>
      </c>
      <c r="E88" s="90">
        <v>7.2</v>
      </c>
      <c r="F88" s="90">
        <v>2.8</v>
      </c>
      <c r="G88" s="90">
        <v>1.6</v>
      </c>
      <c r="H88" s="95">
        <v>2</v>
      </c>
      <c r="I88" s="96">
        <f t="shared" si="0"/>
        <v>5.8835503742999E-2</v>
      </c>
      <c r="K88" s="97">
        <v>4</v>
      </c>
      <c r="L88" s="98">
        <v>28</v>
      </c>
      <c r="M88" s="99" t="s">
        <v>8</v>
      </c>
      <c r="N88" s="99">
        <v>13.69</v>
      </c>
      <c r="O88" s="99">
        <v>4.2</v>
      </c>
      <c r="P88" s="99">
        <v>1.5</v>
      </c>
      <c r="Q88" s="99">
        <v>1.5</v>
      </c>
      <c r="R88" s="99" t="s">
        <v>59</v>
      </c>
      <c r="S88" s="99" t="s">
        <v>59</v>
      </c>
      <c r="T88" s="102">
        <f t="shared" si="7"/>
        <v>1.4719626073111251E-2</v>
      </c>
    </row>
    <row r="89" spans="1:20" ht="15" thickBot="1" x14ac:dyDescent="0.35">
      <c r="A89" s="85">
        <v>28.310598722033415</v>
      </c>
      <c r="B89" s="94">
        <v>1</v>
      </c>
      <c r="C89" s="90" t="s">
        <v>7</v>
      </c>
      <c r="D89" s="90">
        <v>25.46</v>
      </c>
      <c r="E89" s="90">
        <v>7.4</v>
      </c>
      <c r="F89" s="90">
        <v>2.7</v>
      </c>
      <c r="G89" s="90">
        <v>2.2000000000000002</v>
      </c>
      <c r="H89" s="95">
        <v>1.8</v>
      </c>
      <c r="I89" s="96">
        <f t="shared" si="0"/>
        <v>5.0910420013292143E-2</v>
      </c>
      <c r="K89" s="97">
        <v>5</v>
      </c>
      <c r="L89" s="98">
        <v>24</v>
      </c>
      <c r="M89" s="99" t="s">
        <v>8</v>
      </c>
      <c r="N89" s="99">
        <v>25.46</v>
      </c>
      <c r="O89" s="99">
        <v>6.9</v>
      </c>
      <c r="P89" s="99">
        <v>2.1</v>
      </c>
      <c r="Q89" s="99">
        <v>2.1</v>
      </c>
      <c r="R89" s="99" t="s">
        <v>59</v>
      </c>
      <c r="S89" s="99" t="s">
        <v>59</v>
      </c>
      <c r="T89" s="102">
        <f t="shared" si="7"/>
        <v>5.0910420013292143E-2</v>
      </c>
    </row>
    <row r="90" spans="1:20" ht="15" thickBot="1" x14ac:dyDescent="0.35">
      <c r="A90" s="85">
        <v>30.818500936937216</v>
      </c>
      <c r="B90" s="94">
        <v>25</v>
      </c>
      <c r="C90" s="90" t="s">
        <v>8</v>
      </c>
      <c r="D90" s="90">
        <v>30.24</v>
      </c>
      <c r="E90" s="90">
        <v>7.5</v>
      </c>
      <c r="F90" s="90">
        <v>1.8</v>
      </c>
      <c r="G90" s="90">
        <v>1.8</v>
      </c>
      <c r="H90" s="95" t="s">
        <v>59</v>
      </c>
      <c r="I90" s="96">
        <f t="shared" si="0"/>
        <v>7.1821331954483841E-2</v>
      </c>
      <c r="K90" s="97">
        <v>6</v>
      </c>
      <c r="L90" s="98">
        <v>3</v>
      </c>
      <c r="M90" s="99" t="s">
        <v>7</v>
      </c>
      <c r="N90" s="99">
        <v>34.06</v>
      </c>
      <c r="O90" s="99">
        <v>9.3000000000000007</v>
      </c>
      <c r="P90" s="99">
        <v>3.1</v>
      </c>
      <c r="Q90" s="99">
        <v>2.9</v>
      </c>
      <c r="R90" s="99">
        <v>2.2000000000000002</v>
      </c>
      <c r="S90" s="99" t="s">
        <v>59</v>
      </c>
      <c r="T90" s="102">
        <f t="shared" si="7"/>
        <v>9.1112752882750017E-2</v>
      </c>
    </row>
    <row r="91" spans="1:20" ht="15" thickBot="1" x14ac:dyDescent="0.35">
      <c r="A91" s="85">
        <v>31.65517335286604</v>
      </c>
      <c r="B91" s="94">
        <v>31</v>
      </c>
      <c r="C91" s="90" t="s">
        <v>8</v>
      </c>
      <c r="D91" s="90">
        <v>21.96</v>
      </c>
      <c r="E91" s="90">
        <v>5.0999999999999996</v>
      </c>
      <c r="F91" s="90">
        <v>1.5</v>
      </c>
      <c r="G91" s="90">
        <v>1.5</v>
      </c>
      <c r="H91" s="95" t="s">
        <v>59</v>
      </c>
      <c r="I91" s="96">
        <f t="shared" si="0"/>
        <v>3.7875166695384696E-2</v>
      </c>
      <c r="K91" s="97">
        <v>7</v>
      </c>
      <c r="L91" s="98">
        <v>30</v>
      </c>
      <c r="M91" s="99" t="s">
        <v>8</v>
      </c>
      <c r="N91" s="99">
        <v>18.46</v>
      </c>
      <c r="O91" s="99">
        <v>5.5</v>
      </c>
      <c r="P91" s="99">
        <v>1.7</v>
      </c>
      <c r="Q91" s="99">
        <v>1.7</v>
      </c>
      <c r="R91" s="99" t="s">
        <v>59</v>
      </c>
      <c r="S91" s="99" t="s">
        <v>59</v>
      </c>
      <c r="T91" s="102">
        <f t="shared" si="7"/>
        <v>2.6764138877800991E-2</v>
      </c>
    </row>
    <row r="92" spans="1:20" ht="15" thickBot="1" x14ac:dyDescent="0.35">
      <c r="A92" s="85">
        <v>33.236275362922363</v>
      </c>
      <c r="B92" s="94">
        <v>27</v>
      </c>
      <c r="C92" s="90" t="s">
        <v>8</v>
      </c>
      <c r="D92" s="90">
        <v>20.37</v>
      </c>
      <c r="E92" s="90">
        <v>5.3</v>
      </c>
      <c r="F92" s="90">
        <v>1.8</v>
      </c>
      <c r="G92" s="90">
        <v>1.8</v>
      </c>
      <c r="H92" s="95" t="s">
        <v>59</v>
      </c>
      <c r="I92" s="96">
        <f t="shared" si="0"/>
        <v>3.258906791858307E-2</v>
      </c>
      <c r="K92" s="97">
        <v>8</v>
      </c>
      <c r="L92" s="98">
        <v>8</v>
      </c>
      <c r="M92" s="99" t="s">
        <v>7</v>
      </c>
      <c r="N92" s="99">
        <v>60.8</v>
      </c>
      <c r="O92" s="99">
        <v>14</v>
      </c>
      <c r="P92" s="99">
        <v>2.4</v>
      </c>
      <c r="Q92" s="99">
        <v>2.2000000000000002</v>
      </c>
      <c r="R92" s="99">
        <v>3.4</v>
      </c>
      <c r="S92" s="99" t="s">
        <v>59</v>
      </c>
      <c r="T92" s="102">
        <f t="shared" si="7"/>
        <v>0.29033342667415429</v>
      </c>
    </row>
    <row r="93" spans="1:20" ht="15" thickBot="1" x14ac:dyDescent="0.35">
      <c r="A93" s="85">
        <v>33.36405251164792</v>
      </c>
      <c r="B93" s="94">
        <v>26</v>
      </c>
      <c r="C93" s="90" t="s">
        <v>8</v>
      </c>
      <c r="D93" s="90">
        <v>17.190000000000001</v>
      </c>
      <c r="E93" s="90">
        <v>4.7</v>
      </c>
      <c r="F93" s="90">
        <v>1.5</v>
      </c>
      <c r="G93" s="90">
        <v>1.5</v>
      </c>
      <c r="H93" s="95" t="s">
        <v>59</v>
      </c>
      <c r="I93" s="96">
        <f t="shared" si="0"/>
        <v>2.3208209423110877E-2</v>
      </c>
      <c r="K93" s="97">
        <v>9</v>
      </c>
      <c r="L93" s="98">
        <v>6</v>
      </c>
      <c r="M93" s="99" t="s">
        <v>7</v>
      </c>
      <c r="N93" s="99">
        <v>44.88</v>
      </c>
      <c r="O93" s="99">
        <v>7.8</v>
      </c>
      <c r="P93" s="99">
        <v>2.4</v>
      </c>
      <c r="Q93" s="99">
        <v>1.9</v>
      </c>
      <c r="R93" s="99">
        <v>2.4</v>
      </c>
      <c r="S93" s="99" t="s">
        <v>59</v>
      </c>
      <c r="T93" s="102">
        <f t="shared" si="7"/>
        <v>0.15819602904486935</v>
      </c>
    </row>
    <row r="94" spans="1:20" ht="15" thickBot="1" x14ac:dyDescent="0.35">
      <c r="A94" s="85">
        <v>33.560095351473599</v>
      </c>
      <c r="B94" s="94">
        <v>18</v>
      </c>
      <c r="C94" s="90" t="s">
        <v>7</v>
      </c>
      <c r="D94" s="90">
        <v>31.83</v>
      </c>
      <c r="E94" s="90">
        <v>7.4</v>
      </c>
      <c r="F94" s="90">
        <v>3.2</v>
      </c>
      <c r="G94" s="90">
        <v>3.2</v>
      </c>
      <c r="H94" s="95">
        <v>2.8</v>
      </c>
      <c r="I94" s="96">
        <f t="shared" si="0"/>
        <v>7.9572528530814493E-2</v>
      </c>
      <c r="K94" s="97">
        <v>10</v>
      </c>
      <c r="L94" s="98">
        <v>2</v>
      </c>
      <c r="M94" s="99" t="s">
        <v>7</v>
      </c>
      <c r="N94" s="99">
        <v>42.02</v>
      </c>
      <c r="O94" s="99">
        <v>9.8000000000000007</v>
      </c>
      <c r="P94" s="99">
        <v>3</v>
      </c>
      <c r="Q94" s="99">
        <v>3.1</v>
      </c>
      <c r="R94" s="99">
        <v>3.6</v>
      </c>
      <c r="S94" s="99" t="s">
        <v>59</v>
      </c>
      <c r="T94" s="102">
        <f t="shared" si="7"/>
        <v>0.13867621433068719</v>
      </c>
    </row>
    <row r="95" spans="1:20" ht="15" thickBot="1" x14ac:dyDescent="0.35">
      <c r="A95" s="85">
        <v>35.5</v>
      </c>
      <c r="B95" s="94">
        <v>22</v>
      </c>
      <c r="C95" s="90" t="s">
        <v>7</v>
      </c>
      <c r="D95" s="90">
        <v>16.87</v>
      </c>
      <c r="E95" s="90">
        <v>6.7</v>
      </c>
      <c r="F95" s="90">
        <v>2.4</v>
      </c>
      <c r="G95" s="90">
        <v>1.9</v>
      </c>
      <c r="H95" s="95">
        <v>1.2</v>
      </c>
      <c r="I95" s="96">
        <f t="shared" si="0"/>
        <v>2.2352188256860729E-2</v>
      </c>
      <c r="K95" s="97">
        <v>11</v>
      </c>
      <c r="L95" s="98">
        <v>7</v>
      </c>
      <c r="M95" s="99" t="s">
        <v>7</v>
      </c>
      <c r="N95" s="99">
        <v>31.19</v>
      </c>
      <c r="O95" s="99">
        <v>10.4</v>
      </c>
      <c r="P95" s="99">
        <v>4.2</v>
      </c>
      <c r="Q95" s="99">
        <v>5.0999999999999996</v>
      </c>
      <c r="R95" s="99">
        <v>2.7</v>
      </c>
      <c r="S95" s="99" t="s">
        <v>59</v>
      </c>
      <c r="T95" s="102">
        <f t="shared" si="7"/>
        <v>7.6404797826346849E-2</v>
      </c>
    </row>
    <row r="96" spans="1:20" ht="15" thickBot="1" x14ac:dyDescent="0.35">
      <c r="A96" s="85">
        <v>36.891733491393431</v>
      </c>
      <c r="B96" s="94">
        <v>15</v>
      </c>
      <c r="C96" s="90" t="s">
        <v>7</v>
      </c>
      <c r="D96" s="90">
        <v>58.25</v>
      </c>
      <c r="E96" s="90">
        <v>7.7</v>
      </c>
      <c r="F96" s="90">
        <v>1.8</v>
      </c>
      <c r="G96" s="90">
        <v>1.6</v>
      </c>
      <c r="H96" s="95">
        <v>3.6</v>
      </c>
      <c r="I96" s="96">
        <f t="shared" si="0"/>
        <v>0.26649050557927545</v>
      </c>
      <c r="K96" s="97">
        <v>12</v>
      </c>
      <c r="L96" s="98">
        <v>9</v>
      </c>
      <c r="M96" s="99" t="s">
        <v>7</v>
      </c>
      <c r="N96" s="99">
        <v>27.69</v>
      </c>
      <c r="O96" s="99">
        <v>8.4</v>
      </c>
      <c r="P96" s="99">
        <v>3.3</v>
      </c>
      <c r="Q96" s="99">
        <v>2.5</v>
      </c>
      <c r="R96" s="99">
        <v>2.2000000000000002</v>
      </c>
      <c r="S96" s="99" t="s">
        <v>59</v>
      </c>
      <c r="T96" s="102">
        <f t="shared" si="7"/>
        <v>6.0219312475052231E-2</v>
      </c>
    </row>
    <row r="97" spans="1:23" ht="15" thickBot="1" x14ac:dyDescent="0.35">
      <c r="A97" s="85">
        <v>38.683976010746356</v>
      </c>
      <c r="B97" s="94">
        <v>13</v>
      </c>
      <c r="C97" s="90" t="s">
        <v>7</v>
      </c>
      <c r="D97" s="90">
        <v>42.65</v>
      </c>
      <c r="E97" s="90">
        <v>10.3</v>
      </c>
      <c r="F97" s="90">
        <v>3.9</v>
      </c>
      <c r="G97" s="90">
        <v>2.7</v>
      </c>
      <c r="H97" s="95">
        <v>2</v>
      </c>
      <c r="I97" s="96">
        <f>PI()/40000*D97^2</f>
        <v>0.14286569306786348</v>
      </c>
      <c r="K97" s="97">
        <v>13</v>
      </c>
      <c r="L97" s="98">
        <v>21</v>
      </c>
      <c r="M97" s="99" t="s">
        <v>7</v>
      </c>
      <c r="N97" s="99">
        <v>22.28</v>
      </c>
      <c r="O97" s="99">
        <v>5.4</v>
      </c>
      <c r="P97" s="99">
        <v>1.9</v>
      </c>
      <c r="Q97" s="99">
        <v>2.4</v>
      </c>
      <c r="R97" s="99">
        <v>1.2</v>
      </c>
      <c r="S97" s="99" t="s">
        <v>59</v>
      </c>
      <c r="T97" s="102">
        <f t="shared" si="7"/>
        <v>3.8987039167343189E-2</v>
      </c>
    </row>
    <row r="98" spans="1:23" ht="15" thickBot="1" x14ac:dyDescent="0.35">
      <c r="A98" s="85">
        <v>38.916577444580092</v>
      </c>
      <c r="B98" s="94">
        <v>23</v>
      </c>
      <c r="C98" s="90" t="s">
        <v>7</v>
      </c>
      <c r="D98" s="90">
        <v>20.37</v>
      </c>
      <c r="E98" s="90">
        <v>7</v>
      </c>
      <c r="F98" s="90">
        <v>2.5</v>
      </c>
      <c r="G98" s="90">
        <v>2.5</v>
      </c>
      <c r="H98" s="95">
        <v>1.3</v>
      </c>
      <c r="I98" s="96">
        <f>PI()/40000*D98^2</f>
        <v>3.258906791858307E-2</v>
      </c>
      <c r="K98" s="97">
        <v>14</v>
      </c>
      <c r="L98" s="98">
        <v>10</v>
      </c>
      <c r="M98" s="99" t="s">
        <v>7</v>
      </c>
      <c r="N98" s="99">
        <v>27.37</v>
      </c>
      <c r="O98" s="99">
        <v>7.2</v>
      </c>
      <c r="P98" s="99">
        <v>2.8</v>
      </c>
      <c r="Q98" s="99">
        <v>1.6</v>
      </c>
      <c r="R98" s="99">
        <v>2</v>
      </c>
      <c r="S98" s="99" t="s">
        <v>59</v>
      </c>
      <c r="T98" s="102">
        <f t="shared" si="7"/>
        <v>5.8835503742999E-2</v>
      </c>
    </row>
    <row r="99" spans="1:23" ht="15" thickBot="1" x14ac:dyDescent="0.35">
      <c r="A99" s="85">
        <v>39.599116151752682</v>
      </c>
      <c r="B99" s="94">
        <v>11</v>
      </c>
      <c r="C99" s="90" t="s">
        <v>7</v>
      </c>
      <c r="D99" s="90">
        <v>48.38</v>
      </c>
      <c r="E99" s="90">
        <v>8.5</v>
      </c>
      <c r="F99" s="90">
        <v>3.5</v>
      </c>
      <c r="G99" s="90">
        <v>2</v>
      </c>
      <c r="H99" s="95">
        <v>2.2999999999999998</v>
      </c>
      <c r="I99" s="96">
        <f>PI()/40000*D99^2</f>
        <v>0.18383221049632545</v>
      </c>
      <c r="K99" s="97">
        <v>15</v>
      </c>
      <c r="L99" s="98">
        <v>1</v>
      </c>
      <c r="M99" s="99" t="s">
        <v>7</v>
      </c>
      <c r="N99" s="99">
        <v>25.46</v>
      </c>
      <c r="O99" s="99">
        <v>7.4</v>
      </c>
      <c r="P99" s="99">
        <v>2.7</v>
      </c>
      <c r="Q99" s="99">
        <v>2.2000000000000002</v>
      </c>
      <c r="R99" s="99">
        <v>1.8</v>
      </c>
      <c r="S99" s="99" t="s">
        <v>59</v>
      </c>
      <c r="T99" s="102">
        <f t="shared" si="7"/>
        <v>5.0910420013292143E-2</v>
      </c>
    </row>
    <row r="100" spans="1:23" ht="16.8" thickBot="1" x14ac:dyDescent="0.35">
      <c r="H100" t="s">
        <v>60</v>
      </c>
      <c r="I100" s="96">
        <f>SUM(I75:I99)</f>
        <v>2.3267372131582729</v>
      </c>
      <c r="K100" s="97">
        <v>16</v>
      </c>
      <c r="L100" s="98">
        <v>25</v>
      </c>
      <c r="M100" s="99" t="s">
        <v>8</v>
      </c>
      <c r="N100" s="99">
        <v>30.24</v>
      </c>
      <c r="O100" s="99">
        <v>7.5</v>
      </c>
      <c r="P100" s="99">
        <v>1.8</v>
      </c>
      <c r="Q100" s="99">
        <v>1.8</v>
      </c>
      <c r="R100" s="99" t="s">
        <v>59</v>
      </c>
      <c r="S100" s="99" t="s">
        <v>59</v>
      </c>
      <c r="T100" s="102">
        <f t="shared" si="7"/>
        <v>7.1821331954483841E-2</v>
      </c>
    </row>
    <row r="101" spans="1:23" ht="16.2" thickBot="1" x14ac:dyDescent="0.35">
      <c r="H101" s="114" t="s">
        <v>62</v>
      </c>
      <c r="I101" s="96">
        <f>I100*10000/E71</f>
        <v>4.6288966093750004</v>
      </c>
      <c r="K101" s="97">
        <v>17</v>
      </c>
      <c r="L101" s="98">
        <v>31</v>
      </c>
      <c r="M101" s="99" t="s">
        <v>8</v>
      </c>
      <c r="N101" s="99">
        <v>21.96</v>
      </c>
      <c r="O101" s="99">
        <v>5.0999999999999996</v>
      </c>
      <c r="P101" s="99">
        <v>1.5</v>
      </c>
      <c r="Q101" s="99">
        <v>1.5</v>
      </c>
      <c r="R101" s="99" t="s">
        <v>59</v>
      </c>
      <c r="S101" s="99" t="s">
        <v>59</v>
      </c>
      <c r="T101" s="102">
        <f t="shared" si="7"/>
        <v>3.7875166695384696E-2</v>
      </c>
    </row>
    <row r="102" spans="1:23" ht="15" thickBot="1" x14ac:dyDescent="0.35">
      <c r="K102" s="97">
        <v>18</v>
      </c>
      <c r="L102" s="98">
        <v>27</v>
      </c>
      <c r="M102" s="99" t="s">
        <v>8</v>
      </c>
      <c r="N102" s="99">
        <v>20.37</v>
      </c>
      <c r="O102" s="99">
        <v>5.3</v>
      </c>
      <c r="P102" s="99">
        <v>1.8</v>
      </c>
      <c r="Q102" s="99">
        <v>1.8</v>
      </c>
      <c r="R102" s="99" t="s">
        <v>59</v>
      </c>
      <c r="S102" s="99" t="s">
        <v>59</v>
      </c>
      <c r="T102" s="102">
        <f t="shared" si="7"/>
        <v>3.258906791858307E-2</v>
      </c>
    </row>
    <row r="103" spans="1:23" ht="15" thickBot="1" x14ac:dyDescent="0.35">
      <c r="K103" s="97">
        <v>19</v>
      </c>
      <c r="L103" s="98">
        <v>26</v>
      </c>
      <c r="M103" s="99" t="s">
        <v>8</v>
      </c>
      <c r="N103" s="99">
        <v>17.190000000000001</v>
      </c>
      <c r="O103" s="99">
        <v>4.7</v>
      </c>
      <c r="P103" s="99">
        <v>1.5</v>
      </c>
      <c r="Q103" s="99">
        <v>1.5</v>
      </c>
      <c r="R103" s="99" t="s">
        <v>59</v>
      </c>
      <c r="S103" s="99" t="s">
        <v>59</v>
      </c>
      <c r="T103" s="102">
        <f t="shared" si="7"/>
        <v>2.3208209423110877E-2</v>
      </c>
      <c r="V103" s="111" t="s">
        <v>61</v>
      </c>
      <c r="W103" s="112">
        <f>(20-1)/20</f>
        <v>0.95</v>
      </c>
    </row>
    <row r="104" spans="1:23" ht="16.8" thickBot="1" x14ac:dyDescent="0.35">
      <c r="K104" s="97">
        <v>20</v>
      </c>
      <c r="L104" s="94">
        <v>18</v>
      </c>
      <c r="M104" s="90" t="s">
        <v>7</v>
      </c>
      <c r="N104" s="90">
        <v>31.83</v>
      </c>
      <c r="O104" s="90">
        <v>7.4</v>
      </c>
      <c r="P104" s="90">
        <v>3.2</v>
      </c>
      <c r="Q104" s="90">
        <v>3.2</v>
      </c>
      <c r="R104" s="90">
        <v>2.8</v>
      </c>
      <c r="S104" s="125">
        <v>33.560095351473599</v>
      </c>
      <c r="T104" s="115">
        <f t="shared" si="7"/>
        <v>7.9572528530814493E-2</v>
      </c>
      <c r="U104" s="118">
        <f>SUM(T85:T104)</f>
        <v>1.6786075478393647</v>
      </c>
      <c r="V104" s="117" t="s">
        <v>63</v>
      </c>
    </row>
    <row r="105" spans="1:23" ht="16.2" x14ac:dyDescent="0.3">
      <c r="U105" s="123">
        <f>U104*10000/N82*W103</f>
        <v>4.5068855757449313</v>
      </c>
      <c r="V105" s="117" t="s">
        <v>64</v>
      </c>
    </row>
    <row r="106" spans="1:23" ht="15" thickBot="1" x14ac:dyDescent="0.35">
      <c r="L106" t="s">
        <v>65</v>
      </c>
      <c r="M106" s="87" t="s">
        <v>48</v>
      </c>
      <c r="N106" s="88">
        <f>PI()*(AVERAGE(S128:S129))^2</f>
        <v>3745.7969238197443</v>
      </c>
    </row>
    <row r="107" spans="1:23" ht="15.6" thickTop="1" thickBot="1" x14ac:dyDescent="0.35">
      <c r="L107" s="193" t="s">
        <v>1</v>
      </c>
      <c r="M107" s="193" t="s">
        <v>2</v>
      </c>
      <c r="N107" s="193" t="s">
        <v>3</v>
      </c>
      <c r="O107" s="195" t="s">
        <v>52</v>
      </c>
      <c r="P107" s="196"/>
      <c r="Q107" s="196"/>
      <c r="R107" s="197"/>
      <c r="S107" s="183" t="s">
        <v>54</v>
      </c>
      <c r="T107" s="191" t="s">
        <v>53</v>
      </c>
    </row>
    <row r="108" spans="1:23" ht="15" thickBot="1" x14ac:dyDescent="0.35">
      <c r="L108" s="194"/>
      <c r="M108" s="194"/>
      <c r="N108" s="194"/>
      <c r="O108" s="99" t="s">
        <v>55</v>
      </c>
      <c r="P108" s="99" t="s">
        <v>56</v>
      </c>
      <c r="Q108" s="99" t="s">
        <v>57</v>
      </c>
      <c r="R108" s="99" t="s">
        <v>58</v>
      </c>
      <c r="S108" s="184"/>
      <c r="T108" s="192"/>
    </row>
    <row r="109" spans="1:23" ht="15" thickBot="1" x14ac:dyDescent="0.35">
      <c r="K109" s="97">
        <v>1</v>
      </c>
      <c r="L109" s="98">
        <v>29</v>
      </c>
      <c r="M109" s="99" t="s">
        <v>8</v>
      </c>
      <c r="N109" s="99">
        <v>48.06</v>
      </c>
      <c r="O109" s="99">
        <v>10.6</v>
      </c>
      <c r="P109" s="99">
        <v>2.2999999999999998</v>
      </c>
      <c r="Q109" s="99">
        <v>2.2999999999999998</v>
      </c>
      <c r="R109" s="99" t="s">
        <v>59</v>
      </c>
      <c r="S109" s="99" t="s">
        <v>59</v>
      </c>
      <c r="T109" s="102">
        <f>PI()/40000*N109^2</f>
        <v>0.18140840893222784</v>
      </c>
    </row>
    <row r="110" spans="1:23" ht="15" thickBot="1" x14ac:dyDescent="0.35">
      <c r="K110" s="97">
        <v>2</v>
      </c>
      <c r="L110" s="98">
        <v>4</v>
      </c>
      <c r="M110" s="99" t="s">
        <v>7</v>
      </c>
      <c r="N110" s="99">
        <v>22.6</v>
      </c>
      <c r="O110" s="99">
        <v>7.1</v>
      </c>
      <c r="P110" s="99">
        <v>2.1</v>
      </c>
      <c r="Q110" s="99">
        <v>1.6</v>
      </c>
      <c r="R110" s="99">
        <v>1.5</v>
      </c>
      <c r="S110" s="99" t="s">
        <v>59</v>
      </c>
      <c r="T110" s="102">
        <f t="shared" ref="T110:T128" si="8">PI()/40000*N110^2</f>
        <v>4.0114996593688071E-2</v>
      </c>
    </row>
    <row r="111" spans="1:23" ht="15" thickBot="1" x14ac:dyDescent="0.35">
      <c r="K111" s="97">
        <v>3</v>
      </c>
      <c r="L111" s="98">
        <v>5</v>
      </c>
      <c r="M111" s="99" t="s">
        <v>7</v>
      </c>
      <c r="N111" s="99">
        <v>44.56</v>
      </c>
      <c r="O111" s="99">
        <v>8.8000000000000007</v>
      </c>
      <c r="P111" s="99">
        <v>3</v>
      </c>
      <c r="Q111" s="99">
        <v>1.4</v>
      </c>
      <c r="R111" s="99">
        <v>2.7</v>
      </c>
      <c r="S111" s="99" t="s">
        <v>59</v>
      </c>
      <c r="T111" s="102">
        <f t="shared" si="8"/>
        <v>0.15594815666937276</v>
      </c>
    </row>
    <row r="112" spans="1:23" ht="15" thickBot="1" x14ac:dyDescent="0.35">
      <c r="K112" s="97">
        <v>4</v>
      </c>
      <c r="L112" s="98">
        <v>28</v>
      </c>
      <c r="M112" s="99" t="s">
        <v>8</v>
      </c>
      <c r="N112" s="99">
        <v>13.69</v>
      </c>
      <c r="O112" s="99">
        <v>4.2</v>
      </c>
      <c r="P112" s="99">
        <v>1.5</v>
      </c>
      <c r="Q112" s="99">
        <v>1.5</v>
      </c>
      <c r="R112" s="99" t="s">
        <v>59</v>
      </c>
      <c r="S112" s="99" t="s">
        <v>59</v>
      </c>
      <c r="T112" s="102">
        <f t="shared" si="8"/>
        <v>1.4719626073111251E-2</v>
      </c>
    </row>
    <row r="113" spans="11:22" ht="15" thickBot="1" x14ac:dyDescent="0.35">
      <c r="K113" s="97">
        <v>5</v>
      </c>
      <c r="L113" s="98">
        <v>24</v>
      </c>
      <c r="M113" s="99" t="s">
        <v>8</v>
      </c>
      <c r="N113" s="99">
        <v>25.46</v>
      </c>
      <c r="O113" s="99">
        <v>6.9</v>
      </c>
      <c r="P113" s="99">
        <v>2.1</v>
      </c>
      <c r="Q113" s="99">
        <v>2.1</v>
      </c>
      <c r="R113" s="99" t="s">
        <v>59</v>
      </c>
      <c r="S113" s="99" t="s">
        <v>59</v>
      </c>
      <c r="T113" s="102">
        <f t="shared" si="8"/>
        <v>5.0910420013292143E-2</v>
      </c>
    </row>
    <row r="114" spans="11:22" ht="15" thickBot="1" x14ac:dyDescent="0.35">
      <c r="K114" s="97">
        <v>6</v>
      </c>
      <c r="L114" s="98">
        <v>3</v>
      </c>
      <c r="M114" s="99" t="s">
        <v>7</v>
      </c>
      <c r="N114" s="99">
        <v>34.06</v>
      </c>
      <c r="O114" s="99">
        <v>9.3000000000000007</v>
      </c>
      <c r="P114" s="99">
        <v>3.1</v>
      </c>
      <c r="Q114" s="99">
        <v>2.9</v>
      </c>
      <c r="R114" s="99">
        <v>2.2000000000000002</v>
      </c>
      <c r="S114" s="99" t="s">
        <v>59</v>
      </c>
      <c r="T114" s="102">
        <f t="shared" si="8"/>
        <v>9.1112752882750017E-2</v>
      </c>
    </row>
    <row r="115" spans="11:22" ht="15" thickBot="1" x14ac:dyDescent="0.35">
      <c r="K115" s="97">
        <v>7</v>
      </c>
      <c r="L115" s="98">
        <v>30</v>
      </c>
      <c r="M115" s="99" t="s">
        <v>8</v>
      </c>
      <c r="N115" s="99">
        <v>18.46</v>
      </c>
      <c r="O115" s="99">
        <v>5.5</v>
      </c>
      <c r="P115" s="99">
        <v>1.7</v>
      </c>
      <c r="Q115" s="99">
        <v>1.7</v>
      </c>
      <c r="R115" s="99" t="s">
        <v>59</v>
      </c>
      <c r="S115" s="99" t="s">
        <v>59</v>
      </c>
      <c r="T115" s="102">
        <f t="shared" si="8"/>
        <v>2.6764138877800991E-2</v>
      </c>
    </row>
    <row r="116" spans="11:22" ht="15" thickBot="1" x14ac:dyDescent="0.35">
      <c r="K116" s="97">
        <v>8</v>
      </c>
      <c r="L116" s="98">
        <v>8</v>
      </c>
      <c r="M116" s="99" t="s">
        <v>7</v>
      </c>
      <c r="N116" s="99">
        <v>60.8</v>
      </c>
      <c r="O116" s="99">
        <v>14</v>
      </c>
      <c r="P116" s="99">
        <v>2.4</v>
      </c>
      <c r="Q116" s="99">
        <v>2.2000000000000002</v>
      </c>
      <c r="R116" s="99">
        <v>3.4</v>
      </c>
      <c r="S116" s="99" t="s">
        <v>59</v>
      </c>
      <c r="T116" s="102">
        <f t="shared" si="8"/>
        <v>0.29033342667415429</v>
      </c>
    </row>
    <row r="117" spans="11:22" ht="15" thickBot="1" x14ac:dyDescent="0.35">
      <c r="K117" s="97">
        <v>9</v>
      </c>
      <c r="L117" s="98">
        <v>6</v>
      </c>
      <c r="M117" s="99" t="s">
        <v>7</v>
      </c>
      <c r="N117" s="99">
        <v>44.88</v>
      </c>
      <c r="O117" s="99">
        <v>7.8</v>
      </c>
      <c r="P117" s="99">
        <v>2.4</v>
      </c>
      <c r="Q117" s="99">
        <v>1.9</v>
      </c>
      <c r="R117" s="99">
        <v>2.4</v>
      </c>
      <c r="S117" s="99" t="s">
        <v>59</v>
      </c>
      <c r="T117" s="102">
        <f t="shared" si="8"/>
        <v>0.15819602904486935</v>
      </c>
    </row>
    <row r="118" spans="11:22" ht="15" thickBot="1" x14ac:dyDescent="0.35">
      <c r="K118" s="97">
        <v>10</v>
      </c>
      <c r="L118" s="98">
        <v>2</v>
      </c>
      <c r="M118" s="99" t="s">
        <v>7</v>
      </c>
      <c r="N118" s="99">
        <v>42.02</v>
      </c>
      <c r="O118" s="99">
        <v>9.8000000000000007</v>
      </c>
      <c r="P118" s="99">
        <v>3</v>
      </c>
      <c r="Q118" s="99">
        <v>3.1</v>
      </c>
      <c r="R118" s="99">
        <v>3.6</v>
      </c>
      <c r="S118" s="99" t="s">
        <v>59</v>
      </c>
      <c r="T118" s="102">
        <f t="shared" si="8"/>
        <v>0.13867621433068719</v>
      </c>
    </row>
    <row r="119" spans="11:22" ht="15" thickBot="1" x14ac:dyDescent="0.35">
      <c r="K119" s="97">
        <v>11</v>
      </c>
      <c r="L119" s="98">
        <v>7</v>
      </c>
      <c r="M119" s="99" t="s">
        <v>7</v>
      </c>
      <c r="N119" s="99">
        <v>31.19</v>
      </c>
      <c r="O119" s="99">
        <v>10.4</v>
      </c>
      <c r="P119" s="99">
        <v>4.2</v>
      </c>
      <c r="Q119" s="99">
        <v>5.0999999999999996</v>
      </c>
      <c r="R119" s="99">
        <v>2.7</v>
      </c>
      <c r="S119" s="99" t="s">
        <v>59</v>
      </c>
      <c r="T119" s="102">
        <f t="shared" si="8"/>
        <v>7.6404797826346849E-2</v>
      </c>
    </row>
    <row r="120" spans="11:22" ht="15" thickBot="1" x14ac:dyDescent="0.35">
      <c r="K120" s="97">
        <v>12</v>
      </c>
      <c r="L120" s="98">
        <v>9</v>
      </c>
      <c r="M120" s="99" t="s">
        <v>7</v>
      </c>
      <c r="N120" s="99">
        <v>27.69</v>
      </c>
      <c r="O120" s="99">
        <v>8.4</v>
      </c>
      <c r="P120" s="99">
        <v>3.3</v>
      </c>
      <c r="Q120" s="99">
        <v>2.5</v>
      </c>
      <c r="R120" s="99">
        <v>2.2000000000000002</v>
      </c>
      <c r="S120" s="99" t="s">
        <v>59</v>
      </c>
      <c r="T120" s="102">
        <f t="shared" si="8"/>
        <v>6.0219312475052231E-2</v>
      </c>
    </row>
    <row r="121" spans="11:22" ht="15" thickBot="1" x14ac:dyDescent="0.35">
      <c r="K121" s="97">
        <v>13</v>
      </c>
      <c r="L121" s="98">
        <v>21</v>
      </c>
      <c r="M121" s="99" t="s">
        <v>7</v>
      </c>
      <c r="N121" s="99">
        <v>22.28</v>
      </c>
      <c r="O121" s="99">
        <v>5.4</v>
      </c>
      <c r="P121" s="99">
        <v>1.9</v>
      </c>
      <c r="Q121" s="99">
        <v>2.4</v>
      </c>
      <c r="R121" s="99">
        <v>1.2</v>
      </c>
      <c r="S121" s="99" t="s">
        <v>59</v>
      </c>
      <c r="T121" s="102">
        <f t="shared" si="8"/>
        <v>3.8987039167343189E-2</v>
      </c>
    </row>
    <row r="122" spans="11:22" ht="15" thickBot="1" x14ac:dyDescent="0.35">
      <c r="K122" s="97">
        <v>14</v>
      </c>
      <c r="L122" s="98">
        <v>10</v>
      </c>
      <c r="M122" s="99" t="s">
        <v>7</v>
      </c>
      <c r="N122" s="99">
        <v>27.37</v>
      </c>
      <c r="O122" s="99">
        <v>7.2</v>
      </c>
      <c r="P122" s="99">
        <v>2.8</v>
      </c>
      <c r="Q122" s="99">
        <v>1.6</v>
      </c>
      <c r="R122" s="99">
        <v>2</v>
      </c>
      <c r="S122" s="99" t="s">
        <v>59</v>
      </c>
      <c r="T122" s="102">
        <f t="shared" si="8"/>
        <v>5.8835503742999E-2</v>
      </c>
    </row>
    <row r="123" spans="11:22" ht="15" thickBot="1" x14ac:dyDescent="0.35">
      <c r="K123" s="97">
        <v>15</v>
      </c>
      <c r="L123" s="98">
        <v>1</v>
      </c>
      <c r="M123" s="99" t="s">
        <v>7</v>
      </c>
      <c r="N123" s="99">
        <v>25.46</v>
      </c>
      <c r="O123" s="99">
        <v>7.4</v>
      </c>
      <c r="P123" s="99">
        <v>2.7</v>
      </c>
      <c r="Q123" s="99">
        <v>2.2000000000000002</v>
      </c>
      <c r="R123" s="99">
        <v>1.8</v>
      </c>
      <c r="S123" s="99" t="s">
        <v>59</v>
      </c>
      <c r="T123" s="102">
        <f t="shared" si="8"/>
        <v>5.0910420013292143E-2</v>
      </c>
    </row>
    <row r="124" spans="11:22" ht="15" thickBot="1" x14ac:dyDescent="0.35">
      <c r="K124" s="97">
        <v>16</v>
      </c>
      <c r="L124" s="98">
        <v>25</v>
      </c>
      <c r="M124" s="99" t="s">
        <v>8</v>
      </c>
      <c r="N124" s="99">
        <v>30.24</v>
      </c>
      <c r="O124" s="99">
        <v>7.5</v>
      </c>
      <c r="P124" s="99">
        <v>1.8</v>
      </c>
      <c r="Q124" s="99">
        <v>1.8</v>
      </c>
      <c r="R124" s="99" t="s">
        <v>59</v>
      </c>
      <c r="S124" s="99" t="s">
        <v>59</v>
      </c>
      <c r="T124" s="102">
        <f t="shared" si="8"/>
        <v>7.1821331954483841E-2</v>
      </c>
    </row>
    <row r="125" spans="11:22" ht="15" thickBot="1" x14ac:dyDescent="0.35">
      <c r="K125" s="97">
        <v>17</v>
      </c>
      <c r="L125" s="98">
        <v>31</v>
      </c>
      <c r="M125" s="99" t="s">
        <v>8</v>
      </c>
      <c r="N125" s="99">
        <v>21.96</v>
      </c>
      <c r="O125" s="99">
        <v>5.0999999999999996</v>
      </c>
      <c r="P125" s="99">
        <v>1.5</v>
      </c>
      <c r="Q125" s="99">
        <v>1.5</v>
      </c>
      <c r="R125" s="99" t="s">
        <v>59</v>
      </c>
      <c r="S125" s="99" t="s">
        <v>59</v>
      </c>
      <c r="T125" s="102">
        <f t="shared" si="8"/>
        <v>3.7875166695384696E-2</v>
      </c>
    </row>
    <row r="126" spans="11:22" ht="15" thickBot="1" x14ac:dyDescent="0.35">
      <c r="K126" s="97">
        <v>18</v>
      </c>
      <c r="L126" s="98">
        <v>27</v>
      </c>
      <c r="M126" s="99" t="s">
        <v>8</v>
      </c>
      <c r="N126" s="99">
        <v>20.37</v>
      </c>
      <c r="O126" s="99">
        <v>5.3</v>
      </c>
      <c r="P126" s="99">
        <v>1.8</v>
      </c>
      <c r="Q126" s="99">
        <v>1.8</v>
      </c>
      <c r="R126" s="99" t="s">
        <v>59</v>
      </c>
      <c r="S126" s="99" t="s">
        <v>59</v>
      </c>
      <c r="T126" s="102">
        <f t="shared" si="8"/>
        <v>3.258906791858307E-2</v>
      </c>
    </row>
    <row r="127" spans="11:22" ht="15" thickBot="1" x14ac:dyDescent="0.35">
      <c r="K127" s="97">
        <v>19</v>
      </c>
      <c r="L127" s="98">
        <v>26</v>
      </c>
      <c r="M127" s="99" t="s">
        <v>8</v>
      </c>
      <c r="N127" s="99">
        <v>17.190000000000001</v>
      </c>
      <c r="O127" s="99">
        <v>4.7</v>
      </c>
      <c r="P127" s="99">
        <v>1.5</v>
      </c>
      <c r="Q127" s="99">
        <v>1.5</v>
      </c>
      <c r="R127" s="99" t="s">
        <v>59</v>
      </c>
      <c r="S127" s="99" t="s">
        <v>59</v>
      </c>
      <c r="T127" s="102">
        <f t="shared" si="8"/>
        <v>2.3208209423110877E-2</v>
      </c>
    </row>
    <row r="128" spans="11:22" ht="16.8" thickBot="1" x14ac:dyDescent="0.35">
      <c r="K128" s="97">
        <v>20</v>
      </c>
      <c r="L128" s="94">
        <v>18</v>
      </c>
      <c r="M128" s="90" t="s">
        <v>7</v>
      </c>
      <c r="N128" s="90">
        <v>31.83</v>
      </c>
      <c r="O128" s="90">
        <v>7.4</v>
      </c>
      <c r="P128" s="90">
        <v>3.2</v>
      </c>
      <c r="Q128" s="90">
        <v>3.2</v>
      </c>
      <c r="R128" s="90">
        <v>2.8</v>
      </c>
      <c r="S128" s="125">
        <v>33.560095351473599</v>
      </c>
      <c r="T128" s="115">
        <f t="shared" si="8"/>
        <v>7.9572528530814493E-2</v>
      </c>
      <c r="U128" s="118">
        <f>SUM(T109:T128)</f>
        <v>1.6786075478393647</v>
      </c>
      <c r="V128" s="117" t="s">
        <v>63</v>
      </c>
    </row>
    <row r="129" spans="11:22" ht="16.8" thickBot="1" x14ac:dyDescent="0.35">
      <c r="K129" s="97">
        <v>21</v>
      </c>
      <c r="L129" s="94">
        <v>22</v>
      </c>
      <c r="M129" s="90" t="s">
        <v>7</v>
      </c>
      <c r="N129" s="99" t="s">
        <v>59</v>
      </c>
      <c r="O129" s="99" t="s">
        <v>59</v>
      </c>
      <c r="P129" s="99" t="s">
        <v>59</v>
      </c>
      <c r="Q129" s="99" t="s">
        <v>59</v>
      </c>
      <c r="R129" s="99" t="s">
        <v>59</v>
      </c>
      <c r="S129" s="126">
        <v>35.5</v>
      </c>
      <c r="T129" s="127"/>
      <c r="U129" s="123">
        <f>U128*10000/N106</f>
        <v>4.4813095370039946</v>
      </c>
      <c r="V129" s="117" t="s">
        <v>64</v>
      </c>
    </row>
  </sheetData>
  <mergeCells count="68">
    <mergeCell ref="T107:T108"/>
    <mergeCell ref="M83:M84"/>
    <mergeCell ref="N83:N84"/>
    <mergeCell ref="O83:R83"/>
    <mergeCell ref="S83:S84"/>
    <mergeCell ref="T83:T84"/>
    <mergeCell ref="L107:L108"/>
    <mergeCell ref="M107:M108"/>
    <mergeCell ref="N107:N108"/>
    <mergeCell ref="O107:R107"/>
    <mergeCell ref="S107:S108"/>
    <mergeCell ref="B73:B74"/>
    <mergeCell ref="C73:C74"/>
    <mergeCell ref="D73:D74"/>
    <mergeCell ref="E73:H73"/>
    <mergeCell ref="I73:I74"/>
    <mergeCell ref="L83:L84"/>
    <mergeCell ref="L65:L66"/>
    <mergeCell ref="M65:M66"/>
    <mergeCell ref="N65:N66"/>
    <mergeCell ref="O65:R65"/>
    <mergeCell ref="T39:T40"/>
    <mergeCell ref="S65:S66"/>
    <mergeCell ref="T65:T66"/>
    <mergeCell ref="T51:T52"/>
    <mergeCell ref="B53:B54"/>
    <mergeCell ref="C53:C54"/>
    <mergeCell ref="D53:D54"/>
    <mergeCell ref="E53:H53"/>
    <mergeCell ref="I53:I54"/>
    <mergeCell ref="L51:L52"/>
    <mergeCell ref="M51:M52"/>
    <mergeCell ref="N51:N52"/>
    <mergeCell ref="O51:R51"/>
    <mergeCell ref="S51:S52"/>
    <mergeCell ref="L39:L40"/>
    <mergeCell ref="B39:B40"/>
    <mergeCell ref="O30:R30"/>
    <mergeCell ref="S30:S31"/>
    <mergeCell ref="M39:M40"/>
    <mergeCell ref="N39:N40"/>
    <mergeCell ref="O39:R39"/>
    <mergeCell ref="S39:S40"/>
    <mergeCell ref="C39:C40"/>
    <mergeCell ref="D39:D40"/>
    <mergeCell ref="E39:H39"/>
    <mergeCell ref="I39:I40"/>
    <mergeCell ref="B30:B31"/>
    <mergeCell ref="C30:C31"/>
    <mergeCell ref="D30:D31"/>
    <mergeCell ref="E30:H30"/>
    <mergeCell ref="I30:I31"/>
    <mergeCell ref="L30:L31"/>
    <mergeCell ref="I2:K11"/>
    <mergeCell ref="I13:K22"/>
    <mergeCell ref="AA14:AK14"/>
    <mergeCell ref="AA15:AA16"/>
    <mergeCell ref="AB15:AB16"/>
    <mergeCell ref="AD15:AG15"/>
    <mergeCell ref="AH15:AK15"/>
    <mergeCell ref="AA30:AA31"/>
    <mergeCell ref="AB30:AB31"/>
    <mergeCell ref="AC30:AF30"/>
    <mergeCell ref="AG30:AG31"/>
    <mergeCell ref="T30:T31"/>
    <mergeCell ref="Z30:Z31"/>
    <mergeCell ref="M30:M31"/>
    <mergeCell ref="N30:N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0"/>
  <sheetViews>
    <sheetView tabSelected="1" topLeftCell="U69" zoomScale="122" zoomScaleNormal="122" workbookViewId="0">
      <selection activeCell="AA72" sqref="AA72"/>
    </sheetView>
  </sheetViews>
  <sheetFormatPr defaultRowHeight="14.4" x14ac:dyDescent="0.3"/>
  <cols>
    <col min="6" max="6" width="14.109375" style="1" customWidth="1"/>
    <col min="8" max="8" width="9.5546875" bestFit="1" customWidth="1"/>
    <col min="9" max="11" width="9" bestFit="1" customWidth="1"/>
    <col min="15" max="15" width="9.44140625" customWidth="1"/>
    <col min="22" max="22" width="6.6640625" customWidth="1"/>
    <col min="51" max="51" width="8.88671875" style="1"/>
  </cols>
  <sheetData>
    <row r="1" spans="1:53" ht="50.4" customHeight="1" x14ac:dyDescent="0.7">
      <c r="A1" s="200" t="s">
        <v>0</v>
      </c>
      <c r="B1" s="201"/>
      <c r="C1" s="201"/>
      <c r="D1" s="201"/>
      <c r="E1" s="201"/>
      <c r="F1" s="201"/>
      <c r="H1" t="s">
        <v>12</v>
      </c>
      <c r="K1" s="3" t="s">
        <v>10</v>
      </c>
    </row>
    <row r="2" spans="1:53" ht="15.6" customHeight="1" x14ac:dyDescent="0.3">
      <c r="A2" s="13"/>
      <c r="B2" s="13"/>
      <c r="C2" s="13"/>
      <c r="D2" s="199" t="s">
        <v>4</v>
      </c>
      <c r="E2" s="199"/>
      <c r="F2" s="10" t="s">
        <v>15</v>
      </c>
      <c r="H2" t="s">
        <v>11</v>
      </c>
      <c r="I2" s="2">
        <f>MAX(F4:F34)</f>
        <v>57.142803571403462</v>
      </c>
    </row>
    <row r="3" spans="1:53" x14ac:dyDescent="0.3">
      <c r="A3" s="12" t="s">
        <v>1</v>
      </c>
      <c r="B3" s="12" t="s">
        <v>2</v>
      </c>
      <c r="C3" s="12" t="s">
        <v>3</v>
      </c>
      <c r="D3" s="12" t="s">
        <v>5</v>
      </c>
      <c r="E3" s="12" t="s">
        <v>6</v>
      </c>
      <c r="F3" s="13" t="s">
        <v>9</v>
      </c>
      <c r="H3" t="s">
        <v>13</v>
      </c>
    </row>
    <row r="4" spans="1:53" x14ac:dyDescent="0.3">
      <c r="A4" s="11">
        <v>29</v>
      </c>
      <c r="B4" s="11" t="s">
        <v>8</v>
      </c>
      <c r="C4" s="11">
        <v>48.06</v>
      </c>
      <c r="D4" s="11">
        <v>-1.6</v>
      </c>
      <c r="E4" s="11">
        <v>-0.1</v>
      </c>
      <c r="F4" s="15">
        <f t="shared" ref="F4:F34" si="0">SQRT(D4^2+E4^2)</f>
        <v>1.6031219541881399</v>
      </c>
      <c r="H4" t="s">
        <v>14</v>
      </c>
    </row>
    <row r="5" spans="1:53" x14ac:dyDescent="0.3">
      <c r="A5" s="11">
        <v>4</v>
      </c>
      <c r="B5" s="11" t="s">
        <v>7</v>
      </c>
      <c r="C5" s="11">
        <v>22.6</v>
      </c>
      <c r="D5" s="11">
        <v>-6</v>
      </c>
      <c r="E5" s="11">
        <v>1.7</v>
      </c>
      <c r="F5" s="15">
        <f t="shared" si="0"/>
        <v>6.2361847310675458</v>
      </c>
    </row>
    <row r="6" spans="1:53" x14ac:dyDescent="0.3">
      <c r="A6" s="11">
        <v>5</v>
      </c>
      <c r="B6" s="11" t="s">
        <v>7</v>
      </c>
      <c r="C6" s="11">
        <v>44.56</v>
      </c>
      <c r="D6" s="11">
        <v>-2.1</v>
      </c>
      <c r="E6" s="11">
        <v>-9.1999999999999993</v>
      </c>
      <c r="F6" s="15">
        <f t="shared" si="0"/>
        <v>9.4366307546708637</v>
      </c>
      <c r="H6" s="4" t="s">
        <v>15</v>
      </c>
      <c r="I6" t="s">
        <v>16</v>
      </c>
    </row>
    <row r="7" spans="1:53" x14ac:dyDescent="0.3">
      <c r="A7" s="11">
        <v>28</v>
      </c>
      <c r="B7" s="11" t="s">
        <v>8</v>
      </c>
      <c r="C7" s="11">
        <v>13.69</v>
      </c>
      <c r="D7" s="11">
        <v>4</v>
      </c>
      <c r="E7" s="11">
        <v>-13.8</v>
      </c>
      <c r="F7" s="15">
        <f t="shared" si="0"/>
        <v>14.368020044529448</v>
      </c>
      <c r="H7" s="4" t="s">
        <v>20</v>
      </c>
      <c r="I7" t="s">
        <v>17</v>
      </c>
    </row>
    <row r="8" spans="1:53" x14ac:dyDescent="0.3">
      <c r="A8" s="11">
        <v>24</v>
      </c>
      <c r="B8" s="11" t="s">
        <v>8</v>
      </c>
      <c r="C8" s="11">
        <v>25.46</v>
      </c>
      <c r="D8" s="11">
        <v>5.7</v>
      </c>
      <c r="E8" s="11">
        <v>13.4</v>
      </c>
      <c r="F8" s="15">
        <f t="shared" si="0"/>
        <v>14.56193668438371</v>
      </c>
      <c r="H8" s="4" t="s">
        <v>18</v>
      </c>
      <c r="I8" t="s">
        <v>19</v>
      </c>
    </row>
    <row r="9" spans="1:53" x14ac:dyDescent="0.3">
      <c r="A9" s="11">
        <v>3</v>
      </c>
      <c r="B9" s="11" t="s">
        <v>7</v>
      </c>
      <c r="C9" s="11">
        <v>34.06</v>
      </c>
      <c r="D9" s="11">
        <v>-13.9</v>
      </c>
      <c r="E9" s="11">
        <v>7.1</v>
      </c>
      <c r="F9" s="15">
        <f t="shared" si="0"/>
        <v>15.608331108738051</v>
      </c>
      <c r="H9" s="4" t="s">
        <v>21</v>
      </c>
      <c r="I9" t="s">
        <v>22</v>
      </c>
    </row>
    <row r="10" spans="1:53" x14ac:dyDescent="0.3">
      <c r="A10" s="11">
        <v>30</v>
      </c>
      <c r="B10" s="11" t="s">
        <v>8</v>
      </c>
      <c r="C10" s="11">
        <v>18.46</v>
      </c>
      <c r="D10" s="11">
        <v>-9.8000000000000007</v>
      </c>
      <c r="E10" s="11">
        <v>15.7</v>
      </c>
      <c r="F10" s="15">
        <f t="shared" si="0"/>
        <v>18.507566020414462</v>
      </c>
    </row>
    <row r="11" spans="1:53" x14ac:dyDescent="0.3">
      <c r="A11" s="11">
        <v>8</v>
      </c>
      <c r="B11" s="11" t="s">
        <v>7</v>
      </c>
      <c r="C11" s="11">
        <v>60.8</v>
      </c>
      <c r="D11" s="11">
        <v>18.5</v>
      </c>
      <c r="E11" s="11">
        <v>-6</v>
      </c>
      <c r="F11" s="15">
        <f t="shared" si="0"/>
        <v>19.448650338776723</v>
      </c>
      <c r="I11" s="4" t="s">
        <v>20</v>
      </c>
      <c r="J11" s="5"/>
      <c r="K11" s="5"/>
      <c r="L11" s="5" t="s">
        <v>4</v>
      </c>
      <c r="M11" s="5"/>
      <c r="N11" s="5" t="s">
        <v>15</v>
      </c>
      <c r="P11" s="4" t="s">
        <v>18</v>
      </c>
      <c r="X11" s="4" t="s">
        <v>21</v>
      </c>
    </row>
    <row r="12" spans="1:53" x14ac:dyDescent="0.3">
      <c r="A12" s="11">
        <v>6</v>
      </c>
      <c r="B12" s="11" t="s">
        <v>7</v>
      </c>
      <c r="C12" s="11">
        <v>44.88</v>
      </c>
      <c r="D12" s="11">
        <v>-2.4</v>
      </c>
      <c r="E12" s="11">
        <v>-19.399999999999999</v>
      </c>
      <c r="F12" s="15">
        <f t="shared" si="0"/>
        <v>19.547889911701468</v>
      </c>
      <c r="I12" s="5" t="s">
        <v>1</v>
      </c>
      <c r="J12" s="5" t="s">
        <v>2</v>
      </c>
      <c r="K12" s="5" t="s">
        <v>3</v>
      </c>
      <c r="L12" s="5" t="s">
        <v>5</v>
      </c>
      <c r="M12" s="5" t="s">
        <v>6</v>
      </c>
      <c r="N12" s="5" t="s">
        <v>9</v>
      </c>
    </row>
    <row r="13" spans="1:53" x14ac:dyDescent="0.3">
      <c r="A13" s="11">
        <v>2</v>
      </c>
      <c r="B13" s="11" t="s">
        <v>7</v>
      </c>
      <c r="C13" s="11">
        <v>42.02</v>
      </c>
      <c r="D13" s="11">
        <v>-1.1000000000000001</v>
      </c>
      <c r="E13" s="11">
        <v>20.5</v>
      </c>
      <c r="F13" s="15">
        <f t="shared" si="0"/>
        <v>20.529490982486632</v>
      </c>
      <c r="I13" s="6">
        <v>29</v>
      </c>
      <c r="J13" s="6" t="s">
        <v>8</v>
      </c>
      <c r="K13" s="6">
        <v>48.06</v>
      </c>
      <c r="L13" s="6">
        <v>-1.6</v>
      </c>
      <c r="M13" s="6">
        <v>-0.1</v>
      </c>
      <c r="N13" s="6">
        <v>1.6031219541881399</v>
      </c>
      <c r="Z13" s="1" t="s">
        <v>23</v>
      </c>
      <c r="AW13" s="83"/>
      <c r="AX13" s="83"/>
      <c r="AY13" s="211"/>
      <c r="AZ13" s="83"/>
      <c r="BA13" s="83"/>
    </row>
    <row r="14" spans="1:53" x14ac:dyDescent="0.3">
      <c r="A14" s="11">
        <v>7</v>
      </c>
      <c r="B14" s="11" t="s">
        <v>7</v>
      </c>
      <c r="C14" s="11">
        <v>31.19</v>
      </c>
      <c r="D14" s="11">
        <v>6.3</v>
      </c>
      <c r="E14" s="11">
        <v>-21.9</v>
      </c>
      <c r="F14" s="15">
        <f t="shared" si="0"/>
        <v>22.78815481779953</v>
      </c>
      <c r="I14" s="6">
        <v>28</v>
      </c>
      <c r="J14" s="6" t="s">
        <v>8</v>
      </c>
      <c r="K14" s="6">
        <v>13.69</v>
      </c>
      <c r="L14" s="6">
        <v>4</v>
      </c>
      <c r="M14" s="6">
        <v>-13.8</v>
      </c>
      <c r="N14" s="6">
        <v>14.368020044529448</v>
      </c>
      <c r="Z14" s="1">
        <v>40</v>
      </c>
      <c r="AW14" s="83"/>
      <c r="AX14" s="83"/>
      <c r="AY14" s="212"/>
      <c r="AZ14" s="83"/>
      <c r="BA14" s="83"/>
    </row>
    <row r="15" spans="1:53" x14ac:dyDescent="0.3">
      <c r="A15" s="11">
        <v>9</v>
      </c>
      <c r="B15" s="11" t="s">
        <v>7</v>
      </c>
      <c r="C15" s="11">
        <v>27.69</v>
      </c>
      <c r="D15" s="11">
        <v>-16.3</v>
      </c>
      <c r="E15" s="11">
        <v>-16.3</v>
      </c>
      <c r="F15" s="15">
        <f t="shared" si="0"/>
        <v>23.05168106668145</v>
      </c>
      <c r="I15" s="6">
        <v>24</v>
      </c>
      <c r="J15" s="6" t="s">
        <v>8</v>
      </c>
      <c r="K15" s="6">
        <v>25.46</v>
      </c>
      <c r="L15" s="6">
        <v>5.7</v>
      </c>
      <c r="M15" s="6">
        <v>13.4</v>
      </c>
      <c r="N15" s="6">
        <v>14.56193668438371</v>
      </c>
      <c r="X15" t="s">
        <v>24</v>
      </c>
      <c r="Y15" s="9" t="s">
        <v>25</v>
      </c>
      <c r="Z15" s="9" t="s">
        <v>5</v>
      </c>
      <c r="AA15" s="9" t="s">
        <v>6</v>
      </c>
      <c r="AW15" s="83"/>
      <c r="AX15" s="83"/>
      <c r="AY15" s="212"/>
      <c r="AZ15" s="83"/>
      <c r="BA15" s="83"/>
    </row>
    <row r="16" spans="1:53" x14ac:dyDescent="0.3">
      <c r="A16" s="11">
        <v>21</v>
      </c>
      <c r="B16" s="11" t="s">
        <v>7</v>
      </c>
      <c r="C16" s="11">
        <v>22.28</v>
      </c>
      <c r="D16" s="11">
        <v>19.399999999999999</v>
      </c>
      <c r="E16" s="11">
        <v>-19.399999999999999</v>
      </c>
      <c r="F16" s="15">
        <f t="shared" si="0"/>
        <v>27.435743110038043</v>
      </c>
      <c r="I16" s="6">
        <v>30</v>
      </c>
      <c r="J16" s="6" t="s">
        <v>8</v>
      </c>
      <c r="K16" s="6">
        <v>18.46</v>
      </c>
      <c r="L16" s="6">
        <v>-9.8000000000000007</v>
      </c>
      <c r="M16" s="6">
        <v>15.7</v>
      </c>
      <c r="N16" s="6">
        <v>18.507566020414462</v>
      </c>
      <c r="X16">
        <v>0.25</v>
      </c>
      <c r="Y16" s="9">
        <v>0</v>
      </c>
      <c r="Z16" s="9">
        <f>Z$4*COS(Y16)</f>
        <v>0</v>
      </c>
      <c r="AA16" s="9">
        <f>Z$4*SIN(Y16)</f>
        <v>0</v>
      </c>
      <c r="AW16" s="83"/>
      <c r="AX16" s="83"/>
      <c r="AY16" s="212"/>
      <c r="AZ16" s="83"/>
      <c r="BA16" s="213"/>
    </row>
    <row r="17" spans="1:53" x14ac:dyDescent="0.3">
      <c r="A17" s="11">
        <v>10</v>
      </c>
      <c r="B17" s="11" t="s">
        <v>7</v>
      </c>
      <c r="C17" s="11">
        <v>27.37</v>
      </c>
      <c r="D17" s="11">
        <v>-18.899999999999999</v>
      </c>
      <c r="E17" s="11">
        <v>-21</v>
      </c>
      <c r="F17" s="15">
        <f t="shared" si="0"/>
        <v>28.252610498854789</v>
      </c>
      <c r="I17" s="6">
        <v>25</v>
      </c>
      <c r="J17" s="6" t="s">
        <v>8</v>
      </c>
      <c r="K17" s="6">
        <v>30.24</v>
      </c>
      <c r="L17" s="6">
        <v>30.7</v>
      </c>
      <c r="M17" s="6">
        <v>-2.7</v>
      </c>
      <c r="N17" s="6">
        <v>30.818500936937216</v>
      </c>
      <c r="Y17" s="1">
        <f>Y16+$X$16</f>
        <v>0.25</v>
      </c>
      <c r="Z17" s="1">
        <f>$Z$14*COS(Y17)</f>
        <v>38.756496868425792</v>
      </c>
      <c r="AA17" s="1">
        <f>$Z$14*SIN(Y17)</f>
        <v>9.8961583701809168</v>
      </c>
      <c r="AW17" s="83"/>
      <c r="AX17" s="83"/>
      <c r="AY17" s="211"/>
      <c r="AZ17" s="83"/>
      <c r="BA17" s="83"/>
    </row>
    <row r="18" spans="1:53" x14ac:dyDescent="0.3">
      <c r="A18" s="11">
        <v>1</v>
      </c>
      <c r="B18" s="11" t="s">
        <v>7</v>
      </c>
      <c r="C18" s="11">
        <v>25.46</v>
      </c>
      <c r="D18" s="11">
        <v>2.5</v>
      </c>
      <c r="E18" s="11">
        <v>28.2</v>
      </c>
      <c r="F18" s="15">
        <f t="shared" si="0"/>
        <v>28.310598722033415</v>
      </c>
      <c r="I18" s="6">
        <v>31</v>
      </c>
      <c r="J18" s="6" t="s">
        <v>8</v>
      </c>
      <c r="K18" s="6">
        <v>21.96</v>
      </c>
      <c r="L18" s="6">
        <v>-9.8000000000000007</v>
      </c>
      <c r="M18" s="6">
        <v>30.1</v>
      </c>
      <c r="N18" s="6">
        <v>31.65517335286604</v>
      </c>
      <c r="Y18" s="1">
        <f>Y17+$X$16</f>
        <v>0.5</v>
      </c>
      <c r="Z18" s="1">
        <f t="shared" ref="Z18:Z43" si="1">$Z$14*COS(Y18)</f>
        <v>35.10330247561491</v>
      </c>
      <c r="AA18" s="1">
        <f>$Z$14*SIN(Y18)</f>
        <v>19.17702154416812</v>
      </c>
      <c r="AW18" s="83"/>
      <c r="AX18" s="83"/>
      <c r="AY18" s="212"/>
      <c r="AZ18" s="83"/>
      <c r="BA18" s="83"/>
    </row>
    <row r="19" spans="1:53" x14ac:dyDescent="0.3">
      <c r="A19" s="11">
        <v>25</v>
      </c>
      <c r="B19" s="11" t="s">
        <v>8</v>
      </c>
      <c r="C19" s="11">
        <v>30.24</v>
      </c>
      <c r="D19" s="11">
        <v>30.7</v>
      </c>
      <c r="E19" s="11">
        <v>-2.7</v>
      </c>
      <c r="F19" s="15">
        <f t="shared" si="0"/>
        <v>30.818500936937216</v>
      </c>
      <c r="I19" s="6">
        <v>27</v>
      </c>
      <c r="J19" s="6" t="s">
        <v>8</v>
      </c>
      <c r="K19" s="6">
        <v>20.37</v>
      </c>
      <c r="L19" s="6">
        <v>10.3</v>
      </c>
      <c r="M19" s="6">
        <v>-31.6</v>
      </c>
      <c r="N19" s="6">
        <v>33.236275362922363</v>
      </c>
      <c r="Y19" s="1">
        <f>Y18+$X$16</f>
        <v>0.75</v>
      </c>
      <c r="Z19" s="1">
        <f t="shared" si="1"/>
        <v>29.267554754952837</v>
      </c>
      <c r="AA19" s="1">
        <f>$Z$14*SIN(Y19)</f>
        <v>27.265550400933364</v>
      </c>
      <c r="AW19" s="83"/>
      <c r="AX19" s="83"/>
      <c r="AY19" s="212"/>
      <c r="AZ19" s="83"/>
      <c r="BA19" s="83"/>
    </row>
    <row r="20" spans="1:53" x14ac:dyDescent="0.3">
      <c r="A20" s="11">
        <v>31</v>
      </c>
      <c r="B20" s="11" t="s">
        <v>8</v>
      </c>
      <c r="C20" s="11">
        <v>21.96</v>
      </c>
      <c r="D20" s="11">
        <v>-9.8000000000000007</v>
      </c>
      <c r="E20" s="11">
        <v>30.1</v>
      </c>
      <c r="F20" s="15">
        <f t="shared" si="0"/>
        <v>31.65517335286604</v>
      </c>
      <c r="I20" s="6">
        <v>26</v>
      </c>
      <c r="J20" s="6" t="s">
        <v>8</v>
      </c>
      <c r="K20" s="6">
        <v>17.190000000000001</v>
      </c>
      <c r="L20" s="6">
        <v>30</v>
      </c>
      <c r="M20" s="6">
        <v>-14.6</v>
      </c>
      <c r="N20" s="6">
        <v>33.36405251164792</v>
      </c>
      <c r="Y20" s="1">
        <f>Y19+$X$16</f>
        <v>1</v>
      </c>
      <c r="Z20" s="1">
        <f t="shared" si="1"/>
        <v>21.612092234725591</v>
      </c>
      <c r="AA20" s="1">
        <f>$Z$14*SIN(Y20)</f>
        <v>33.658839392315862</v>
      </c>
      <c r="AW20" s="83"/>
      <c r="AX20" s="83"/>
      <c r="AY20" s="211"/>
      <c r="AZ20" s="83"/>
      <c r="BA20" s="83"/>
    </row>
    <row r="21" spans="1:53" x14ac:dyDescent="0.3">
      <c r="A21" s="11">
        <v>27</v>
      </c>
      <c r="B21" s="11" t="s">
        <v>8</v>
      </c>
      <c r="C21" s="11">
        <v>20.37</v>
      </c>
      <c r="D21" s="11">
        <v>10.3</v>
      </c>
      <c r="E21" s="11">
        <v>-31.6</v>
      </c>
      <c r="F21" s="15">
        <f t="shared" si="0"/>
        <v>33.236275362922363</v>
      </c>
      <c r="I21" s="7">
        <v>4</v>
      </c>
      <c r="J21" s="7" t="s">
        <v>7</v>
      </c>
      <c r="K21" s="7">
        <v>22.6</v>
      </c>
      <c r="L21" s="7">
        <v>-6</v>
      </c>
      <c r="M21" s="7">
        <v>1.7</v>
      </c>
      <c r="N21" s="7">
        <v>6.2361847310675458</v>
      </c>
      <c r="Y21" s="1">
        <f>Y20+$X$16</f>
        <v>1.25</v>
      </c>
      <c r="Z21" s="1">
        <f t="shared" si="1"/>
        <v>12.612894495810746</v>
      </c>
      <c r="AA21" s="1">
        <f>$Z$14*SIN(Y21)</f>
        <v>37.959384774223452</v>
      </c>
      <c r="AW21" s="83"/>
      <c r="AX21" s="83"/>
      <c r="AY21" s="212"/>
      <c r="AZ21" s="83"/>
      <c r="BA21" s="83"/>
    </row>
    <row r="22" spans="1:53" x14ac:dyDescent="0.3">
      <c r="A22" s="11">
        <v>26</v>
      </c>
      <c r="B22" s="11" t="s">
        <v>8</v>
      </c>
      <c r="C22" s="11">
        <v>17.190000000000001</v>
      </c>
      <c r="D22" s="11">
        <v>30</v>
      </c>
      <c r="E22" s="11">
        <v>-14.6</v>
      </c>
      <c r="F22" s="15">
        <f t="shared" si="0"/>
        <v>33.36405251164792</v>
      </c>
      <c r="I22" s="7">
        <v>5</v>
      </c>
      <c r="J22" s="7" t="s">
        <v>7</v>
      </c>
      <c r="K22" s="7">
        <v>44.56</v>
      </c>
      <c r="L22" s="7">
        <v>-2.1</v>
      </c>
      <c r="M22" s="7">
        <v>-9.1999999999999993</v>
      </c>
      <c r="N22" s="7">
        <v>9.4366307546708637</v>
      </c>
      <c r="Y22" s="1">
        <f t="shared" ref="Y22:Y40" si="2">Y21+$X$16</f>
        <v>1.5</v>
      </c>
      <c r="Z22" s="1">
        <f t="shared" si="1"/>
        <v>2.8294880667081164</v>
      </c>
      <c r="AA22" s="1">
        <f t="shared" ref="AA22:AA40" si="3">$Z$14*SIN(Y22)</f>
        <v>39.899799464162179</v>
      </c>
      <c r="AW22" s="83"/>
      <c r="AX22" s="83"/>
      <c r="AY22" s="212"/>
      <c r="AZ22" s="83"/>
      <c r="BA22" s="213"/>
    </row>
    <row r="23" spans="1:53" x14ac:dyDescent="0.3">
      <c r="A23" s="11">
        <v>18</v>
      </c>
      <c r="B23" s="11" t="s">
        <v>7</v>
      </c>
      <c r="C23" s="11">
        <v>31.83</v>
      </c>
      <c r="D23" s="11">
        <v>26.8</v>
      </c>
      <c r="E23" s="11">
        <v>-20.2</v>
      </c>
      <c r="F23" s="15">
        <f t="shared" si="0"/>
        <v>33.560095351473599</v>
      </c>
      <c r="I23" s="7">
        <v>3</v>
      </c>
      <c r="J23" s="7" t="s">
        <v>7</v>
      </c>
      <c r="K23" s="7">
        <v>34.06</v>
      </c>
      <c r="L23" s="7">
        <v>-13.9</v>
      </c>
      <c r="M23" s="7">
        <v>7.1</v>
      </c>
      <c r="N23" s="7">
        <v>15.608331108738051</v>
      </c>
      <c r="Y23" s="1">
        <f t="shared" si="2"/>
        <v>1.75</v>
      </c>
      <c r="Z23" s="1">
        <f t="shared" si="1"/>
        <v>-7.129842225979683</v>
      </c>
      <c r="AA23" s="1">
        <f t="shared" si="3"/>
        <v>39.359437874957479</v>
      </c>
      <c r="AW23" s="83"/>
      <c r="AX23" s="83"/>
      <c r="AY23" s="212"/>
      <c r="AZ23" s="83"/>
      <c r="BA23" s="213"/>
    </row>
    <row r="24" spans="1:53" x14ac:dyDescent="0.3">
      <c r="A24" s="11">
        <v>22</v>
      </c>
      <c r="B24" s="11" t="s">
        <v>7</v>
      </c>
      <c r="C24" s="11">
        <v>16.87</v>
      </c>
      <c r="D24" s="11">
        <v>-35.5</v>
      </c>
      <c r="E24" s="11">
        <v>0</v>
      </c>
      <c r="F24" s="15">
        <f t="shared" si="0"/>
        <v>35.5</v>
      </c>
      <c r="I24" s="7">
        <v>8</v>
      </c>
      <c r="J24" s="7" t="s">
        <v>7</v>
      </c>
      <c r="K24" s="7">
        <v>60.8</v>
      </c>
      <c r="L24" s="7">
        <v>18.5</v>
      </c>
      <c r="M24" s="7">
        <v>-6</v>
      </c>
      <c r="N24" s="7">
        <v>19.448650338776723</v>
      </c>
      <c r="Y24" s="1">
        <f t="shared" si="2"/>
        <v>2</v>
      </c>
      <c r="Z24" s="1">
        <f t="shared" si="1"/>
        <v>-16.645873461885696</v>
      </c>
      <c r="AA24" s="1">
        <f t="shared" si="3"/>
        <v>36.37189707302727</v>
      </c>
      <c r="AW24" s="83"/>
      <c r="AX24" s="83"/>
      <c r="AY24" s="211"/>
      <c r="AZ24" s="83"/>
      <c r="BA24" s="213"/>
    </row>
    <row r="25" spans="1:53" x14ac:dyDescent="0.3">
      <c r="A25" s="11">
        <v>15</v>
      </c>
      <c r="B25" s="11" t="s">
        <v>7</v>
      </c>
      <c r="C25" s="11">
        <v>58.25</v>
      </c>
      <c r="D25" s="11">
        <v>2.6</v>
      </c>
      <c r="E25" s="11">
        <v>-36.799999999999997</v>
      </c>
      <c r="F25" s="15">
        <f t="shared" si="0"/>
        <v>36.891733491393431</v>
      </c>
      <c r="I25" s="7">
        <v>6</v>
      </c>
      <c r="J25" s="7" t="s">
        <v>7</v>
      </c>
      <c r="K25" s="7">
        <v>44.88</v>
      </c>
      <c r="L25" s="7">
        <v>-2.4</v>
      </c>
      <c r="M25" s="7">
        <v>-19.399999999999999</v>
      </c>
      <c r="N25" s="7">
        <v>19.547889911701468</v>
      </c>
      <c r="Y25" s="1">
        <f t="shared" si="2"/>
        <v>2.25</v>
      </c>
      <c r="Z25" s="1">
        <f t="shared" si="1"/>
        <v>-25.126944908909564</v>
      </c>
      <c r="AA25" s="1">
        <f t="shared" si="3"/>
        <v>31.122927875516847</v>
      </c>
      <c r="AW25" s="83"/>
      <c r="AX25" s="83"/>
      <c r="AY25" s="211"/>
      <c r="AZ25" s="83"/>
      <c r="BA25" s="213"/>
    </row>
    <row r="26" spans="1:53" x14ac:dyDescent="0.3">
      <c r="A26" s="11">
        <v>13</v>
      </c>
      <c r="B26" s="11" t="s">
        <v>7</v>
      </c>
      <c r="C26" s="11">
        <v>42.65</v>
      </c>
      <c r="D26" s="11">
        <v>-26.9</v>
      </c>
      <c r="E26" s="11">
        <v>-27.8</v>
      </c>
      <c r="F26" s="15">
        <f t="shared" si="0"/>
        <v>38.683976010746356</v>
      </c>
      <c r="I26" s="7">
        <v>2</v>
      </c>
      <c r="J26" s="7" t="s">
        <v>7</v>
      </c>
      <c r="K26" s="7">
        <v>42.02</v>
      </c>
      <c r="L26" s="7">
        <v>-1.1000000000000001</v>
      </c>
      <c r="M26" s="7">
        <v>20.5</v>
      </c>
      <c r="N26" s="7">
        <v>20.529490982486632</v>
      </c>
      <c r="Y26" s="1">
        <f t="shared" si="2"/>
        <v>2.5</v>
      </c>
      <c r="Z26" s="1">
        <f t="shared" si="1"/>
        <v>-32.045744621877347</v>
      </c>
      <c r="AA26" s="1">
        <f t="shared" si="3"/>
        <v>23.938885764158261</v>
      </c>
      <c r="AW26" s="83"/>
      <c r="AX26" s="83"/>
      <c r="AY26" s="211"/>
      <c r="AZ26" s="83"/>
      <c r="BA26" s="213"/>
    </row>
    <row r="27" spans="1:53" x14ac:dyDescent="0.3">
      <c r="A27" s="11">
        <v>23</v>
      </c>
      <c r="B27" s="11" t="s">
        <v>7</v>
      </c>
      <c r="C27" s="11">
        <v>20.37</v>
      </c>
      <c r="D27" s="11">
        <v>-4.0999999999999996</v>
      </c>
      <c r="E27" s="11">
        <v>38.700000000000003</v>
      </c>
      <c r="F27" s="15">
        <f t="shared" si="0"/>
        <v>38.916577444580092</v>
      </c>
      <c r="I27" s="7">
        <v>7</v>
      </c>
      <c r="J27" s="7" t="s">
        <v>7</v>
      </c>
      <c r="K27" s="7">
        <v>31.19</v>
      </c>
      <c r="L27" s="7">
        <v>6.3</v>
      </c>
      <c r="M27" s="7">
        <v>-21.9</v>
      </c>
      <c r="N27" s="7">
        <v>22.78815481779953</v>
      </c>
      <c r="Y27" s="1">
        <f t="shared" si="2"/>
        <v>2.75</v>
      </c>
      <c r="Z27" s="1">
        <f t="shared" si="1"/>
        <v>-36.972095145298539</v>
      </c>
      <c r="AA27" s="1">
        <f t="shared" si="3"/>
        <v>15.266439682093267</v>
      </c>
      <c r="AW27" s="83"/>
      <c r="AX27" s="83"/>
      <c r="AY27" s="211"/>
      <c r="AZ27" s="83"/>
      <c r="BA27" s="213"/>
    </row>
    <row r="28" spans="1:53" x14ac:dyDescent="0.3">
      <c r="A28" s="11">
        <v>11</v>
      </c>
      <c r="B28" s="11" t="s">
        <v>7</v>
      </c>
      <c r="C28" s="11">
        <v>48.38</v>
      </c>
      <c r="D28" s="11">
        <v>-39.5</v>
      </c>
      <c r="E28" s="11">
        <v>-2.8</v>
      </c>
      <c r="F28" s="15">
        <f t="shared" si="0"/>
        <v>39.599116151752682</v>
      </c>
      <c r="I28" s="7">
        <v>9</v>
      </c>
      <c r="J28" s="7" t="s">
        <v>7</v>
      </c>
      <c r="K28" s="7">
        <v>27.69</v>
      </c>
      <c r="L28" s="7">
        <v>-16.3</v>
      </c>
      <c r="M28" s="7">
        <v>-16.3</v>
      </c>
      <c r="N28" s="7">
        <v>23.05168106668145</v>
      </c>
      <c r="Y28" s="1">
        <f t="shared" si="2"/>
        <v>3</v>
      </c>
      <c r="Z28" s="1">
        <f t="shared" si="1"/>
        <v>-39.599699864017815</v>
      </c>
      <c r="AA28" s="1">
        <f t="shared" si="3"/>
        <v>5.6448003223946888</v>
      </c>
      <c r="AW28" s="83"/>
      <c r="AX28" s="83"/>
      <c r="AY28" s="211"/>
      <c r="AZ28" s="83"/>
      <c r="BA28" s="213"/>
    </row>
    <row r="29" spans="1:53" x14ac:dyDescent="0.3">
      <c r="A29" s="17">
        <v>17</v>
      </c>
      <c r="B29" s="17" t="s">
        <v>7</v>
      </c>
      <c r="C29" s="17">
        <v>35.97</v>
      </c>
      <c r="D29" s="17">
        <v>26.4</v>
      </c>
      <c r="E29" s="17">
        <v>-31.5</v>
      </c>
      <c r="F29" s="18">
        <f t="shared" si="0"/>
        <v>41.1</v>
      </c>
      <c r="I29" s="7">
        <v>21</v>
      </c>
      <c r="J29" s="7" t="s">
        <v>7</v>
      </c>
      <c r="K29" s="7">
        <v>22.28</v>
      </c>
      <c r="L29" s="7">
        <v>19.399999999999999</v>
      </c>
      <c r="M29" s="7">
        <v>-19.399999999999999</v>
      </c>
      <c r="N29" s="7">
        <v>27.435743110038043</v>
      </c>
      <c r="Y29" s="1">
        <f t="shared" si="2"/>
        <v>3.25</v>
      </c>
      <c r="Z29" s="1">
        <f t="shared" si="1"/>
        <v>-39.76518704322185</v>
      </c>
      <c r="AA29" s="1">
        <f t="shared" si="3"/>
        <v>-4.3278053812043353</v>
      </c>
      <c r="AW29" s="83"/>
      <c r="AX29" s="83"/>
      <c r="AY29" s="211"/>
      <c r="AZ29" s="83"/>
      <c r="BA29" s="213"/>
    </row>
    <row r="30" spans="1:53" x14ac:dyDescent="0.3">
      <c r="A30" s="17">
        <v>12</v>
      </c>
      <c r="B30" s="17" t="s">
        <v>7</v>
      </c>
      <c r="C30" s="17">
        <v>52.84</v>
      </c>
      <c r="D30" s="17">
        <v>-37.700000000000003</v>
      </c>
      <c r="E30" s="17">
        <v>-20</v>
      </c>
      <c r="F30" s="18">
        <f t="shared" si="0"/>
        <v>42.676574370490428</v>
      </c>
      <c r="I30" s="7">
        <v>10</v>
      </c>
      <c r="J30" s="7" t="s">
        <v>7</v>
      </c>
      <c r="K30" s="7">
        <v>27.37</v>
      </c>
      <c r="L30" s="7">
        <v>-18.899999999999999</v>
      </c>
      <c r="M30" s="7">
        <v>-21</v>
      </c>
      <c r="N30" s="7">
        <v>28.252610498854789</v>
      </c>
      <c r="Y30" s="1">
        <f t="shared" si="2"/>
        <v>3.5</v>
      </c>
      <c r="Z30" s="1">
        <f t="shared" si="1"/>
        <v>-37.458267491631851</v>
      </c>
      <c r="AA30" s="1">
        <f t="shared" si="3"/>
        <v>-14.031329107584794</v>
      </c>
      <c r="AW30" s="83"/>
      <c r="AX30" s="83"/>
      <c r="AY30" s="211"/>
      <c r="AZ30" s="83"/>
      <c r="BA30" s="213"/>
    </row>
    <row r="31" spans="1:53" x14ac:dyDescent="0.3">
      <c r="A31" s="17">
        <v>14</v>
      </c>
      <c r="B31" s="17" t="s">
        <v>7</v>
      </c>
      <c r="C31" s="17">
        <v>54.43</v>
      </c>
      <c r="D31" s="17">
        <v>-19.7</v>
      </c>
      <c r="E31" s="17">
        <v>-42.1</v>
      </c>
      <c r="F31" s="18">
        <f t="shared" si="0"/>
        <v>46.481178986768398</v>
      </c>
      <c r="I31" s="7">
        <v>1</v>
      </c>
      <c r="J31" s="7" t="s">
        <v>7</v>
      </c>
      <c r="K31" s="7">
        <v>25.46</v>
      </c>
      <c r="L31" s="7">
        <v>2.5</v>
      </c>
      <c r="M31" s="7">
        <v>28.2</v>
      </c>
      <c r="N31" s="7">
        <v>28.310598722033415</v>
      </c>
      <c r="Y31" s="1">
        <f t="shared" si="2"/>
        <v>3.75</v>
      </c>
      <c r="Z31" s="1">
        <f t="shared" si="1"/>
        <v>-32.822374293582428</v>
      </c>
      <c r="AA31" s="1">
        <f t="shared" si="3"/>
        <v>-22.862452749693748</v>
      </c>
      <c r="AW31" s="83"/>
      <c r="AX31" s="83"/>
      <c r="AY31" s="211"/>
      <c r="AZ31" s="83"/>
      <c r="BA31" s="213"/>
    </row>
    <row r="32" spans="1:53" x14ac:dyDescent="0.3">
      <c r="A32" s="17">
        <v>20</v>
      </c>
      <c r="B32" s="17" t="s">
        <v>7</v>
      </c>
      <c r="C32" s="17">
        <v>74.17</v>
      </c>
      <c r="D32" s="17">
        <v>47</v>
      </c>
      <c r="E32" s="17">
        <v>-17.100000000000001</v>
      </c>
      <c r="F32" s="18">
        <f t="shared" si="0"/>
        <v>50.014098012460444</v>
      </c>
      <c r="I32" s="7">
        <v>18</v>
      </c>
      <c r="J32" s="7" t="s">
        <v>7</v>
      </c>
      <c r="K32" s="7">
        <v>31.83</v>
      </c>
      <c r="L32" s="7">
        <v>26.8</v>
      </c>
      <c r="M32" s="7">
        <v>-20.2</v>
      </c>
      <c r="N32" s="7">
        <v>33.560095351473599</v>
      </c>
      <c r="Y32" s="1">
        <f t="shared" si="2"/>
        <v>4</v>
      </c>
      <c r="Z32" s="1">
        <f t="shared" si="1"/>
        <v>-26.145744834544477</v>
      </c>
      <c r="AA32" s="1">
        <f t="shared" si="3"/>
        <v>-30.27209981231713</v>
      </c>
      <c r="AW32" s="83"/>
      <c r="AX32" s="83"/>
      <c r="AY32" s="211"/>
      <c r="AZ32" s="83"/>
      <c r="BA32" s="213"/>
    </row>
    <row r="33" spans="1:53" x14ac:dyDescent="0.3">
      <c r="A33" s="17">
        <v>16</v>
      </c>
      <c r="B33" s="17" t="s">
        <v>7</v>
      </c>
      <c r="C33" s="17">
        <v>47.43</v>
      </c>
      <c r="D33" s="17">
        <v>7.5</v>
      </c>
      <c r="E33" s="17">
        <v>-53.5</v>
      </c>
      <c r="F33" s="18">
        <f t="shared" si="0"/>
        <v>54.023143188822324</v>
      </c>
      <c r="I33" s="7">
        <v>22</v>
      </c>
      <c r="J33" s="7" t="s">
        <v>7</v>
      </c>
      <c r="K33" s="7">
        <v>16.87</v>
      </c>
      <c r="L33" s="7">
        <v>-35.5</v>
      </c>
      <c r="M33" s="7">
        <v>0</v>
      </c>
      <c r="N33" s="7">
        <v>35.5</v>
      </c>
      <c r="Y33" s="1">
        <f t="shared" si="2"/>
        <v>4.25</v>
      </c>
      <c r="Z33" s="1">
        <f t="shared" si="1"/>
        <v>-17.843499596551712</v>
      </c>
      <c r="AA33" s="1">
        <f t="shared" si="3"/>
        <v>-35.79957432914334</v>
      </c>
      <c r="AW33" s="83"/>
      <c r="AX33" s="83"/>
      <c r="AY33" s="211"/>
      <c r="AZ33" s="83"/>
      <c r="BA33" s="213"/>
    </row>
    <row r="34" spans="1:53" x14ac:dyDescent="0.3">
      <c r="A34" s="17">
        <v>19</v>
      </c>
      <c r="B34" s="17" t="s">
        <v>7</v>
      </c>
      <c r="C34" s="17">
        <v>25.78</v>
      </c>
      <c r="D34" s="17">
        <v>39.700000000000003</v>
      </c>
      <c r="E34" s="17">
        <v>-41.1</v>
      </c>
      <c r="F34" s="18">
        <f t="shared" si="0"/>
        <v>57.142803571403462</v>
      </c>
      <c r="I34" s="7">
        <v>15</v>
      </c>
      <c r="J34" s="7" t="s">
        <v>7</v>
      </c>
      <c r="K34" s="7">
        <v>58.25</v>
      </c>
      <c r="L34" s="7">
        <v>2.6</v>
      </c>
      <c r="M34" s="7">
        <v>-36.799999999999997</v>
      </c>
      <c r="N34" s="7">
        <v>36.891733491393431</v>
      </c>
      <c r="Y34" s="1">
        <f t="shared" si="2"/>
        <v>4.5</v>
      </c>
      <c r="Z34" s="1">
        <f t="shared" si="1"/>
        <v>-8.4318319772311874</v>
      </c>
      <c r="AA34" s="1">
        <f t="shared" si="3"/>
        <v>-39.10120470660388</v>
      </c>
      <c r="AW34" s="83"/>
      <c r="AX34" s="83"/>
      <c r="AY34" s="211"/>
      <c r="AZ34" s="83"/>
      <c r="BA34" s="213"/>
    </row>
    <row r="35" spans="1:53" x14ac:dyDescent="0.3">
      <c r="I35" s="7">
        <v>13</v>
      </c>
      <c r="J35" s="7" t="s">
        <v>7</v>
      </c>
      <c r="K35" s="7">
        <v>42.65</v>
      </c>
      <c r="L35" s="7">
        <v>-26.9</v>
      </c>
      <c r="M35" s="7">
        <v>-27.8</v>
      </c>
      <c r="N35" s="7">
        <v>38.683976010746356</v>
      </c>
      <c r="Y35" s="1">
        <f t="shared" si="2"/>
        <v>4.75</v>
      </c>
      <c r="Z35" s="1">
        <f t="shared" si="1"/>
        <v>1.5040861155190621</v>
      </c>
      <c r="AA35" s="1">
        <f t="shared" si="3"/>
        <v>-39.97171155901512</v>
      </c>
      <c r="AW35" s="83"/>
      <c r="AX35" s="83"/>
      <c r="AY35" s="212"/>
      <c r="AZ35" s="83"/>
      <c r="BA35" s="213"/>
    </row>
    <row r="36" spans="1:53" x14ac:dyDescent="0.3">
      <c r="I36" s="7">
        <v>23</v>
      </c>
      <c r="J36" s="7" t="s">
        <v>7</v>
      </c>
      <c r="K36" s="7">
        <v>20.37</v>
      </c>
      <c r="L36" s="7">
        <v>-4.0999999999999996</v>
      </c>
      <c r="M36" s="7">
        <v>38.700000000000003</v>
      </c>
      <c r="N36" s="7">
        <v>38.916577444580092</v>
      </c>
      <c r="Y36" s="1">
        <f t="shared" si="2"/>
        <v>5</v>
      </c>
      <c r="Z36" s="1">
        <f t="shared" si="1"/>
        <v>11.346487418529049</v>
      </c>
      <c r="AA36" s="1">
        <f t="shared" si="3"/>
        <v>-38.356970986525539</v>
      </c>
      <c r="AW36" s="83"/>
      <c r="AX36" s="83"/>
      <c r="AY36" s="211"/>
      <c r="AZ36" s="83"/>
      <c r="BA36" s="213"/>
    </row>
    <row r="37" spans="1:53" x14ac:dyDescent="0.3">
      <c r="I37" s="7">
        <v>11</v>
      </c>
      <c r="J37" s="7" t="s">
        <v>7</v>
      </c>
      <c r="K37" s="7">
        <v>48.38</v>
      </c>
      <c r="L37" s="7">
        <v>-39.5</v>
      </c>
      <c r="M37" s="7">
        <v>-2.8</v>
      </c>
      <c r="N37" s="7">
        <v>39.599116151752682</v>
      </c>
      <c r="Y37" s="1">
        <f t="shared" si="2"/>
        <v>5.25</v>
      </c>
      <c r="Z37" s="1">
        <f t="shared" si="1"/>
        <v>20.483419089673628</v>
      </c>
      <c r="AA37" s="1">
        <f t="shared" si="3"/>
        <v>-34.357379737063681</v>
      </c>
      <c r="AW37" s="83"/>
      <c r="AX37" s="83"/>
      <c r="AY37" s="211"/>
      <c r="AZ37" s="83"/>
      <c r="BA37" s="213"/>
    </row>
    <row r="38" spans="1:53" x14ac:dyDescent="0.3">
      <c r="I38" s="8">
        <v>17</v>
      </c>
      <c r="J38" s="8" t="s">
        <v>7</v>
      </c>
      <c r="K38" s="8">
        <v>35.97</v>
      </c>
      <c r="L38" s="8">
        <v>26.4</v>
      </c>
      <c r="M38" s="8">
        <v>-31.5</v>
      </c>
      <c r="N38" s="8">
        <v>41.1</v>
      </c>
      <c r="Y38" s="1">
        <f t="shared" si="2"/>
        <v>5.5</v>
      </c>
      <c r="Z38" s="1">
        <f t="shared" si="1"/>
        <v>28.3467909716504</v>
      </c>
      <c r="AA38" s="1">
        <f t="shared" si="3"/>
        <v>-28.221613022815678</v>
      </c>
      <c r="AW38" s="83"/>
      <c r="AX38" s="83"/>
      <c r="AY38" s="211"/>
      <c r="AZ38" s="83"/>
      <c r="BA38" s="213"/>
    </row>
    <row r="39" spans="1:53" x14ac:dyDescent="0.3">
      <c r="I39" s="8">
        <v>12</v>
      </c>
      <c r="J39" s="8" t="s">
        <v>7</v>
      </c>
      <c r="K39" s="8">
        <v>52.84</v>
      </c>
      <c r="L39" s="8">
        <v>-37.700000000000003</v>
      </c>
      <c r="M39" s="8">
        <v>-20</v>
      </c>
      <c r="N39" s="8">
        <v>42.676574370490428</v>
      </c>
      <c r="Y39" s="1">
        <f t="shared" si="2"/>
        <v>5.75</v>
      </c>
      <c r="Z39" s="1">
        <f t="shared" si="1"/>
        <v>34.44769668646083</v>
      </c>
      <c r="AA39" s="1">
        <f t="shared" si="3"/>
        <v>-20.331163099970336</v>
      </c>
    </row>
    <row r="40" spans="1:53" x14ac:dyDescent="0.3">
      <c r="I40" s="8">
        <v>14</v>
      </c>
      <c r="J40" s="8" t="s">
        <v>7</v>
      </c>
      <c r="K40" s="8">
        <v>54.43</v>
      </c>
      <c r="L40" s="8">
        <v>-19.7</v>
      </c>
      <c r="M40" s="8">
        <v>-42.1</v>
      </c>
      <c r="N40" s="8">
        <v>46.481178986768398</v>
      </c>
      <c r="Y40" s="1">
        <f t="shared" si="2"/>
        <v>6</v>
      </c>
      <c r="Z40" s="1">
        <f t="shared" si="1"/>
        <v>38.406811466014638</v>
      </c>
      <c r="AA40" s="1">
        <f t="shared" si="3"/>
        <v>-11.176619927957034</v>
      </c>
    </row>
    <row r="41" spans="1:53" x14ac:dyDescent="0.3">
      <c r="I41" s="8">
        <v>20</v>
      </c>
      <c r="J41" s="8" t="s">
        <v>7</v>
      </c>
      <c r="K41" s="8">
        <v>74.17</v>
      </c>
      <c r="L41" s="8">
        <v>47</v>
      </c>
      <c r="M41" s="8">
        <v>-17.100000000000001</v>
      </c>
      <c r="N41" s="8">
        <v>50.014098012460444</v>
      </c>
      <c r="Y41" s="1">
        <f>Y40+$X$16</f>
        <v>6.25</v>
      </c>
      <c r="Z41" s="1">
        <f t="shared" si="1"/>
        <v>39.977976728979975</v>
      </c>
      <c r="AA41" s="1">
        <f>$Z$14*SIN(Y41)</f>
        <v>-1.3271686619022727</v>
      </c>
    </row>
    <row r="42" spans="1:53" x14ac:dyDescent="0.3">
      <c r="I42" s="8">
        <v>16</v>
      </c>
      <c r="J42" s="8" t="s">
        <v>7</v>
      </c>
      <c r="K42" s="8">
        <v>47.43</v>
      </c>
      <c r="L42" s="8">
        <v>7.5</v>
      </c>
      <c r="M42" s="8">
        <v>-53.5</v>
      </c>
      <c r="N42" s="8">
        <v>54.023143188822324</v>
      </c>
      <c r="Y42" s="1">
        <f>Y41+$X$16</f>
        <v>6.5</v>
      </c>
      <c r="Z42" s="1">
        <f t="shared" si="1"/>
        <v>39.06350502912094</v>
      </c>
      <c r="AA42" s="1">
        <f>$Z$14*SIN(Y42)</f>
        <v>8.6047995235126216</v>
      </c>
    </row>
    <row r="43" spans="1:53" x14ac:dyDescent="0.3">
      <c r="I43" s="8">
        <v>19</v>
      </c>
      <c r="J43" s="8" t="s">
        <v>7</v>
      </c>
      <c r="K43" s="8">
        <v>25.78</v>
      </c>
      <c r="L43" s="8">
        <v>39.700000000000003</v>
      </c>
      <c r="M43" s="8">
        <v>-41.1</v>
      </c>
      <c r="N43" s="8">
        <v>57.142803571403462</v>
      </c>
      <c r="Y43" s="1">
        <f>Y42+$X$16</f>
        <v>6.75</v>
      </c>
      <c r="Z43" s="1">
        <f t="shared" si="1"/>
        <v>35.720253787563067</v>
      </c>
      <c r="AA43" s="1">
        <f>$Z$14*SIN(Y43)</f>
        <v>18.001762951224705</v>
      </c>
    </row>
    <row r="44" spans="1:53" ht="15" thickBot="1" x14ac:dyDescent="0.35">
      <c r="I44" s="128"/>
      <c r="J44" s="128"/>
      <c r="K44" s="128"/>
      <c r="L44" s="128"/>
      <c r="M44" s="128"/>
      <c r="N44" s="128"/>
      <c r="Y44" s="1"/>
      <c r="Z44" s="1"/>
      <c r="AA44" s="1"/>
    </row>
    <row r="45" spans="1:53" ht="15" thickBot="1" x14ac:dyDescent="0.35">
      <c r="I45" s="128"/>
      <c r="J45" s="128"/>
      <c r="K45" s="128"/>
      <c r="L45" s="58" t="s">
        <v>34</v>
      </c>
      <c r="M45" s="132"/>
      <c r="N45" s="132"/>
      <c r="O45" s="131"/>
      <c r="P45" s="139"/>
      <c r="Y45" s="1"/>
      <c r="Z45" s="1"/>
      <c r="AA45" s="1"/>
    </row>
    <row r="46" spans="1:53" x14ac:dyDescent="0.3">
      <c r="I46" s="128"/>
      <c r="J46" s="128"/>
      <c r="K46" s="128"/>
      <c r="L46" s="140"/>
      <c r="M46" s="129"/>
      <c r="N46" s="129"/>
      <c r="O46" s="134"/>
      <c r="P46" s="135"/>
      <c r="Y46" s="1"/>
      <c r="Z46" s="1"/>
      <c r="AA46" s="1"/>
    </row>
    <row r="47" spans="1:53" x14ac:dyDescent="0.3">
      <c r="I47" s="128"/>
      <c r="J47" s="128"/>
      <c r="K47" s="128"/>
      <c r="L47" s="133"/>
      <c r="M47" s="134"/>
      <c r="N47" s="134"/>
      <c r="O47" s="134"/>
      <c r="P47" s="135"/>
      <c r="Y47" s="1"/>
      <c r="Z47" s="1"/>
      <c r="AA47" s="1"/>
    </row>
    <row r="48" spans="1:53" x14ac:dyDescent="0.3">
      <c r="I48" s="128"/>
      <c r="J48" s="128"/>
      <c r="K48" s="128"/>
      <c r="L48" s="133"/>
      <c r="M48" s="134"/>
      <c r="N48" s="134"/>
      <c r="O48" s="134"/>
      <c r="P48" s="135"/>
      <c r="Y48" s="1"/>
      <c r="Z48" s="1"/>
      <c r="AA48" s="1"/>
    </row>
    <row r="49" spans="7:35" x14ac:dyDescent="0.3">
      <c r="I49" s="128"/>
      <c r="J49" s="128"/>
      <c r="K49" s="128"/>
      <c r="L49" s="133"/>
      <c r="M49" s="134"/>
      <c r="N49" s="134"/>
      <c r="O49" s="134"/>
      <c r="P49" s="135"/>
      <c r="Y49" s="1"/>
      <c r="Z49" s="1"/>
      <c r="AA49" s="1"/>
    </row>
    <row r="50" spans="7:35" ht="15" thickBot="1" x14ac:dyDescent="0.35">
      <c r="I50" s="128"/>
      <c r="J50" s="128"/>
      <c r="K50" s="128"/>
      <c r="L50" s="136"/>
      <c r="M50" s="137"/>
      <c r="N50" s="137"/>
      <c r="O50" s="137"/>
      <c r="P50" s="138"/>
      <c r="Y50" s="1"/>
      <c r="Z50" s="1"/>
      <c r="AA50" s="1"/>
    </row>
    <row r="51" spans="7:35" ht="15" thickBot="1" x14ac:dyDescent="0.35">
      <c r="I51" s="128"/>
      <c r="J51" s="128"/>
      <c r="K51" s="128"/>
      <c r="L51" s="147"/>
      <c r="M51" s="205" t="s">
        <v>38</v>
      </c>
      <c r="N51" s="206"/>
      <c r="O51" s="206"/>
      <c r="P51" s="207"/>
      <c r="Y51" s="1"/>
      <c r="Z51" s="1"/>
      <c r="AA51" s="1"/>
    </row>
    <row r="52" spans="7:35" x14ac:dyDescent="0.3">
      <c r="I52" s="128"/>
      <c r="J52" s="128"/>
      <c r="K52" s="128"/>
      <c r="L52" s="64" t="s">
        <v>32</v>
      </c>
      <c r="M52" s="68">
        <v>5</v>
      </c>
      <c r="N52" s="56">
        <v>10</v>
      </c>
      <c r="O52" s="56">
        <v>15</v>
      </c>
      <c r="P52" s="57">
        <v>20</v>
      </c>
      <c r="Y52" s="1"/>
      <c r="Z52" s="1"/>
      <c r="AA52" s="1"/>
    </row>
    <row r="53" spans="7:35" x14ac:dyDescent="0.3">
      <c r="I53" s="128"/>
      <c r="J53" s="128"/>
      <c r="K53" s="128"/>
      <c r="L53" s="65" t="s">
        <v>23</v>
      </c>
      <c r="M53" s="69">
        <f>INDEX($F$80:$F$110,M52)</f>
        <v>14.56193668438371</v>
      </c>
      <c r="N53" s="34">
        <f>INDEX($F$80:$F$110,N52)</f>
        <v>20.529490982486632</v>
      </c>
      <c r="O53" s="35">
        <f>INDEX($F$80:$F$110,O52)</f>
        <v>28.310598722033415</v>
      </c>
      <c r="P53" s="49">
        <f>INDEX($F$80:$F$110,P52)</f>
        <v>33.560095351473599</v>
      </c>
      <c r="Y53" s="1"/>
      <c r="Z53" s="1"/>
      <c r="AA53" s="1"/>
    </row>
    <row r="54" spans="7:35" x14ac:dyDescent="0.3">
      <c r="I54" s="128"/>
      <c r="J54" s="128"/>
      <c r="K54" s="128"/>
      <c r="L54" s="65" t="s">
        <v>73</v>
      </c>
      <c r="M54" s="70">
        <f>PI()*M53^2</f>
        <v>666.17472219371575</v>
      </c>
      <c r="N54" s="44">
        <f>PI()*N53^2</f>
        <v>1324.0556397819539</v>
      </c>
      <c r="O54" s="44">
        <f>PI()*O53^2</f>
        <v>2517.9550959256835</v>
      </c>
      <c r="P54" s="53">
        <f>PI()*P53^2</f>
        <v>3538.3129738851121</v>
      </c>
      <c r="Y54" s="1"/>
      <c r="Z54" s="1"/>
      <c r="AA54" s="1"/>
    </row>
    <row r="55" spans="7:35" x14ac:dyDescent="0.3">
      <c r="I55" s="128"/>
      <c r="J55" s="128"/>
      <c r="K55" s="128"/>
      <c r="L55" s="65" t="s">
        <v>27</v>
      </c>
      <c r="M55" s="62">
        <f>10000/M54</f>
        <v>15.011076924489066</v>
      </c>
      <c r="N55" s="14">
        <f>10000/N54</f>
        <v>7.5525527021257242</v>
      </c>
      <c r="O55" s="14">
        <f>10000/O54</f>
        <v>3.9714767019400199</v>
      </c>
      <c r="P55" s="52">
        <f>10000/P54</f>
        <v>2.8262056165766123</v>
      </c>
      <c r="Y55" s="1"/>
      <c r="Z55" s="1"/>
      <c r="AA55" s="1"/>
    </row>
    <row r="56" spans="7:35" x14ac:dyDescent="0.3">
      <c r="I56" s="128"/>
      <c r="J56" s="128"/>
      <c r="K56" s="128"/>
      <c r="L56" s="66" t="s">
        <v>28</v>
      </c>
      <c r="M56" s="62">
        <f>SUM(M80:M110)*M55</f>
        <v>6.6514323272813005</v>
      </c>
      <c r="N56" s="14">
        <f>SUM(N80:N110)*N55</f>
        <v>8.6717214563659688</v>
      </c>
      <c r="O56" s="14">
        <f>SUM(O80:O110)*O55</f>
        <v>5.6932756491035459</v>
      </c>
      <c r="P56" s="52">
        <f>SUM(P80:P110)*P55</f>
        <v>4.7440900797315066</v>
      </c>
      <c r="Y56" s="1"/>
      <c r="Z56" s="1"/>
      <c r="AA56" s="1"/>
    </row>
    <row r="57" spans="7:35" x14ac:dyDescent="0.3">
      <c r="I57" s="128"/>
      <c r="J57" s="128"/>
      <c r="K57" s="128"/>
      <c r="L57" s="65" t="s">
        <v>37</v>
      </c>
      <c r="M57" s="172">
        <f>M56*(M52-1)/M52</f>
        <v>5.3211458618250402</v>
      </c>
      <c r="N57" s="173">
        <f>N56*(N52-1)/N52</f>
        <v>7.8045493107293726</v>
      </c>
      <c r="O57" s="173">
        <f>O56*(O52-1)/O52</f>
        <v>5.3137239391633093</v>
      </c>
      <c r="P57" s="174">
        <f>P56*(P52-1)/P52</f>
        <v>4.5068855757449313</v>
      </c>
      <c r="Y57" s="1"/>
      <c r="Z57" s="1"/>
      <c r="AA57" s="1"/>
    </row>
    <row r="58" spans="7:35" ht="15" thickBot="1" x14ac:dyDescent="0.35">
      <c r="I58" s="128"/>
      <c r="J58" s="128"/>
      <c r="K58" s="128"/>
      <c r="L58" s="159" t="s">
        <v>42</v>
      </c>
      <c r="M58" s="160">
        <f>M52*M55*(M52-1)/M52</f>
        <v>60.044307697956263</v>
      </c>
      <c r="N58" s="161">
        <f>N52*N55*(N52-1)/N52</f>
        <v>67.972974319131524</v>
      </c>
      <c r="O58" s="161">
        <f>O52*O55*(O52-1)/O52</f>
        <v>55.600673827160271</v>
      </c>
      <c r="P58" s="162">
        <f>P52*P55*(P52-1)/P52</f>
        <v>53.697906714955629</v>
      </c>
      <c r="Y58" s="1"/>
      <c r="Z58" s="1"/>
      <c r="AA58" s="1"/>
    </row>
    <row r="59" spans="7:35" x14ac:dyDescent="0.3">
      <c r="I59" s="128"/>
      <c r="J59" s="128"/>
      <c r="K59" s="128"/>
      <c r="L59" s="45" t="s">
        <v>35</v>
      </c>
      <c r="M59" s="131"/>
      <c r="N59" s="131"/>
      <c r="O59" s="131"/>
      <c r="P59" s="139"/>
      <c r="Y59" s="1"/>
      <c r="Z59" s="1"/>
      <c r="AA59" s="1"/>
    </row>
    <row r="60" spans="7:35" x14ac:dyDescent="0.3">
      <c r="I60" s="128"/>
      <c r="J60" s="128"/>
      <c r="K60" s="128"/>
      <c r="L60" s="133"/>
      <c r="M60" s="134"/>
      <c r="N60" s="134"/>
      <c r="O60" s="134"/>
      <c r="P60" s="135"/>
      <c r="Y60" s="1"/>
      <c r="Z60" s="1"/>
      <c r="AA60" s="1"/>
    </row>
    <row r="61" spans="7:35" x14ac:dyDescent="0.3">
      <c r="I61" s="128"/>
      <c r="J61" s="128"/>
      <c r="K61" s="128"/>
      <c r="L61" s="133"/>
      <c r="M61" s="134"/>
      <c r="N61" s="134"/>
      <c r="O61" s="134"/>
      <c r="P61" s="135"/>
      <c r="Q61" s="148"/>
      <c r="R61" s="148"/>
      <c r="S61" s="148"/>
      <c r="T61" s="149"/>
      <c r="U61" s="150"/>
      <c r="V61" s="214" t="s">
        <v>82</v>
      </c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54" t="s">
        <v>95</v>
      </c>
      <c r="AH61" s="254" t="s">
        <v>96</v>
      </c>
      <c r="AI61" s="254" t="s">
        <v>88</v>
      </c>
    </row>
    <row r="62" spans="7:35" ht="15" thickBot="1" x14ac:dyDescent="0.35">
      <c r="I62" s="128"/>
      <c r="J62" s="128"/>
      <c r="K62" s="128"/>
      <c r="L62" s="133"/>
      <c r="M62" s="134"/>
      <c r="N62" s="134"/>
      <c r="O62" s="134"/>
      <c r="P62" s="135"/>
      <c r="Q62" s="152"/>
      <c r="R62" s="152"/>
      <c r="S62" s="152"/>
      <c r="T62" s="134"/>
      <c r="U62" s="153"/>
      <c r="V62" s="225"/>
      <c r="W62" s="226"/>
      <c r="X62" s="226"/>
      <c r="Y62" s="226"/>
      <c r="Z62" s="226"/>
      <c r="AA62" s="228"/>
      <c r="AG62" s="158" t="s">
        <v>97</v>
      </c>
      <c r="AH62" s="255" t="s">
        <v>98</v>
      </c>
      <c r="AI62" s="158">
        <f>1/16</f>
        <v>6.25E-2</v>
      </c>
    </row>
    <row r="63" spans="7:35" x14ac:dyDescent="0.3">
      <c r="G63" s="130"/>
      <c r="H63" s="131"/>
      <c r="I63" s="132"/>
      <c r="J63" s="132"/>
      <c r="K63" s="132"/>
      <c r="L63" s="133"/>
      <c r="M63" s="134"/>
      <c r="N63" s="134"/>
      <c r="O63" s="134"/>
      <c r="P63" s="135"/>
      <c r="Q63" s="134"/>
      <c r="R63" s="152"/>
      <c r="S63" s="152"/>
      <c r="T63" s="134"/>
      <c r="U63" s="153"/>
      <c r="V63" s="227"/>
      <c r="W63" s="229"/>
      <c r="X63" s="229"/>
      <c r="Y63" s="229"/>
      <c r="Z63" s="229"/>
      <c r="AA63" s="230"/>
      <c r="AG63" s="245" t="s">
        <v>99</v>
      </c>
      <c r="AH63" s="256" t="s">
        <v>100</v>
      </c>
      <c r="AI63" s="245">
        <f>1/4</f>
        <v>0.25</v>
      </c>
    </row>
    <row r="64" spans="7:35" x14ac:dyDescent="0.3">
      <c r="G64" s="133"/>
      <c r="H64" s="134"/>
      <c r="I64" s="129"/>
      <c r="J64" s="129"/>
      <c r="K64" s="129"/>
      <c r="L64" s="133"/>
      <c r="M64" s="134"/>
      <c r="N64" s="134"/>
      <c r="O64" s="134"/>
      <c r="P64" s="135"/>
      <c r="Q64" s="152"/>
      <c r="R64" s="152"/>
      <c r="S64" s="152"/>
      <c r="T64" s="134"/>
      <c r="U64" s="153"/>
      <c r="V64" s="227"/>
      <c r="W64" s="229"/>
      <c r="X64" s="229"/>
      <c r="Y64" s="229"/>
      <c r="Z64" s="229"/>
      <c r="AA64" s="230"/>
      <c r="AG64" s="247" t="s">
        <v>101</v>
      </c>
      <c r="AH64" s="257" t="s">
        <v>102</v>
      </c>
      <c r="AI64" s="247">
        <f>9/16</f>
        <v>0.5625</v>
      </c>
    </row>
    <row r="65" spans="1:51" ht="15" thickBot="1" x14ac:dyDescent="0.35">
      <c r="G65" s="133"/>
      <c r="H65" s="134"/>
      <c r="I65" s="134"/>
      <c r="J65" s="134"/>
      <c r="K65" s="134"/>
      <c r="L65" s="136"/>
      <c r="M65" s="137"/>
      <c r="N65" s="137"/>
      <c r="O65" s="137"/>
      <c r="P65" s="138"/>
      <c r="Q65" s="151"/>
      <c r="R65" s="152"/>
      <c r="S65" s="152"/>
      <c r="T65" s="134"/>
      <c r="U65" s="153"/>
      <c r="V65" s="227"/>
      <c r="W65" s="229"/>
      <c r="X65" s="229"/>
      <c r="Y65" s="229"/>
      <c r="Z65" s="229"/>
      <c r="AA65" s="230"/>
      <c r="AG65" s="239" t="s">
        <v>103</v>
      </c>
      <c r="AH65" s="258">
        <v>1</v>
      </c>
      <c r="AI65" s="239">
        <v>1</v>
      </c>
    </row>
    <row r="66" spans="1:51" ht="15" thickBot="1" x14ac:dyDescent="0.35">
      <c r="G66" s="133"/>
      <c r="H66" s="134"/>
      <c r="I66" s="134"/>
      <c r="J66" s="134"/>
      <c r="K66" s="135"/>
      <c r="L66" s="163"/>
      <c r="M66" s="208" t="s">
        <v>38</v>
      </c>
      <c r="N66" s="208"/>
      <c r="O66" s="208"/>
      <c r="P66" s="209"/>
      <c r="Q66" s="154"/>
      <c r="R66" s="134"/>
      <c r="S66" s="134"/>
      <c r="T66" s="134"/>
      <c r="U66" s="153"/>
      <c r="V66" s="227"/>
      <c r="W66" s="229"/>
      <c r="X66" s="229"/>
      <c r="Y66" s="229"/>
      <c r="Z66" s="229"/>
      <c r="AA66" s="230"/>
      <c r="AG66" s="158" t="s">
        <v>104</v>
      </c>
      <c r="AH66" s="223" t="s">
        <v>105</v>
      </c>
      <c r="AI66" s="158">
        <f>1+9/16</f>
        <v>1.5625</v>
      </c>
    </row>
    <row r="67" spans="1:51" ht="33.6" customHeight="1" x14ac:dyDescent="0.3">
      <c r="A67" s="210" t="s">
        <v>30</v>
      </c>
      <c r="B67" s="210"/>
      <c r="C67" s="210"/>
      <c r="D67" s="210"/>
      <c r="E67" s="210"/>
      <c r="F67" s="210"/>
      <c r="G67" s="133"/>
      <c r="H67" s="134"/>
      <c r="I67" s="134"/>
      <c r="J67" s="134"/>
      <c r="K67" s="135"/>
      <c r="L67" s="141" t="s">
        <v>32</v>
      </c>
      <c r="M67" s="142">
        <v>5</v>
      </c>
      <c r="N67" s="142">
        <v>10</v>
      </c>
      <c r="O67" s="142">
        <v>15</v>
      </c>
      <c r="P67" s="143">
        <v>20</v>
      </c>
      <c r="Q67" s="155"/>
      <c r="R67" s="156"/>
      <c r="S67" s="156"/>
      <c r="T67" s="156"/>
      <c r="U67" s="157"/>
      <c r="V67" s="231"/>
      <c r="W67" s="232"/>
      <c r="X67" s="232"/>
      <c r="Y67" s="232"/>
      <c r="Z67" s="232"/>
      <c r="AA67" s="233"/>
      <c r="AG67" s="241" t="s">
        <v>106</v>
      </c>
      <c r="AH67" s="259">
        <v>2</v>
      </c>
      <c r="AI67" s="241">
        <v>2</v>
      </c>
    </row>
    <row r="68" spans="1:51" ht="15" thickBot="1" x14ac:dyDescent="0.35">
      <c r="A68" s="4" t="s">
        <v>15</v>
      </c>
      <c r="B68" t="s">
        <v>31</v>
      </c>
      <c r="G68" s="136"/>
      <c r="H68" s="137"/>
      <c r="I68" s="137"/>
      <c r="J68" s="137"/>
      <c r="K68" s="138"/>
      <c r="L68" s="46" t="s">
        <v>23</v>
      </c>
      <c r="M68" s="33">
        <f>INDEX($F$80:$F$110,M67)</f>
        <v>14.56193668438371</v>
      </c>
      <c r="N68" s="34">
        <f>INDEX($F$80:$F$110,N67)</f>
        <v>20.529490982486632</v>
      </c>
      <c r="O68" s="35">
        <f>INDEX($F$80:$F$110,O67)</f>
        <v>28.310598722033415</v>
      </c>
      <c r="P68" s="47">
        <f>INDEX($F$80:$F$110,P67)</f>
        <v>33.560095351473599</v>
      </c>
      <c r="Q68" s="164" t="s">
        <v>78</v>
      </c>
      <c r="R68" s="198" t="s">
        <v>79</v>
      </c>
      <c r="S68" s="198"/>
      <c r="T68" s="198"/>
      <c r="U68" s="198"/>
      <c r="V68" s="248" t="s">
        <v>92</v>
      </c>
      <c r="W68" s="215"/>
      <c r="X68" s="215"/>
      <c r="Y68" s="215"/>
      <c r="Z68" s="215"/>
      <c r="AA68" s="215"/>
      <c r="AG68" s="158" t="s">
        <v>107</v>
      </c>
      <c r="AH68" s="223" t="s">
        <v>108</v>
      </c>
      <c r="AI68" s="158">
        <f>2+1/4</f>
        <v>2.25</v>
      </c>
    </row>
    <row r="69" spans="1:51" ht="15" thickBot="1" x14ac:dyDescent="0.35">
      <c r="A69" s="4" t="s">
        <v>39</v>
      </c>
      <c r="B69" t="s">
        <v>71</v>
      </c>
      <c r="G69" s="45" t="s">
        <v>15</v>
      </c>
      <c r="H69" s="202" t="s">
        <v>29</v>
      </c>
      <c r="I69" s="203"/>
      <c r="J69" s="203"/>
      <c r="K69" s="204"/>
      <c r="L69" s="46" t="s">
        <v>32</v>
      </c>
      <c r="M69" s="5">
        <f>M67+1</f>
        <v>6</v>
      </c>
      <c r="N69" s="5">
        <f>N67+1</f>
        <v>11</v>
      </c>
      <c r="O69" s="5">
        <f>O67+1</f>
        <v>16</v>
      </c>
      <c r="P69" s="48">
        <f>P67+1</f>
        <v>21</v>
      </c>
      <c r="Q69" s="166" t="s">
        <v>23</v>
      </c>
      <c r="R69" s="5">
        <v>10</v>
      </c>
      <c r="S69" s="5">
        <v>20</v>
      </c>
      <c r="T69" s="5">
        <v>30</v>
      </c>
      <c r="U69" s="158">
        <v>40</v>
      </c>
      <c r="V69" s="164" t="s">
        <v>93</v>
      </c>
      <c r="W69" s="216" t="s">
        <v>83</v>
      </c>
      <c r="X69" s="217" t="s">
        <v>84</v>
      </c>
      <c r="Y69" s="218" t="s">
        <v>85</v>
      </c>
      <c r="Z69" s="219" t="s">
        <v>86</v>
      </c>
      <c r="AA69" s="220" t="s">
        <v>87</v>
      </c>
      <c r="AG69" s="158" t="s">
        <v>109</v>
      </c>
      <c r="AH69" s="223" t="s">
        <v>110</v>
      </c>
      <c r="AI69" s="158">
        <f>3+1/16</f>
        <v>3.0625</v>
      </c>
    </row>
    <row r="70" spans="1:51" x14ac:dyDescent="0.3">
      <c r="A70" s="4" t="s">
        <v>40</v>
      </c>
      <c r="B70" t="s">
        <v>70</v>
      </c>
      <c r="G70" s="65" t="s">
        <v>32</v>
      </c>
      <c r="H70" s="71">
        <f>COUNT(H80:H110)-COUNTIF(H80:H110,0)</f>
        <v>3</v>
      </c>
      <c r="I70" s="72">
        <f>COUNT(I80:I110)-COUNTIF(I80:I110,0)</f>
        <v>9</v>
      </c>
      <c r="J70" s="72">
        <f>COUNT(J80:J110)-COUNTIF(J80:J110,0)</f>
        <v>15</v>
      </c>
      <c r="K70" s="73">
        <f>COUNT(K80:K110)-COUNTIF(K80:K110,0)</f>
        <v>25</v>
      </c>
      <c r="L70" s="46" t="s">
        <v>23</v>
      </c>
      <c r="M70" s="33">
        <f>INDEX($F$80:$F$110,M69)</f>
        <v>15.608331108738051</v>
      </c>
      <c r="N70" s="34">
        <f>INDEX($F$80:$F$110,N69)</f>
        <v>22.78815481779953</v>
      </c>
      <c r="O70" s="35">
        <f>INDEX($F$80:$F$110,O69)</f>
        <v>30.818500936937216</v>
      </c>
      <c r="P70" s="49">
        <f>INDEX($F$80:$F$110,P69)</f>
        <v>35.5</v>
      </c>
      <c r="Q70" s="166" t="s">
        <v>74</v>
      </c>
      <c r="R70" s="168">
        <f>PI()*R69^2</f>
        <v>314.15926535897933</v>
      </c>
      <c r="S70" s="168">
        <f>PI()*S69^2</f>
        <v>1256.6370614359173</v>
      </c>
      <c r="T70" s="168">
        <f>PI()*T69^2</f>
        <v>2827.4333882308138</v>
      </c>
      <c r="U70" s="168">
        <f>PI()*U69^2</f>
        <v>5026.5482457436692</v>
      </c>
      <c r="V70" s="221" t="s">
        <v>88</v>
      </c>
      <c r="W70" s="5">
        <v>1</v>
      </c>
      <c r="X70" s="5">
        <v>2</v>
      </c>
      <c r="Y70" s="5">
        <v>4</v>
      </c>
      <c r="Z70" s="5">
        <v>0.25</v>
      </c>
      <c r="AA70" s="5">
        <v>0.5</v>
      </c>
      <c r="AG70" s="243" t="s">
        <v>111</v>
      </c>
      <c r="AH70" s="260">
        <v>4</v>
      </c>
      <c r="AI70" s="243">
        <v>4</v>
      </c>
    </row>
    <row r="71" spans="1:51" x14ac:dyDescent="0.3">
      <c r="A71" s="4" t="s">
        <v>72</v>
      </c>
      <c r="B71" t="s">
        <v>80</v>
      </c>
      <c r="G71" s="65" t="s">
        <v>23</v>
      </c>
      <c r="H71" s="59">
        <v>10</v>
      </c>
      <c r="I71" s="5">
        <v>20</v>
      </c>
      <c r="J71" s="5">
        <v>30</v>
      </c>
      <c r="K71" s="48">
        <v>40</v>
      </c>
      <c r="L71" s="46" t="s">
        <v>36</v>
      </c>
      <c r="M71" s="36">
        <f>(M68+M70)/2</f>
        <v>15.08513389656088</v>
      </c>
      <c r="N71" s="36">
        <f>(N68+N70)/2</f>
        <v>21.658822900143079</v>
      </c>
      <c r="O71" s="36">
        <f>(O68+O70)/2</f>
        <v>29.564549829485316</v>
      </c>
      <c r="P71" s="50">
        <f>(P68+P70)/2</f>
        <v>34.530047675736796</v>
      </c>
      <c r="Q71" s="166" t="s">
        <v>81</v>
      </c>
      <c r="R71" s="178">
        <f>10000/R70</f>
        <v>31.830988618379067</v>
      </c>
      <c r="S71" s="178">
        <f>10000/S70</f>
        <v>7.9577471545947667</v>
      </c>
      <c r="T71" s="178">
        <f>10000/T70</f>
        <v>3.5367765131532298</v>
      </c>
      <c r="U71" s="178">
        <f>10000/U70</f>
        <v>1.9894367886486917</v>
      </c>
      <c r="V71" s="221" t="s">
        <v>89</v>
      </c>
      <c r="W71" s="222">
        <f>SUM(V81:V110)</f>
        <v>7</v>
      </c>
      <c r="X71" s="222">
        <f>SUM(X81:X111)</f>
        <v>4</v>
      </c>
      <c r="Y71" s="222">
        <f>SUM(Z81:Z111)</f>
        <v>2</v>
      </c>
      <c r="Z71" s="222">
        <f>SUM(AB81:AB111)</f>
        <v>16</v>
      </c>
      <c r="AA71" s="222">
        <f>SUM(AD81:AD111)</f>
        <v>10</v>
      </c>
    </row>
    <row r="72" spans="1:51" x14ac:dyDescent="0.3">
      <c r="A72" s="4" t="s">
        <v>93</v>
      </c>
      <c r="B72" s="250" t="s">
        <v>94</v>
      </c>
      <c r="G72" s="65" t="s">
        <v>73</v>
      </c>
      <c r="H72" s="60">
        <f>PI()*H71^2</f>
        <v>314.15926535897933</v>
      </c>
      <c r="I72" s="22">
        <f>PI()*I71^2</f>
        <v>1256.6370614359173</v>
      </c>
      <c r="J72" s="22">
        <f>PI()*J71^2</f>
        <v>2827.4333882308138</v>
      </c>
      <c r="K72" s="61">
        <f>PI()*K71^2</f>
        <v>5026.5482457436692</v>
      </c>
      <c r="L72" s="65" t="s">
        <v>73</v>
      </c>
      <c r="M72" s="32">
        <f>PI()*M71^2</f>
        <v>714.90479735139979</v>
      </c>
      <c r="N72" s="32">
        <f>PI()*N71^2</f>
        <v>1473.7355947182343</v>
      </c>
      <c r="O72" s="32">
        <f>PI()*O71^2</f>
        <v>2745.9486637353148</v>
      </c>
      <c r="P72" s="51">
        <f>PI()*P71^2</f>
        <v>3745.7969238197443</v>
      </c>
      <c r="Q72" s="166" t="s">
        <v>75</v>
      </c>
      <c r="R72" s="169">
        <f>SUM(Q80:Q110)</f>
        <v>0</v>
      </c>
      <c r="S72" s="169">
        <f>SUM(R80:R110)</f>
        <v>9.1025416606980214E-2</v>
      </c>
      <c r="T72" s="169">
        <f>SUM(S80:S110)</f>
        <v>0.72534156185990717</v>
      </c>
      <c r="U72" s="169">
        <f>SUM(T80:T110)</f>
        <v>0.55682393225342974</v>
      </c>
      <c r="V72" s="221" t="s">
        <v>77</v>
      </c>
      <c r="W72" s="223">
        <f>W70*W71</f>
        <v>7</v>
      </c>
      <c r="X72" s="223">
        <f>X70*X71</f>
        <v>8</v>
      </c>
      <c r="Y72" s="223">
        <f>Y70*Y71</f>
        <v>8</v>
      </c>
      <c r="Z72" s="223">
        <f>Z70*Z71</f>
        <v>4</v>
      </c>
      <c r="AA72" s="223">
        <f t="shared" ref="AA72" si="4">AA70*AA71</f>
        <v>5</v>
      </c>
      <c r="AC72" s="224"/>
      <c r="AD72" s="224"/>
      <c r="AE72" s="224"/>
      <c r="AF72" s="224"/>
      <c r="AG72" s="224"/>
    </row>
    <row r="73" spans="1:51" x14ac:dyDescent="0.3">
      <c r="G73" s="65" t="s">
        <v>27</v>
      </c>
      <c r="H73" s="62">
        <f>10000/H72</f>
        <v>31.830988618379067</v>
      </c>
      <c r="I73" s="14">
        <f>10000/I72</f>
        <v>7.9577471545947667</v>
      </c>
      <c r="J73" s="14">
        <f>10000/J72</f>
        <v>3.5367765131532298</v>
      </c>
      <c r="K73" s="52">
        <f>10000/K72</f>
        <v>1.9894367886486917</v>
      </c>
      <c r="L73" s="46" t="s">
        <v>27</v>
      </c>
      <c r="M73" s="14">
        <f>10000/M72</f>
        <v>13.987876479565241</v>
      </c>
      <c r="N73" s="14">
        <f>10000/N72</f>
        <v>6.7854776907331971</v>
      </c>
      <c r="O73" s="14">
        <f>10000/O72</f>
        <v>3.6417286790777061</v>
      </c>
      <c r="P73" s="52">
        <f>10000/P72</f>
        <v>2.6696588745666934</v>
      </c>
      <c r="Q73" s="166" t="s">
        <v>76</v>
      </c>
      <c r="R73" s="170">
        <f>R72*R71</f>
        <v>0</v>
      </c>
      <c r="S73" s="170">
        <f>S72*S71</f>
        <v>0.72435725000000006</v>
      </c>
      <c r="T73" s="170">
        <f>T72*T71</f>
        <v>2.5653710000000003</v>
      </c>
      <c r="U73" s="261">
        <f>U72*U71</f>
        <v>1.107766015625</v>
      </c>
      <c r="V73" s="263"/>
      <c r="W73" s="262"/>
      <c r="X73" s="262"/>
      <c r="Y73" s="262"/>
      <c r="Z73" s="262"/>
      <c r="AA73" s="262"/>
      <c r="AB73" s="224"/>
      <c r="AC73" s="224"/>
      <c r="AD73" s="224"/>
      <c r="AE73" s="224"/>
      <c r="AF73" s="224"/>
      <c r="AG73" s="224"/>
    </row>
    <row r="74" spans="1:51" ht="15" thickBot="1" x14ac:dyDescent="0.35">
      <c r="G74" s="66" t="s">
        <v>28</v>
      </c>
      <c r="H74" s="172">
        <f>SUM(H80:H110)*H73</f>
        <v>12.015293</v>
      </c>
      <c r="I74" s="173">
        <f>SUM(I80:I110)*I73</f>
        <v>8.0334090625000005</v>
      </c>
      <c r="J74" s="173">
        <f>SUM(J80:J110)*J73</f>
        <v>5.0701150000000013</v>
      </c>
      <c r="K74" s="174">
        <f>SUM(K80:K110)*K73</f>
        <v>4.6288966093750004</v>
      </c>
      <c r="L74" s="144" t="s">
        <v>28</v>
      </c>
      <c r="M74" s="175">
        <f>SUM(M80:M110)*M73</f>
        <v>6.1980505645410107</v>
      </c>
      <c r="N74" s="175">
        <f>SUM(N80:N110)*N73</f>
        <v>7.7909780710119643</v>
      </c>
      <c r="O74" s="175">
        <f>SUM(O80:O110)*O73</f>
        <v>5.2205682584281856</v>
      </c>
      <c r="P74" s="176">
        <f>SUM(P80:P110)*P73</f>
        <v>4.4813095370039955</v>
      </c>
      <c r="Q74" s="167" t="s">
        <v>77</v>
      </c>
      <c r="R74" s="169">
        <f>SUM(R73:U73)</f>
        <v>4.3974942656250002</v>
      </c>
    </row>
    <row r="75" spans="1:51" ht="16.8" thickBot="1" x14ac:dyDescent="0.35">
      <c r="A75" s="201" t="s">
        <v>0</v>
      </c>
      <c r="B75" s="201"/>
      <c r="C75" s="201"/>
      <c r="D75" s="201"/>
      <c r="E75" s="201"/>
      <c r="F75" s="201"/>
      <c r="G75" s="67" t="s">
        <v>43</v>
      </c>
      <c r="H75" s="63">
        <f>H70*H73</f>
        <v>95.4929658551372</v>
      </c>
      <c r="I75" s="54">
        <f>I70*I73</f>
        <v>71.619724391352904</v>
      </c>
      <c r="J75" s="54">
        <f>J70*J73</f>
        <v>53.051647697298449</v>
      </c>
      <c r="K75" s="55">
        <f>K70*K73</f>
        <v>49.735919716217289</v>
      </c>
      <c r="L75" s="67" t="s">
        <v>43</v>
      </c>
      <c r="M75" s="145">
        <f>M67*M73</f>
        <v>69.939382397826208</v>
      </c>
      <c r="N75" s="145">
        <f>N67*N73</f>
        <v>67.854776907331967</v>
      </c>
      <c r="O75" s="145">
        <f>O67*O73</f>
        <v>54.62593018616559</v>
      </c>
      <c r="P75" s="146">
        <f>P67*P73</f>
        <v>53.393177491333866</v>
      </c>
      <c r="Q75" s="39"/>
      <c r="R75" s="40"/>
      <c r="S75" s="40"/>
      <c r="T75" s="40"/>
      <c r="U75" s="40"/>
    </row>
    <row r="76" spans="1:51" ht="31.2" x14ac:dyDescent="0.6">
      <c r="A76" s="201"/>
      <c r="B76" s="201"/>
      <c r="C76" s="201"/>
      <c r="D76" s="201"/>
      <c r="E76" s="201"/>
      <c r="F76" s="201"/>
      <c r="G76" s="42"/>
      <c r="H76" s="41"/>
      <c r="I76" s="41"/>
      <c r="J76" s="41"/>
      <c r="K76" s="41"/>
      <c r="Q76" s="177"/>
      <c r="R76" s="40"/>
      <c r="S76" s="40"/>
      <c r="T76" s="40"/>
      <c r="U76" s="40"/>
    </row>
    <row r="77" spans="1:51" s="37" customFormat="1" ht="4.2" customHeight="1" x14ac:dyDescent="0.3">
      <c r="A77" s="74"/>
      <c r="B77" s="74"/>
      <c r="C77" s="74"/>
      <c r="D77" s="74"/>
      <c r="E77" s="74"/>
      <c r="F77" s="74"/>
      <c r="G77" s="75"/>
      <c r="H77" s="76"/>
      <c r="I77" s="76"/>
      <c r="J77" s="76"/>
      <c r="K77" s="76"/>
      <c r="L77" s="77"/>
      <c r="M77" s="76"/>
      <c r="N77" s="76"/>
      <c r="O77" s="76"/>
      <c r="P77" s="76"/>
      <c r="Q77" s="78"/>
      <c r="R77" s="79"/>
      <c r="S77" s="79"/>
      <c r="T77" s="79"/>
      <c r="U77" s="79"/>
      <c r="AY77" s="165"/>
    </row>
    <row r="78" spans="1:51" x14ac:dyDescent="0.3">
      <c r="A78" s="13"/>
      <c r="B78" s="13"/>
      <c r="C78" s="13"/>
      <c r="D78" s="199" t="s">
        <v>4</v>
      </c>
      <c r="E78" s="199"/>
      <c r="F78" s="10" t="s">
        <v>15</v>
      </c>
      <c r="L78" s="43" t="s">
        <v>41</v>
      </c>
      <c r="Q78" s="164" t="s">
        <v>78</v>
      </c>
    </row>
    <row r="79" spans="1:51" x14ac:dyDescent="0.3">
      <c r="A79" s="12" t="s">
        <v>1</v>
      </c>
      <c r="B79" s="12" t="s">
        <v>2</v>
      </c>
      <c r="C79" s="12" t="s">
        <v>3</v>
      </c>
      <c r="D79" s="12" t="s">
        <v>5</v>
      </c>
      <c r="E79" s="12" t="s">
        <v>6</v>
      </c>
      <c r="F79" s="13" t="s">
        <v>9</v>
      </c>
      <c r="G79" s="19" t="s">
        <v>26</v>
      </c>
      <c r="H79" s="13" t="str">
        <f>CONCATENATE($G$79,H71)</f>
        <v>gi10</v>
      </c>
      <c r="I79" s="13" t="str">
        <f>CONCATENATE($G$79,I71)</f>
        <v>gi20</v>
      </c>
      <c r="J79" s="13" t="str">
        <f>CONCATENATE($G$79,J71)</f>
        <v>gi30</v>
      </c>
      <c r="K79" s="13" t="str">
        <f>CONCATENATE($G$79,K71)</f>
        <v>gi40</v>
      </c>
      <c r="L79" s="5" t="s">
        <v>33</v>
      </c>
      <c r="M79" s="13" t="str">
        <f>CONCATENATE($G$79,M52)</f>
        <v>gi5</v>
      </c>
      <c r="N79" s="13" t="str">
        <f>CONCATENATE($G$79,N52)</f>
        <v>gi10</v>
      </c>
      <c r="O79" s="13" t="str">
        <f>CONCATENATE($G$79,O52)</f>
        <v>gi15</v>
      </c>
      <c r="P79" s="13" t="str">
        <f>CONCATENATE($G$79,P52)</f>
        <v>gi20</v>
      </c>
      <c r="Q79" s="179">
        <v>22.5</v>
      </c>
      <c r="R79" s="180">
        <v>32.5</v>
      </c>
      <c r="S79" s="181">
        <v>52.5</v>
      </c>
      <c r="T79" s="182"/>
      <c r="U79" s="234" t="s">
        <v>83</v>
      </c>
      <c r="V79" s="234"/>
      <c r="W79" s="235" t="s">
        <v>84</v>
      </c>
      <c r="X79" s="235"/>
      <c r="Y79" s="236" t="s">
        <v>85</v>
      </c>
      <c r="Z79" s="236"/>
      <c r="AA79" s="237" t="s">
        <v>86</v>
      </c>
      <c r="AB79" s="237"/>
      <c r="AC79" s="238" t="s">
        <v>87</v>
      </c>
      <c r="AD79" s="251"/>
      <c r="AE79" s="253"/>
    </row>
    <row r="80" spans="1:51" x14ac:dyDescent="0.3">
      <c r="A80" s="11">
        <v>29</v>
      </c>
      <c r="B80" s="11" t="s">
        <v>8</v>
      </c>
      <c r="C80" s="11">
        <v>48.06</v>
      </c>
      <c r="D80" s="11">
        <v>-1.6</v>
      </c>
      <c r="E80" s="11">
        <v>-0.1</v>
      </c>
      <c r="F80" s="15">
        <f t="shared" ref="F80:F110" si="5">SQRT(D80^2+E80^2)</f>
        <v>1.6031219541881399</v>
      </c>
      <c r="G80" s="20">
        <f>PI()/40000*C80^2</f>
        <v>0.18140840893222784</v>
      </c>
      <c r="H80" s="21">
        <f>IF($F80&lt;=H$71,$G80,0)</f>
        <v>0.18140840893222784</v>
      </c>
      <c r="I80" s="21">
        <f t="shared" ref="I80:K95" si="6">IF($F80&lt;=I$71,$G80,0)</f>
        <v>0.18140840893222784</v>
      </c>
      <c r="J80" s="21">
        <f t="shared" si="6"/>
        <v>0.18140840893222784</v>
      </c>
      <c r="K80" s="21">
        <f>IF($F80&lt;=K$71,$G80,0)</f>
        <v>0.18140840893222784</v>
      </c>
      <c r="L80" s="5">
        <v>1</v>
      </c>
      <c r="M80" s="23">
        <f t="shared" ref="M80:P110" si="7">IF($L80&lt;=M$52,$G80,0)</f>
        <v>0.18140840893222784</v>
      </c>
      <c r="N80" s="23">
        <f t="shared" si="7"/>
        <v>0.18140840893222784</v>
      </c>
      <c r="O80" s="23">
        <f t="shared" si="7"/>
        <v>0.18140840893222784</v>
      </c>
      <c r="P80" s="23">
        <f t="shared" si="7"/>
        <v>0.18140840893222784</v>
      </c>
      <c r="Q80" s="171">
        <f>IF(AND($F80&lt;R$69,$C80&lt;Q$79),$G80,0)</f>
        <v>0</v>
      </c>
      <c r="R80" s="171">
        <f>IF(AND($F80&lt;S$69,$C80&lt;R$79,$C80&gt;Q$79),$G80,0)</f>
        <v>0</v>
      </c>
      <c r="S80" s="171">
        <f>IF(AND($F80&lt;T$69,$C80&lt;S$79,$C80&gt;R$79),$G80,0)</f>
        <v>0.18140840893222784</v>
      </c>
      <c r="T80" s="171">
        <f>IF(AND($F80&lt;U$69,$C80&gt;S$79),$G80,0)</f>
        <v>0</v>
      </c>
      <c r="U80" s="239" t="s">
        <v>90</v>
      </c>
      <c r="V80" s="240" t="s">
        <v>91</v>
      </c>
      <c r="W80" s="241" t="s">
        <v>90</v>
      </c>
      <c r="X80" s="242" t="s">
        <v>91</v>
      </c>
      <c r="Y80" s="243" t="s">
        <v>90</v>
      </c>
      <c r="Z80" s="244" t="s">
        <v>91</v>
      </c>
      <c r="AA80" s="245" t="s">
        <v>90</v>
      </c>
      <c r="AB80" s="246" t="s">
        <v>91</v>
      </c>
      <c r="AC80" s="247" t="s">
        <v>90</v>
      </c>
      <c r="AD80" s="252" t="s">
        <v>91</v>
      </c>
      <c r="AE80" s="253"/>
    </row>
    <row r="81" spans="1:30" x14ac:dyDescent="0.3">
      <c r="A81" s="11">
        <v>4</v>
      </c>
      <c r="B81" s="11" t="s">
        <v>7</v>
      </c>
      <c r="C81" s="11">
        <v>22.6</v>
      </c>
      <c r="D81" s="11">
        <v>-6</v>
      </c>
      <c r="E81" s="11">
        <v>1.7</v>
      </c>
      <c r="F81" s="15">
        <f t="shared" si="5"/>
        <v>6.2361847310675458</v>
      </c>
      <c r="G81" s="20">
        <f t="shared" ref="G81:G110" si="8">PI()/40000*C81^2</f>
        <v>4.0114996593688071E-2</v>
      </c>
      <c r="H81" s="21">
        <f t="shared" ref="H81:H110" si="9">IF($F81&lt;=H$71,$G81,0)</f>
        <v>4.0114996593688071E-2</v>
      </c>
      <c r="I81" s="21">
        <f t="shared" si="6"/>
        <v>4.0114996593688071E-2</v>
      </c>
      <c r="J81" s="21">
        <f t="shared" si="6"/>
        <v>4.0114996593688071E-2</v>
      </c>
      <c r="K81" s="21">
        <f t="shared" si="6"/>
        <v>4.0114996593688071E-2</v>
      </c>
      <c r="L81" s="27">
        <f>L80+1</f>
        <v>2</v>
      </c>
      <c r="M81" s="23">
        <f t="shared" si="7"/>
        <v>4.0114996593688071E-2</v>
      </c>
      <c r="N81" s="23">
        <f t="shared" si="7"/>
        <v>4.0114996593688071E-2</v>
      </c>
      <c r="O81" s="23">
        <f t="shared" si="7"/>
        <v>4.0114996593688071E-2</v>
      </c>
      <c r="P81" s="23">
        <f t="shared" si="7"/>
        <v>4.0114996593688071E-2</v>
      </c>
      <c r="Q81" s="171">
        <f t="shared" ref="Q81:Q110" si="10">IF(AND($F81&lt;R$69,$C81&lt;Q$79),$G81,0)</f>
        <v>0</v>
      </c>
      <c r="R81" s="171">
        <f t="shared" ref="R81:S110" si="11">IF(AND($F81&lt;S$69,$C81&lt;R$79,$C81&gt;Q$79),$G81,0)</f>
        <v>4.0114996593688071E-2</v>
      </c>
      <c r="S81" s="171">
        <f t="shared" si="11"/>
        <v>0</v>
      </c>
      <c r="T81" s="171">
        <f t="shared" ref="T81:T110" si="12">IF(AND($F81&lt;U$69,$C81&gt;S$79),$G81,0)</f>
        <v>0</v>
      </c>
      <c r="U81">
        <f>C80/100*1/SQRT(W$70/2500)</f>
        <v>24.03</v>
      </c>
      <c r="V81">
        <f>IF(F80&lt;U81,1,IF(F80=U81,0.5,0))</f>
        <v>1</v>
      </c>
      <c r="W81" s="249">
        <f>C80/100*1/SQRT(X$70/2500)</f>
        <v>16.991775951912739</v>
      </c>
      <c r="X81">
        <f>IF($F80&lt;W81,1,IF($F80=W81,0.5,0))</f>
        <v>1</v>
      </c>
      <c r="Y81" s="249">
        <f>$C80/100*1/SQRT(Y$70/2500)</f>
        <v>12.015000000000001</v>
      </c>
      <c r="Z81">
        <f>IF($F80&lt;Y81,1,IF($F80=Y81,0.5,0))</f>
        <v>1</v>
      </c>
      <c r="AA81" s="83">
        <f>$C80/100*1/SQRT(Z$70/2500)</f>
        <v>48.06</v>
      </c>
      <c r="AB81">
        <f>IF($F80&lt;AA81,1,IF($F80=AA81,0.5,0))</f>
        <v>1</v>
      </c>
      <c r="AC81" s="83">
        <f>$C80/100*1/SQRT(AA$70/2500)</f>
        <v>33.983551903825479</v>
      </c>
      <c r="AD81">
        <f>IF($F80&lt;AC81,1,IF($F80=AC81,0.5,0))</f>
        <v>1</v>
      </c>
    </row>
    <row r="82" spans="1:30" x14ac:dyDescent="0.3">
      <c r="A82" s="11">
        <v>5</v>
      </c>
      <c r="B82" s="11" t="s">
        <v>7</v>
      </c>
      <c r="C82" s="11">
        <v>44.56</v>
      </c>
      <c r="D82" s="11">
        <v>-2.1</v>
      </c>
      <c r="E82" s="11">
        <v>-9.1999999999999993</v>
      </c>
      <c r="F82" s="15">
        <f t="shared" si="5"/>
        <v>9.4366307546708637</v>
      </c>
      <c r="G82" s="20">
        <f t="shared" si="8"/>
        <v>0.15594815666937276</v>
      </c>
      <c r="H82" s="21">
        <f t="shared" si="9"/>
        <v>0.15594815666937276</v>
      </c>
      <c r="I82" s="21">
        <f t="shared" si="6"/>
        <v>0.15594815666937276</v>
      </c>
      <c r="J82" s="21">
        <f t="shared" si="6"/>
        <v>0.15594815666937276</v>
      </c>
      <c r="K82" s="21">
        <f t="shared" si="6"/>
        <v>0.15594815666937276</v>
      </c>
      <c r="L82" s="27">
        <f t="shared" ref="L82:L110" si="13">L81+1</f>
        <v>3</v>
      </c>
      <c r="M82" s="23">
        <f t="shared" si="7"/>
        <v>0.15594815666937276</v>
      </c>
      <c r="N82" s="23">
        <f t="shared" si="7"/>
        <v>0.15594815666937276</v>
      </c>
      <c r="O82" s="23">
        <f t="shared" si="7"/>
        <v>0.15594815666937276</v>
      </c>
      <c r="P82" s="23">
        <f t="shared" si="7"/>
        <v>0.15594815666937276</v>
      </c>
      <c r="Q82" s="171">
        <f t="shared" si="10"/>
        <v>0</v>
      </c>
      <c r="R82" s="171">
        <f t="shared" si="11"/>
        <v>0</v>
      </c>
      <c r="S82" s="171">
        <f t="shared" si="11"/>
        <v>0.15594815666937276</v>
      </c>
      <c r="T82" s="171">
        <f t="shared" si="12"/>
        <v>0</v>
      </c>
      <c r="U82">
        <f t="shared" ref="U82:U110" si="14">C81/100*1/SQRT(W$70/2500)</f>
        <v>11.3</v>
      </c>
      <c r="V82">
        <f t="shared" ref="V82:V110" si="15">IF(F81&lt;U82,1,IF(F81=U82,0.5,0))</f>
        <v>1</v>
      </c>
      <c r="W82" s="249">
        <f t="shared" ref="W82:W110" si="16">C81/100*1/SQRT(X$70/2500)</f>
        <v>7.9903066274079872</v>
      </c>
      <c r="X82">
        <f t="shared" ref="X82:X110" si="17">IF($F81&lt;W82,1,IF($F81=W82,0.5,0))</f>
        <v>1</v>
      </c>
      <c r="Y82" s="249">
        <f t="shared" ref="Y82:Y110" si="18">$C81/100*1/SQRT(Y$70/2500)</f>
        <v>5.65</v>
      </c>
      <c r="Z82">
        <f t="shared" ref="Z82:Z110" si="19">IF($F81&lt;Y82,1,IF($F81=Y82,0.5,0))</f>
        <v>0</v>
      </c>
      <c r="AA82" s="83">
        <f t="shared" ref="AA82:AA110" si="20">$C81/100*1/SQRT(Z$70/2500)</f>
        <v>22.6</v>
      </c>
      <c r="AB82">
        <f t="shared" ref="AB82:AB110" si="21">IF($F81&lt;AA82,1,IF($F81=AA82,0.5,0))</f>
        <v>1</v>
      </c>
      <c r="AC82" s="83">
        <f t="shared" ref="AC82:AC110" si="22">$C81/100*1/SQRT(AA$70/2500)</f>
        <v>15.980613254815974</v>
      </c>
      <c r="AD82">
        <f t="shared" ref="AD82:AD110" si="23">IF($F81&lt;AC82,1,IF($F81=AC82,0.5,0))</f>
        <v>1</v>
      </c>
    </row>
    <row r="83" spans="1:30" x14ac:dyDescent="0.3">
      <c r="A83" s="11">
        <v>28</v>
      </c>
      <c r="B83" s="11" t="s">
        <v>8</v>
      </c>
      <c r="C83" s="11">
        <v>13.69</v>
      </c>
      <c r="D83" s="11">
        <v>4</v>
      </c>
      <c r="E83" s="11">
        <v>-13.8</v>
      </c>
      <c r="F83" s="15">
        <f t="shared" si="5"/>
        <v>14.368020044529448</v>
      </c>
      <c r="G83" s="20">
        <f t="shared" si="8"/>
        <v>1.4719626073111251E-2</v>
      </c>
      <c r="H83" s="21">
        <f t="shared" si="9"/>
        <v>0</v>
      </c>
      <c r="I83" s="21">
        <f t="shared" si="6"/>
        <v>1.4719626073111251E-2</v>
      </c>
      <c r="J83" s="21">
        <f t="shared" si="6"/>
        <v>1.4719626073111251E-2</v>
      </c>
      <c r="K83" s="21">
        <f t="shared" si="6"/>
        <v>1.4719626073111251E-2</v>
      </c>
      <c r="L83" s="27">
        <f t="shared" si="13"/>
        <v>4</v>
      </c>
      <c r="M83" s="23">
        <f t="shared" si="7"/>
        <v>1.4719626073111251E-2</v>
      </c>
      <c r="N83" s="23">
        <f t="shared" si="7"/>
        <v>1.4719626073111251E-2</v>
      </c>
      <c r="O83" s="23">
        <f t="shared" si="7"/>
        <v>1.4719626073111251E-2</v>
      </c>
      <c r="P83" s="23">
        <f t="shared" si="7"/>
        <v>1.4719626073111251E-2</v>
      </c>
      <c r="Q83" s="23">
        <f t="shared" si="10"/>
        <v>0</v>
      </c>
      <c r="R83" s="23">
        <f t="shared" si="11"/>
        <v>0</v>
      </c>
      <c r="S83" s="23">
        <f t="shared" si="11"/>
        <v>0</v>
      </c>
      <c r="T83" s="23">
        <f t="shared" si="12"/>
        <v>0</v>
      </c>
      <c r="U83">
        <f t="shared" si="14"/>
        <v>22.279999999999998</v>
      </c>
      <c r="V83">
        <f t="shared" si="15"/>
        <v>1</v>
      </c>
      <c r="W83" s="249">
        <f t="shared" si="16"/>
        <v>15.754339084836278</v>
      </c>
      <c r="X83">
        <f t="shared" si="17"/>
        <v>1</v>
      </c>
      <c r="Y83" s="249">
        <f t="shared" si="18"/>
        <v>11.139999999999999</v>
      </c>
      <c r="Z83">
        <f t="shared" si="19"/>
        <v>1</v>
      </c>
      <c r="AA83" s="83">
        <f t="shared" si="20"/>
        <v>44.559999999999995</v>
      </c>
      <c r="AB83">
        <f t="shared" si="21"/>
        <v>1</v>
      </c>
      <c r="AC83" s="83">
        <f t="shared" si="22"/>
        <v>31.508678169672557</v>
      </c>
      <c r="AD83">
        <f t="shared" si="23"/>
        <v>1</v>
      </c>
    </row>
    <row r="84" spans="1:30" x14ac:dyDescent="0.3">
      <c r="A84" s="11">
        <v>24</v>
      </c>
      <c r="B84" s="11" t="s">
        <v>8</v>
      </c>
      <c r="C84" s="11">
        <v>25.46</v>
      </c>
      <c r="D84" s="11">
        <v>5.7</v>
      </c>
      <c r="E84" s="11">
        <v>13.4</v>
      </c>
      <c r="F84" s="16">
        <f t="shared" si="5"/>
        <v>14.56193668438371</v>
      </c>
      <c r="G84" s="20">
        <f t="shared" si="8"/>
        <v>5.0910420013292143E-2</v>
      </c>
      <c r="H84" s="21">
        <f t="shared" si="9"/>
        <v>0</v>
      </c>
      <c r="I84" s="21">
        <f t="shared" si="6"/>
        <v>5.0910420013292143E-2</v>
      </c>
      <c r="J84" s="21">
        <f t="shared" si="6"/>
        <v>5.0910420013292143E-2</v>
      </c>
      <c r="K84" s="21">
        <f t="shared" si="6"/>
        <v>5.0910420013292143E-2</v>
      </c>
      <c r="L84" s="28">
        <f t="shared" si="13"/>
        <v>5</v>
      </c>
      <c r="M84" s="23">
        <f t="shared" si="7"/>
        <v>5.0910420013292143E-2</v>
      </c>
      <c r="N84" s="23">
        <f t="shared" si="7"/>
        <v>5.0910420013292143E-2</v>
      </c>
      <c r="O84" s="23">
        <f t="shared" si="7"/>
        <v>5.0910420013292143E-2</v>
      </c>
      <c r="P84" s="23">
        <f t="shared" si="7"/>
        <v>5.0910420013292143E-2</v>
      </c>
      <c r="Q84" s="171">
        <f t="shared" si="10"/>
        <v>0</v>
      </c>
      <c r="R84" s="171">
        <f t="shared" si="11"/>
        <v>5.0910420013292143E-2</v>
      </c>
      <c r="S84" s="171">
        <f t="shared" si="11"/>
        <v>0</v>
      </c>
      <c r="T84" s="171">
        <f t="shared" si="12"/>
        <v>0</v>
      </c>
      <c r="U84">
        <f t="shared" si="14"/>
        <v>6.8449999999999998</v>
      </c>
      <c r="V84">
        <f t="shared" si="15"/>
        <v>0</v>
      </c>
      <c r="W84" s="249">
        <f t="shared" si="16"/>
        <v>4.8401459172219177</v>
      </c>
      <c r="X84">
        <f t="shared" si="17"/>
        <v>0</v>
      </c>
      <c r="Y84" s="249">
        <f t="shared" si="18"/>
        <v>3.4224999999999999</v>
      </c>
      <c r="Z84">
        <f t="shared" si="19"/>
        <v>0</v>
      </c>
      <c r="AA84" s="83">
        <f t="shared" si="20"/>
        <v>13.69</v>
      </c>
      <c r="AB84">
        <f t="shared" si="21"/>
        <v>0</v>
      </c>
      <c r="AC84" s="83">
        <f t="shared" si="22"/>
        <v>9.6802918344438353</v>
      </c>
      <c r="AD84">
        <f t="shared" si="23"/>
        <v>0</v>
      </c>
    </row>
    <row r="85" spans="1:30" x14ac:dyDescent="0.3">
      <c r="A85" s="11">
        <v>3</v>
      </c>
      <c r="B85" s="11" t="s">
        <v>7</v>
      </c>
      <c r="C85" s="11">
        <v>34.06</v>
      </c>
      <c r="D85" s="11">
        <v>-13.9</v>
      </c>
      <c r="E85" s="11">
        <v>7.1</v>
      </c>
      <c r="F85" s="15">
        <f t="shared" si="5"/>
        <v>15.608331108738051</v>
      </c>
      <c r="G85" s="20">
        <f t="shared" si="8"/>
        <v>9.1112752882750017E-2</v>
      </c>
      <c r="H85" s="21">
        <f t="shared" si="9"/>
        <v>0</v>
      </c>
      <c r="I85" s="21">
        <f t="shared" si="6"/>
        <v>9.1112752882750017E-2</v>
      </c>
      <c r="J85" s="21">
        <f t="shared" si="6"/>
        <v>9.1112752882750017E-2</v>
      </c>
      <c r="K85" s="21">
        <f t="shared" si="6"/>
        <v>9.1112752882750017E-2</v>
      </c>
      <c r="L85" s="27">
        <f t="shared" si="13"/>
        <v>6</v>
      </c>
      <c r="M85" s="23">
        <f t="shared" si="7"/>
        <v>0</v>
      </c>
      <c r="N85" s="23">
        <f t="shared" si="7"/>
        <v>9.1112752882750017E-2</v>
      </c>
      <c r="O85" s="23">
        <f t="shared" si="7"/>
        <v>9.1112752882750017E-2</v>
      </c>
      <c r="P85" s="23">
        <f t="shared" si="7"/>
        <v>9.1112752882750017E-2</v>
      </c>
      <c r="Q85" s="171">
        <f t="shared" si="10"/>
        <v>0</v>
      </c>
      <c r="R85" s="171">
        <f t="shared" si="11"/>
        <v>0</v>
      </c>
      <c r="S85" s="171">
        <f t="shared" si="11"/>
        <v>9.1112752882750017E-2</v>
      </c>
      <c r="T85" s="171">
        <f t="shared" si="12"/>
        <v>0</v>
      </c>
      <c r="U85">
        <f t="shared" si="14"/>
        <v>12.729999999999999</v>
      </c>
      <c r="V85">
        <f t="shared" si="15"/>
        <v>0</v>
      </c>
      <c r="W85" s="249">
        <f t="shared" si="16"/>
        <v>9.0014693245047503</v>
      </c>
      <c r="X85">
        <f t="shared" si="17"/>
        <v>0</v>
      </c>
      <c r="Y85" s="249">
        <f t="shared" si="18"/>
        <v>6.3649999999999993</v>
      </c>
      <c r="Z85">
        <f t="shared" si="19"/>
        <v>0</v>
      </c>
      <c r="AA85" s="83">
        <f t="shared" si="20"/>
        <v>25.459999999999997</v>
      </c>
      <c r="AB85">
        <f t="shared" si="21"/>
        <v>1</v>
      </c>
      <c r="AC85" s="83">
        <f t="shared" si="22"/>
        <v>18.002938649009501</v>
      </c>
      <c r="AD85">
        <f t="shared" si="23"/>
        <v>1</v>
      </c>
    </row>
    <row r="86" spans="1:30" x14ac:dyDescent="0.3">
      <c r="A86" s="11">
        <v>30</v>
      </c>
      <c r="B86" s="11" t="s">
        <v>8</v>
      </c>
      <c r="C86" s="11">
        <v>18.46</v>
      </c>
      <c r="D86" s="11">
        <v>-9.8000000000000007</v>
      </c>
      <c r="E86" s="11">
        <v>15.7</v>
      </c>
      <c r="F86" s="15">
        <f t="shared" si="5"/>
        <v>18.507566020414462</v>
      </c>
      <c r="G86" s="20">
        <f t="shared" si="8"/>
        <v>2.6764138877800991E-2</v>
      </c>
      <c r="H86" s="21">
        <f t="shared" si="9"/>
        <v>0</v>
      </c>
      <c r="I86" s="21">
        <f t="shared" si="6"/>
        <v>2.6764138877800991E-2</v>
      </c>
      <c r="J86" s="21">
        <f t="shared" si="6"/>
        <v>2.6764138877800991E-2</v>
      </c>
      <c r="K86" s="21">
        <f t="shared" si="6"/>
        <v>2.6764138877800991E-2</v>
      </c>
      <c r="L86" s="27">
        <f t="shared" si="13"/>
        <v>7</v>
      </c>
      <c r="M86" s="23">
        <f t="shared" si="7"/>
        <v>0</v>
      </c>
      <c r="N86" s="23">
        <f t="shared" si="7"/>
        <v>2.6764138877800991E-2</v>
      </c>
      <c r="O86" s="23">
        <f t="shared" si="7"/>
        <v>2.6764138877800991E-2</v>
      </c>
      <c r="P86" s="23">
        <f t="shared" si="7"/>
        <v>2.6764138877800991E-2</v>
      </c>
      <c r="Q86" s="23">
        <f t="shared" si="10"/>
        <v>0</v>
      </c>
      <c r="R86" s="23">
        <f t="shared" si="11"/>
        <v>0</v>
      </c>
      <c r="S86" s="23">
        <f t="shared" si="11"/>
        <v>0</v>
      </c>
      <c r="T86" s="23">
        <f t="shared" si="12"/>
        <v>0</v>
      </c>
      <c r="U86">
        <f t="shared" si="14"/>
        <v>17.03</v>
      </c>
      <c r="V86">
        <f t="shared" si="15"/>
        <v>1</v>
      </c>
      <c r="W86" s="249">
        <f t="shared" si="16"/>
        <v>12.042028483606904</v>
      </c>
      <c r="X86">
        <f t="shared" si="17"/>
        <v>0</v>
      </c>
      <c r="Y86" s="249">
        <f t="shared" si="18"/>
        <v>8.5150000000000006</v>
      </c>
      <c r="Z86">
        <f t="shared" si="19"/>
        <v>0</v>
      </c>
      <c r="AA86" s="83">
        <f t="shared" si="20"/>
        <v>34.06</v>
      </c>
      <c r="AB86">
        <f t="shared" si="21"/>
        <v>1</v>
      </c>
      <c r="AC86" s="83">
        <f t="shared" si="22"/>
        <v>24.084056967213808</v>
      </c>
      <c r="AD86">
        <f t="shared" si="23"/>
        <v>1</v>
      </c>
    </row>
    <row r="87" spans="1:30" x14ac:dyDescent="0.3">
      <c r="A87" s="11">
        <v>8</v>
      </c>
      <c r="B87" s="11" t="s">
        <v>7</v>
      </c>
      <c r="C87" s="11">
        <v>60.8</v>
      </c>
      <c r="D87" s="11">
        <v>18.5</v>
      </c>
      <c r="E87" s="11">
        <v>-6</v>
      </c>
      <c r="F87" s="15">
        <f t="shared" si="5"/>
        <v>19.448650338776723</v>
      </c>
      <c r="G87" s="20">
        <f t="shared" si="8"/>
        <v>0.29033342667415429</v>
      </c>
      <c r="H87" s="21">
        <f t="shared" si="9"/>
        <v>0</v>
      </c>
      <c r="I87" s="21">
        <f t="shared" si="6"/>
        <v>0.29033342667415429</v>
      </c>
      <c r="J87" s="21">
        <f t="shared" si="6"/>
        <v>0.29033342667415429</v>
      </c>
      <c r="K87" s="21">
        <f t="shared" si="6"/>
        <v>0.29033342667415429</v>
      </c>
      <c r="L87" s="27">
        <f t="shared" si="13"/>
        <v>8</v>
      </c>
      <c r="M87" s="23">
        <f t="shared" si="7"/>
        <v>0</v>
      </c>
      <c r="N87" s="23">
        <f t="shared" si="7"/>
        <v>0.29033342667415429</v>
      </c>
      <c r="O87" s="23">
        <f t="shared" si="7"/>
        <v>0.29033342667415429</v>
      </c>
      <c r="P87" s="23">
        <f t="shared" si="7"/>
        <v>0.29033342667415429</v>
      </c>
      <c r="Q87" s="171">
        <f t="shared" si="10"/>
        <v>0</v>
      </c>
      <c r="R87" s="171">
        <f t="shared" si="11"/>
        <v>0</v>
      </c>
      <c r="S87" s="171">
        <f t="shared" si="11"/>
        <v>0</v>
      </c>
      <c r="T87" s="171">
        <f t="shared" si="12"/>
        <v>0.29033342667415429</v>
      </c>
      <c r="U87">
        <f t="shared" si="14"/>
        <v>9.23</v>
      </c>
      <c r="V87">
        <f t="shared" si="15"/>
        <v>0</v>
      </c>
      <c r="W87" s="249">
        <f t="shared" si="16"/>
        <v>6.5265955903518345</v>
      </c>
      <c r="X87">
        <f t="shared" si="17"/>
        <v>0</v>
      </c>
      <c r="Y87" s="249">
        <f t="shared" si="18"/>
        <v>4.6150000000000002</v>
      </c>
      <c r="Z87">
        <f t="shared" si="19"/>
        <v>0</v>
      </c>
      <c r="AA87" s="83">
        <f t="shared" si="20"/>
        <v>18.46</v>
      </c>
      <c r="AB87">
        <f t="shared" si="21"/>
        <v>0</v>
      </c>
      <c r="AC87" s="83">
        <f t="shared" si="22"/>
        <v>13.053191180703669</v>
      </c>
      <c r="AD87">
        <f t="shared" si="23"/>
        <v>0</v>
      </c>
    </row>
    <row r="88" spans="1:30" x14ac:dyDescent="0.3">
      <c r="A88" s="11">
        <v>6</v>
      </c>
      <c r="B88" s="11" t="s">
        <v>7</v>
      </c>
      <c r="C88" s="11">
        <v>44.88</v>
      </c>
      <c r="D88" s="11">
        <v>-2.4</v>
      </c>
      <c r="E88" s="11">
        <v>-19.399999999999999</v>
      </c>
      <c r="F88" s="15">
        <f t="shared" si="5"/>
        <v>19.547889911701468</v>
      </c>
      <c r="G88" s="20">
        <f t="shared" si="8"/>
        <v>0.15819602904486935</v>
      </c>
      <c r="H88" s="21">
        <f t="shared" si="9"/>
        <v>0</v>
      </c>
      <c r="I88" s="21">
        <f t="shared" si="6"/>
        <v>0.15819602904486935</v>
      </c>
      <c r="J88" s="21">
        <f t="shared" si="6"/>
        <v>0.15819602904486935</v>
      </c>
      <c r="K88" s="21">
        <f t="shared" si="6"/>
        <v>0.15819602904486935</v>
      </c>
      <c r="L88" s="27">
        <f t="shared" si="13"/>
        <v>9</v>
      </c>
      <c r="M88" s="23">
        <f t="shared" si="7"/>
        <v>0</v>
      </c>
      <c r="N88" s="23">
        <f t="shared" si="7"/>
        <v>0.15819602904486935</v>
      </c>
      <c r="O88" s="23">
        <f t="shared" si="7"/>
        <v>0.15819602904486935</v>
      </c>
      <c r="P88" s="23">
        <f t="shared" si="7"/>
        <v>0.15819602904486935</v>
      </c>
      <c r="Q88" s="171">
        <f t="shared" si="10"/>
        <v>0</v>
      </c>
      <c r="R88" s="171">
        <f t="shared" si="11"/>
        <v>0</v>
      </c>
      <c r="S88" s="171">
        <f t="shared" si="11"/>
        <v>0.15819602904486935</v>
      </c>
      <c r="T88" s="171">
        <f t="shared" si="12"/>
        <v>0</v>
      </c>
      <c r="U88">
        <f t="shared" si="14"/>
        <v>30.4</v>
      </c>
      <c r="V88">
        <f t="shared" si="15"/>
        <v>1</v>
      </c>
      <c r="W88" s="249">
        <f t="shared" si="16"/>
        <v>21.496046148071045</v>
      </c>
      <c r="X88">
        <f t="shared" si="17"/>
        <v>1</v>
      </c>
      <c r="Y88" s="249">
        <f t="shared" si="18"/>
        <v>15.2</v>
      </c>
      <c r="Z88">
        <f t="shared" si="19"/>
        <v>0</v>
      </c>
      <c r="AA88" s="83">
        <f t="shared" si="20"/>
        <v>60.8</v>
      </c>
      <c r="AB88">
        <f t="shared" si="21"/>
        <v>1</v>
      </c>
      <c r="AC88" s="83">
        <f t="shared" si="22"/>
        <v>42.99209229614209</v>
      </c>
      <c r="AD88">
        <f t="shared" si="23"/>
        <v>1</v>
      </c>
    </row>
    <row r="89" spans="1:30" x14ac:dyDescent="0.3">
      <c r="A89" s="11">
        <v>2</v>
      </c>
      <c r="B89" s="11" t="s">
        <v>7</v>
      </c>
      <c r="C89" s="11">
        <v>42.02</v>
      </c>
      <c r="D89" s="11">
        <v>-1.1000000000000001</v>
      </c>
      <c r="E89" s="11">
        <v>20.5</v>
      </c>
      <c r="F89" s="24">
        <f t="shared" si="5"/>
        <v>20.529490982486632</v>
      </c>
      <c r="G89" s="20">
        <f t="shared" si="8"/>
        <v>0.13867621433068719</v>
      </c>
      <c r="H89" s="21">
        <f t="shared" si="9"/>
        <v>0</v>
      </c>
      <c r="I89" s="21">
        <f t="shared" si="6"/>
        <v>0</v>
      </c>
      <c r="J89" s="21">
        <f t="shared" si="6"/>
        <v>0.13867621433068719</v>
      </c>
      <c r="K89" s="21">
        <f t="shared" si="6"/>
        <v>0.13867621433068719</v>
      </c>
      <c r="L89" s="29">
        <f t="shared" si="13"/>
        <v>10</v>
      </c>
      <c r="M89" s="23">
        <f t="shared" si="7"/>
        <v>0</v>
      </c>
      <c r="N89" s="23">
        <f t="shared" si="7"/>
        <v>0.13867621433068719</v>
      </c>
      <c r="O89" s="23">
        <f t="shared" si="7"/>
        <v>0.13867621433068719</v>
      </c>
      <c r="P89" s="23">
        <f t="shared" si="7"/>
        <v>0.13867621433068719</v>
      </c>
      <c r="Q89" s="171">
        <f t="shared" si="10"/>
        <v>0</v>
      </c>
      <c r="R89" s="171">
        <f t="shared" si="11"/>
        <v>0</v>
      </c>
      <c r="S89" s="171">
        <f t="shared" si="11"/>
        <v>0.13867621433068719</v>
      </c>
      <c r="T89" s="171">
        <f t="shared" si="12"/>
        <v>0</v>
      </c>
      <c r="U89">
        <f t="shared" si="14"/>
        <v>22.44</v>
      </c>
      <c r="V89">
        <f t="shared" si="15"/>
        <v>1</v>
      </c>
      <c r="W89" s="249">
        <f t="shared" si="16"/>
        <v>15.867476169826128</v>
      </c>
      <c r="X89">
        <f t="shared" si="17"/>
        <v>0</v>
      </c>
      <c r="Y89" s="249">
        <f t="shared" si="18"/>
        <v>11.22</v>
      </c>
      <c r="Z89">
        <f t="shared" si="19"/>
        <v>0</v>
      </c>
      <c r="AA89" s="83">
        <f t="shared" si="20"/>
        <v>44.88</v>
      </c>
      <c r="AB89">
        <f t="shared" si="21"/>
        <v>1</v>
      </c>
      <c r="AC89" s="83">
        <f t="shared" si="22"/>
        <v>31.734952339652256</v>
      </c>
      <c r="AD89">
        <f t="shared" si="23"/>
        <v>1</v>
      </c>
    </row>
    <row r="90" spans="1:30" x14ac:dyDescent="0.3">
      <c r="A90" s="11">
        <v>7</v>
      </c>
      <c r="B90" s="11" t="s">
        <v>7</v>
      </c>
      <c r="C90" s="11">
        <v>31.19</v>
      </c>
      <c r="D90" s="11">
        <v>6.3</v>
      </c>
      <c r="E90" s="11">
        <v>-21.9</v>
      </c>
      <c r="F90" s="15">
        <f t="shared" si="5"/>
        <v>22.78815481779953</v>
      </c>
      <c r="G90" s="20">
        <f t="shared" si="8"/>
        <v>7.6404797826346849E-2</v>
      </c>
      <c r="H90" s="21">
        <f t="shared" si="9"/>
        <v>0</v>
      </c>
      <c r="I90" s="21">
        <f t="shared" si="6"/>
        <v>0</v>
      </c>
      <c r="J90" s="21">
        <f t="shared" si="6"/>
        <v>7.6404797826346849E-2</v>
      </c>
      <c r="K90" s="21">
        <f t="shared" si="6"/>
        <v>7.6404797826346849E-2</v>
      </c>
      <c r="L90" s="27">
        <f t="shared" si="13"/>
        <v>11</v>
      </c>
      <c r="M90" s="23">
        <f t="shared" si="7"/>
        <v>0</v>
      </c>
      <c r="N90" s="23">
        <f t="shared" si="7"/>
        <v>0</v>
      </c>
      <c r="O90" s="23">
        <f t="shared" si="7"/>
        <v>7.6404797826346849E-2</v>
      </c>
      <c r="P90" s="23">
        <f t="shared" si="7"/>
        <v>7.6404797826346849E-2</v>
      </c>
      <c r="Q90" s="23">
        <f t="shared" si="10"/>
        <v>0</v>
      </c>
      <c r="R90" s="23">
        <f t="shared" si="11"/>
        <v>0</v>
      </c>
      <c r="S90" s="23">
        <f t="shared" si="11"/>
        <v>0</v>
      </c>
      <c r="T90" s="23">
        <f t="shared" si="12"/>
        <v>0</v>
      </c>
      <c r="U90">
        <f t="shared" si="14"/>
        <v>21.01</v>
      </c>
      <c r="V90">
        <f t="shared" si="15"/>
        <v>1</v>
      </c>
      <c r="W90" s="249">
        <f t="shared" si="16"/>
        <v>14.856313472729363</v>
      </c>
      <c r="X90">
        <f t="shared" si="17"/>
        <v>0</v>
      </c>
      <c r="Y90" s="249">
        <f t="shared" si="18"/>
        <v>10.505000000000001</v>
      </c>
      <c r="Z90">
        <f t="shared" si="19"/>
        <v>0</v>
      </c>
      <c r="AA90" s="83">
        <f t="shared" si="20"/>
        <v>42.02</v>
      </c>
      <c r="AB90">
        <f t="shared" si="21"/>
        <v>1</v>
      </c>
      <c r="AC90" s="83">
        <f t="shared" si="22"/>
        <v>29.712626945458727</v>
      </c>
      <c r="AD90">
        <f t="shared" si="23"/>
        <v>1</v>
      </c>
    </row>
    <row r="91" spans="1:30" x14ac:dyDescent="0.3">
      <c r="A91" s="11">
        <v>9</v>
      </c>
      <c r="B91" s="11" t="s">
        <v>7</v>
      </c>
      <c r="C91" s="11">
        <v>27.69</v>
      </c>
      <c r="D91" s="11">
        <v>-16.3</v>
      </c>
      <c r="E91" s="11">
        <v>-16.3</v>
      </c>
      <c r="F91" s="15">
        <f t="shared" si="5"/>
        <v>23.05168106668145</v>
      </c>
      <c r="G91" s="20">
        <f t="shared" si="8"/>
        <v>6.0219312475052231E-2</v>
      </c>
      <c r="H91" s="21">
        <f t="shared" si="9"/>
        <v>0</v>
      </c>
      <c r="I91" s="21">
        <f t="shared" si="6"/>
        <v>0</v>
      </c>
      <c r="J91" s="21">
        <f t="shared" si="6"/>
        <v>6.0219312475052231E-2</v>
      </c>
      <c r="K91" s="21">
        <f t="shared" si="6"/>
        <v>6.0219312475052231E-2</v>
      </c>
      <c r="L91" s="27">
        <f t="shared" si="13"/>
        <v>12</v>
      </c>
      <c r="M91" s="23">
        <f t="shared" si="7"/>
        <v>0</v>
      </c>
      <c r="N91" s="23">
        <f t="shared" si="7"/>
        <v>0</v>
      </c>
      <c r="O91" s="23">
        <f t="shared" si="7"/>
        <v>6.0219312475052231E-2</v>
      </c>
      <c r="P91" s="23">
        <f t="shared" si="7"/>
        <v>6.0219312475052231E-2</v>
      </c>
      <c r="Q91" s="23">
        <f t="shared" si="10"/>
        <v>0</v>
      </c>
      <c r="R91" s="23">
        <f t="shared" si="11"/>
        <v>0</v>
      </c>
      <c r="S91" s="23">
        <f t="shared" si="11"/>
        <v>0</v>
      </c>
      <c r="T91" s="23">
        <f t="shared" si="12"/>
        <v>0</v>
      </c>
      <c r="U91">
        <f t="shared" si="14"/>
        <v>15.595000000000001</v>
      </c>
      <c r="V91">
        <f t="shared" si="15"/>
        <v>0</v>
      </c>
      <c r="W91" s="249">
        <f t="shared" si="16"/>
        <v>11.027330252604209</v>
      </c>
      <c r="X91">
        <f t="shared" si="17"/>
        <v>0</v>
      </c>
      <c r="Y91" s="249">
        <f t="shared" si="18"/>
        <v>7.7975000000000003</v>
      </c>
      <c r="Z91">
        <f t="shared" si="19"/>
        <v>0</v>
      </c>
      <c r="AA91" s="83">
        <f t="shared" si="20"/>
        <v>31.19</v>
      </c>
      <c r="AB91">
        <f t="shared" si="21"/>
        <v>1</v>
      </c>
      <c r="AC91" s="83">
        <f t="shared" si="22"/>
        <v>22.054660505208417</v>
      </c>
      <c r="AD91">
        <f t="shared" si="23"/>
        <v>0</v>
      </c>
    </row>
    <row r="92" spans="1:30" x14ac:dyDescent="0.3">
      <c r="A92" s="11">
        <v>21</v>
      </c>
      <c r="B92" s="11" t="s">
        <v>7</v>
      </c>
      <c r="C92" s="11">
        <v>22.28</v>
      </c>
      <c r="D92" s="11">
        <v>19.399999999999999</v>
      </c>
      <c r="E92" s="11">
        <v>-19.399999999999999</v>
      </c>
      <c r="F92" s="15">
        <f t="shared" si="5"/>
        <v>27.435743110038043</v>
      </c>
      <c r="G92" s="20">
        <f t="shared" si="8"/>
        <v>3.8987039167343189E-2</v>
      </c>
      <c r="H92" s="21">
        <f t="shared" si="9"/>
        <v>0</v>
      </c>
      <c r="I92" s="21">
        <f t="shared" si="6"/>
        <v>0</v>
      </c>
      <c r="J92" s="21">
        <f t="shared" si="6"/>
        <v>3.8987039167343189E-2</v>
      </c>
      <c r="K92" s="21">
        <f t="shared" si="6"/>
        <v>3.8987039167343189E-2</v>
      </c>
      <c r="L92" s="27">
        <f t="shared" si="13"/>
        <v>13</v>
      </c>
      <c r="M92" s="23">
        <f t="shared" si="7"/>
        <v>0</v>
      </c>
      <c r="N92" s="23">
        <f t="shared" si="7"/>
        <v>0</v>
      </c>
      <c r="O92" s="23">
        <f t="shared" si="7"/>
        <v>3.8987039167343189E-2</v>
      </c>
      <c r="P92" s="23">
        <f t="shared" si="7"/>
        <v>3.8987039167343189E-2</v>
      </c>
      <c r="Q92" s="23">
        <f t="shared" si="10"/>
        <v>0</v>
      </c>
      <c r="R92" s="23">
        <f t="shared" si="11"/>
        <v>0</v>
      </c>
      <c r="S92" s="23">
        <f t="shared" si="11"/>
        <v>0</v>
      </c>
      <c r="T92" s="23">
        <f t="shared" si="12"/>
        <v>0</v>
      </c>
      <c r="U92">
        <f t="shared" si="14"/>
        <v>13.845000000000001</v>
      </c>
      <c r="V92">
        <f t="shared" si="15"/>
        <v>0</v>
      </c>
      <c r="W92" s="249">
        <f t="shared" si="16"/>
        <v>9.7898933855277512</v>
      </c>
      <c r="X92">
        <f t="shared" si="17"/>
        <v>0</v>
      </c>
      <c r="Y92" s="249">
        <f t="shared" si="18"/>
        <v>6.9225000000000003</v>
      </c>
      <c r="Z92">
        <f t="shared" si="19"/>
        <v>0</v>
      </c>
      <c r="AA92" s="83">
        <f t="shared" si="20"/>
        <v>27.69</v>
      </c>
      <c r="AB92">
        <f t="shared" si="21"/>
        <v>1</v>
      </c>
      <c r="AC92" s="83">
        <f t="shared" si="22"/>
        <v>19.579786771055502</v>
      </c>
      <c r="AD92">
        <f t="shared" si="23"/>
        <v>0</v>
      </c>
    </row>
    <row r="93" spans="1:30" x14ac:dyDescent="0.3">
      <c r="A93" s="11">
        <v>10</v>
      </c>
      <c r="B93" s="11" t="s">
        <v>7</v>
      </c>
      <c r="C93" s="11">
        <v>27.37</v>
      </c>
      <c r="D93" s="11">
        <v>-18.899999999999999</v>
      </c>
      <c r="E93" s="11">
        <v>-21</v>
      </c>
      <c r="F93" s="15">
        <f t="shared" si="5"/>
        <v>28.252610498854789</v>
      </c>
      <c r="G93" s="20">
        <f t="shared" si="8"/>
        <v>5.8835503742999E-2</v>
      </c>
      <c r="H93" s="21">
        <f t="shared" si="9"/>
        <v>0</v>
      </c>
      <c r="I93" s="21">
        <f t="shared" si="6"/>
        <v>0</v>
      </c>
      <c r="J93" s="21">
        <f t="shared" si="6"/>
        <v>5.8835503742999E-2</v>
      </c>
      <c r="K93" s="21">
        <f t="shared" si="6"/>
        <v>5.8835503742999E-2</v>
      </c>
      <c r="L93" s="27">
        <f t="shared" si="13"/>
        <v>14</v>
      </c>
      <c r="M93" s="23">
        <f t="shared" si="7"/>
        <v>0</v>
      </c>
      <c r="N93" s="23">
        <f t="shared" si="7"/>
        <v>0</v>
      </c>
      <c r="O93" s="23">
        <f t="shared" si="7"/>
        <v>5.8835503742999E-2</v>
      </c>
      <c r="P93" s="23">
        <f t="shared" si="7"/>
        <v>5.8835503742999E-2</v>
      </c>
      <c r="Q93" s="23">
        <f t="shared" si="10"/>
        <v>0</v>
      </c>
      <c r="R93" s="23">
        <f t="shared" si="11"/>
        <v>0</v>
      </c>
      <c r="S93" s="23">
        <f t="shared" si="11"/>
        <v>0</v>
      </c>
      <c r="T93" s="23">
        <f t="shared" si="12"/>
        <v>0</v>
      </c>
      <c r="U93">
        <f t="shared" si="14"/>
        <v>11.139999999999999</v>
      </c>
      <c r="V93">
        <f t="shared" si="15"/>
        <v>0</v>
      </c>
      <c r="W93" s="249">
        <f t="shared" si="16"/>
        <v>7.8771695424181392</v>
      </c>
      <c r="X93">
        <f t="shared" si="17"/>
        <v>0</v>
      </c>
      <c r="Y93" s="249">
        <f t="shared" si="18"/>
        <v>5.5699999999999994</v>
      </c>
      <c r="Z93">
        <f t="shared" si="19"/>
        <v>0</v>
      </c>
      <c r="AA93" s="83">
        <f t="shared" si="20"/>
        <v>22.279999999999998</v>
      </c>
      <c r="AB93">
        <f t="shared" si="21"/>
        <v>0</v>
      </c>
      <c r="AC93" s="83">
        <f t="shared" si="22"/>
        <v>15.754339084836278</v>
      </c>
      <c r="AD93">
        <f t="shared" si="23"/>
        <v>0</v>
      </c>
    </row>
    <row r="94" spans="1:30" x14ac:dyDescent="0.3">
      <c r="A94" s="11">
        <v>1</v>
      </c>
      <c r="B94" s="11" t="s">
        <v>7</v>
      </c>
      <c r="C94" s="11">
        <v>25.46</v>
      </c>
      <c r="D94" s="11">
        <v>2.5</v>
      </c>
      <c r="E94" s="11">
        <v>28.2</v>
      </c>
      <c r="F94" s="25">
        <f t="shared" si="5"/>
        <v>28.310598722033415</v>
      </c>
      <c r="G94" s="20">
        <f t="shared" si="8"/>
        <v>5.0910420013292143E-2</v>
      </c>
      <c r="H94" s="21">
        <f t="shared" si="9"/>
        <v>0</v>
      </c>
      <c r="I94" s="21">
        <f t="shared" si="6"/>
        <v>0</v>
      </c>
      <c r="J94" s="21">
        <f t="shared" si="6"/>
        <v>5.0910420013292143E-2</v>
      </c>
      <c r="K94" s="21">
        <f t="shared" si="6"/>
        <v>5.0910420013292143E-2</v>
      </c>
      <c r="L94" s="30">
        <f t="shared" si="13"/>
        <v>15</v>
      </c>
      <c r="M94" s="23">
        <f t="shared" si="7"/>
        <v>0</v>
      </c>
      <c r="N94" s="23">
        <f t="shared" si="7"/>
        <v>0</v>
      </c>
      <c r="O94" s="23">
        <f t="shared" si="7"/>
        <v>5.0910420013292143E-2</v>
      </c>
      <c r="P94" s="23">
        <f t="shared" si="7"/>
        <v>5.0910420013292143E-2</v>
      </c>
      <c r="Q94" s="23">
        <f t="shared" si="10"/>
        <v>0</v>
      </c>
      <c r="R94" s="23">
        <f t="shared" si="11"/>
        <v>0</v>
      </c>
      <c r="S94" s="23">
        <f t="shared" si="11"/>
        <v>0</v>
      </c>
      <c r="T94" s="23">
        <f t="shared" si="12"/>
        <v>0</v>
      </c>
      <c r="U94">
        <f t="shared" si="14"/>
        <v>13.685</v>
      </c>
      <c r="V94">
        <f t="shared" si="15"/>
        <v>0</v>
      </c>
      <c r="W94" s="249">
        <f t="shared" si="16"/>
        <v>9.6767563005379031</v>
      </c>
      <c r="X94">
        <f t="shared" si="17"/>
        <v>0</v>
      </c>
      <c r="Y94" s="249">
        <f t="shared" si="18"/>
        <v>6.8425000000000002</v>
      </c>
      <c r="Z94">
        <f t="shared" si="19"/>
        <v>0</v>
      </c>
      <c r="AA94" s="83">
        <f t="shared" si="20"/>
        <v>27.37</v>
      </c>
      <c r="AB94">
        <f t="shared" si="21"/>
        <v>0</v>
      </c>
      <c r="AC94" s="83">
        <f t="shared" si="22"/>
        <v>19.353512601075806</v>
      </c>
      <c r="AD94">
        <f t="shared" si="23"/>
        <v>0</v>
      </c>
    </row>
    <row r="95" spans="1:30" x14ac:dyDescent="0.3">
      <c r="A95" s="11">
        <v>25</v>
      </c>
      <c r="B95" s="11" t="s">
        <v>8</v>
      </c>
      <c r="C95" s="11">
        <v>30.24</v>
      </c>
      <c r="D95" s="11">
        <v>30.7</v>
      </c>
      <c r="E95" s="11">
        <v>-2.7</v>
      </c>
      <c r="F95" s="15">
        <f t="shared" si="5"/>
        <v>30.818500936937216</v>
      </c>
      <c r="G95" s="20">
        <f t="shared" si="8"/>
        <v>7.1821331954483841E-2</v>
      </c>
      <c r="H95" s="21">
        <f t="shared" si="9"/>
        <v>0</v>
      </c>
      <c r="I95" s="21">
        <f t="shared" si="6"/>
        <v>0</v>
      </c>
      <c r="J95" s="21">
        <f t="shared" si="6"/>
        <v>0</v>
      </c>
      <c r="K95" s="21">
        <f t="shared" si="6"/>
        <v>7.1821331954483841E-2</v>
      </c>
      <c r="L95" s="27">
        <f t="shared" si="13"/>
        <v>16</v>
      </c>
      <c r="M95" s="23">
        <f t="shared" si="7"/>
        <v>0</v>
      </c>
      <c r="N95" s="23">
        <f t="shared" si="7"/>
        <v>0</v>
      </c>
      <c r="O95" s="23">
        <f t="shared" si="7"/>
        <v>0</v>
      </c>
      <c r="P95" s="23">
        <f t="shared" si="7"/>
        <v>7.1821331954483841E-2</v>
      </c>
      <c r="Q95" s="23">
        <f t="shared" si="10"/>
        <v>0</v>
      </c>
      <c r="R95" s="23">
        <f t="shared" si="11"/>
        <v>0</v>
      </c>
      <c r="S95" s="23">
        <f t="shared" si="11"/>
        <v>0</v>
      </c>
      <c r="T95" s="23">
        <f t="shared" si="12"/>
        <v>0</v>
      </c>
      <c r="U95">
        <f t="shared" si="14"/>
        <v>12.729999999999999</v>
      </c>
      <c r="V95">
        <f t="shared" si="15"/>
        <v>0</v>
      </c>
      <c r="W95" s="249">
        <f t="shared" si="16"/>
        <v>9.0014693245047503</v>
      </c>
      <c r="X95">
        <f t="shared" si="17"/>
        <v>0</v>
      </c>
      <c r="Y95" s="249">
        <f t="shared" si="18"/>
        <v>6.3649999999999993</v>
      </c>
      <c r="Z95">
        <f t="shared" si="19"/>
        <v>0</v>
      </c>
      <c r="AA95" s="83">
        <f t="shared" si="20"/>
        <v>25.459999999999997</v>
      </c>
      <c r="AB95">
        <f t="shared" si="21"/>
        <v>0</v>
      </c>
      <c r="AC95" s="83">
        <f t="shared" si="22"/>
        <v>18.002938649009501</v>
      </c>
      <c r="AD95">
        <f t="shared" si="23"/>
        <v>0</v>
      </c>
    </row>
    <row r="96" spans="1:30" x14ac:dyDescent="0.3">
      <c r="A96" s="11">
        <v>31</v>
      </c>
      <c r="B96" s="11" t="s">
        <v>8</v>
      </c>
      <c r="C96" s="11">
        <v>21.96</v>
      </c>
      <c r="D96" s="11">
        <v>-9.8000000000000007</v>
      </c>
      <c r="E96" s="11">
        <v>30.1</v>
      </c>
      <c r="F96" s="15">
        <f t="shared" si="5"/>
        <v>31.65517335286604</v>
      </c>
      <c r="G96" s="20">
        <f t="shared" si="8"/>
        <v>3.7875166695384696E-2</v>
      </c>
      <c r="H96" s="21">
        <f t="shared" si="9"/>
        <v>0</v>
      </c>
      <c r="I96" s="21">
        <f t="shared" ref="I96:K110" si="24">IF($F96&lt;=I$71,$G96,0)</f>
        <v>0</v>
      </c>
      <c r="J96" s="21">
        <f t="shared" si="24"/>
        <v>0</v>
      </c>
      <c r="K96" s="21">
        <f t="shared" si="24"/>
        <v>3.7875166695384696E-2</v>
      </c>
      <c r="L96" s="27">
        <f t="shared" si="13"/>
        <v>17</v>
      </c>
      <c r="M96" s="23">
        <f t="shared" si="7"/>
        <v>0</v>
      </c>
      <c r="N96" s="23">
        <f t="shared" si="7"/>
        <v>0</v>
      </c>
      <c r="O96" s="23">
        <f t="shared" si="7"/>
        <v>0</v>
      </c>
      <c r="P96" s="23">
        <f t="shared" si="7"/>
        <v>3.7875166695384696E-2</v>
      </c>
      <c r="Q96" s="23">
        <f t="shared" si="10"/>
        <v>0</v>
      </c>
      <c r="R96" s="23">
        <f t="shared" si="11"/>
        <v>0</v>
      </c>
      <c r="S96" s="23">
        <f t="shared" si="11"/>
        <v>0</v>
      </c>
      <c r="T96" s="23">
        <f t="shared" si="12"/>
        <v>0</v>
      </c>
      <c r="U96">
        <f t="shared" si="14"/>
        <v>15.12</v>
      </c>
      <c r="V96">
        <f t="shared" si="15"/>
        <v>0</v>
      </c>
      <c r="W96" s="249">
        <f t="shared" si="16"/>
        <v>10.691454531540598</v>
      </c>
      <c r="X96">
        <f t="shared" si="17"/>
        <v>0</v>
      </c>
      <c r="Y96" s="249">
        <f t="shared" si="18"/>
        <v>7.56</v>
      </c>
      <c r="Z96">
        <f t="shared" si="19"/>
        <v>0</v>
      </c>
      <c r="AA96" s="83">
        <f t="shared" si="20"/>
        <v>30.24</v>
      </c>
      <c r="AB96">
        <f t="shared" si="21"/>
        <v>0</v>
      </c>
      <c r="AC96" s="83">
        <f t="shared" si="22"/>
        <v>21.382909063081197</v>
      </c>
      <c r="AD96">
        <f t="shared" si="23"/>
        <v>0</v>
      </c>
    </row>
    <row r="97" spans="1:30" x14ac:dyDescent="0.3">
      <c r="A97" s="11">
        <v>27</v>
      </c>
      <c r="B97" s="11" t="s">
        <v>8</v>
      </c>
      <c r="C97" s="11">
        <v>20.37</v>
      </c>
      <c r="D97" s="11">
        <v>10.3</v>
      </c>
      <c r="E97" s="11">
        <v>-31.6</v>
      </c>
      <c r="F97" s="15">
        <f t="shared" si="5"/>
        <v>33.236275362922363</v>
      </c>
      <c r="G97" s="20">
        <f t="shared" si="8"/>
        <v>3.258906791858307E-2</v>
      </c>
      <c r="H97" s="21">
        <f t="shared" si="9"/>
        <v>0</v>
      </c>
      <c r="I97" s="21">
        <f t="shared" si="24"/>
        <v>0</v>
      </c>
      <c r="J97" s="21">
        <f t="shared" si="24"/>
        <v>0</v>
      </c>
      <c r="K97" s="21">
        <f t="shared" si="24"/>
        <v>3.258906791858307E-2</v>
      </c>
      <c r="L97" s="27">
        <f t="shared" si="13"/>
        <v>18</v>
      </c>
      <c r="M97" s="23">
        <f t="shared" si="7"/>
        <v>0</v>
      </c>
      <c r="N97" s="23">
        <f t="shared" si="7"/>
        <v>0</v>
      </c>
      <c r="O97" s="23">
        <f t="shared" si="7"/>
        <v>0</v>
      </c>
      <c r="P97" s="23">
        <f t="shared" si="7"/>
        <v>3.258906791858307E-2</v>
      </c>
      <c r="Q97" s="23">
        <f t="shared" si="10"/>
        <v>0</v>
      </c>
      <c r="R97" s="23">
        <f t="shared" si="11"/>
        <v>0</v>
      </c>
      <c r="S97" s="23">
        <f t="shared" si="11"/>
        <v>0</v>
      </c>
      <c r="T97" s="23">
        <f t="shared" si="12"/>
        <v>0</v>
      </c>
      <c r="U97">
        <f t="shared" si="14"/>
        <v>10.98</v>
      </c>
      <c r="V97">
        <f t="shared" si="15"/>
        <v>0</v>
      </c>
      <c r="W97" s="249">
        <f t="shared" si="16"/>
        <v>7.764032457428292</v>
      </c>
      <c r="X97">
        <f t="shared" si="17"/>
        <v>0</v>
      </c>
      <c r="Y97" s="249">
        <f t="shared" si="18"/>
        <v>5.49</v>
      </c>
      <c r="Z97">
        <f t="shared" si="19"/>
        <v>0</v>
      </c>
      <c r="AA97" s="83">
        <f t="shared" si="20"/>
        <v>21.96</v>
      </c>
      <c r="AB97">
        <f t="shared" si="21"/>
        <v>0</v>
      </c>
      <c r="AC97" s="83">
        <f t="shared" si="22"/>
        <v>15.528064914856584</v>
      </c>
      <c r="AD97">
        <f t="shared" si="23"/>
        <v>0</v>
      </c>
    </row>
    <row r="98" spans="1:30" x14ac:dyDescent="0.3">
      <c r="A98" s="11">
        <v>26</v>
      </c>
      <c r="B98" s="11" t="s">
        <v>8</v>
      </c>
      <c r="C98" s="11">
        <v>17.190000000000001</v>
      </c>
      <c r="D98" s="11">
        <v>30</v>
      </c>
      <c r="E98" s="11">
        <v>-14.6</v>
      </c>
      <c r="F98" s="15">
        <f t="shared" si="5"/>
        <v>33.36405251164792</v>
      </c>
      <c r="G98" s="20">
        <f t="shared" si="8"/>
        <v>2.3208209423110877E-2</v>
      </c>
      <c r="H98" s="21">
        <f t="shared" si="9"/>
        <v>0</v>
      </c>
      <c r="I98" s="21">
        <f t="shared" si="24"/>
        <v>0</v>
      </c>
      <c r="J98" s="21">
        <f t="shared" si="24"/>
        <v>0</v>
      </c>
      <c r="K98" s="21">
        <f t="shared" si="24"/>
        <v>2.3208209423110877E-2</v>
      </c>
      <c r="L98" s="27">
        <f t="shared" si="13"/>
        <v>19</v>
      </c>
      <c r="M98" s="23">
        <f t="shared" si="7"/>
        <v>0</v>
      </c>
      <c r="N98" s="23">
        <f t="shared" si="7"/>
        <v>0</v>
      </c>
      <c r="O98" s="23">
        <f t="shared" si="7"/>
        <v>0</v>
      </c>
      <c r="P98" s="23">
        <f t="shared" si="7"/>
        <v>2.3208209423110877E-2</v>
      </c>
      <c r="Q98" s="23">
        <f t="shared" si="10"/>
        <v>0</v>
      </c>
      <c r="R98" s="23">
        <f t="shared" si="11"/>
        <v>0</v>
      </c>
      <c r="S98" s="23">
        <f t="shared" si="11"/>
        <v>0</v>
      </c>
      <c r="T98" s="23">
        <f t="shared" si="12"/>
        <v>0</v>
      </c>
      <c r="U98">
        <f t="shared" si="14"/>
        <v>10.185</v>
      </c>
      <c r="V98">
        <f t="shared" si="15"/>
        <v>0</v>
      </c>
      <c r="W98" s="249">
        <f t="shared" si="16"/>
        <v>7.2018825663849872</v>
      </c>
      <c r="X98">
        <f t="shared" si="17"/>
        <v>0</v>
      </c>
      <c r="Y98" s="249">
        <f t="shared" si="18"/>
        <v>5.0925000000000002</v>
      </c>
      <c r="Z98">
        <f t="shared" si="19"/>
        <v>0</v>
      </c>
      <c r="AA98" s="83">
        <f t="shared" si="20"/>
        <v>20.37</v>
      </c>
      <c r="AB98">
        <f t="shared" si="21"/>
        <v>0</v>
      </c>
      <c r="AC98" s="83">
        <f t="shared" si="22"/>
        <v>14.403765132769974</v>
      </c>
      <c r="AD98">
        <f t="shared" si="23"/>
        <v>0</v>
      </c>
    </row>
    <row r="99" spans="1:30" x14ac:dyDescent="0.3">
      <c r="A99" s="11">
        <v>18</v>
      </c>
      <c r="B99" s="11" t="s">
        <v>7</v>
      </c>
      <c r="C99" s="11">
        <v>31.83</v>
      </c>
      <c r="D99" s="11">
        <v>26.8</v>
      </c>
      <c r="E99" s="11">
        <v>-20.2</v>
      </c>
      <c r="F99" s="26">
        <f t="shared" si="5"/>
        <v>33.560095351473599</v>
      </c>
      <c r="G99" s="20">
        <f t="shared" si="8"/>
        <v>7.9572528530814493E-2</v>
      </c>
      <c r="H99" s="21">
        <f t="shared" si="9"/>
        <v>0</v>
      </c>
      <c r="I99" s="21">
        <f t="shared" si="24"/>
        <v>0</v>
      </c>
      <c r="J99" s="21">
        <f t="shared" si="24"/>
        <v>0</v>
      </c>
      <c r="K99" s="21">
        <f t="shared" si="24"/>
        <v>7.9572528530814493E-2</v>
      </c>
      <c r="L99" s="31">
        <f t="shared" si="13"/>
        <v>20</v>
      </c>
      <c r="M99" s="23">
        <f t="shared" si="7"/>
        <v>0</v>
      </c>
      <c r="N99" s="23">
        <f t="shared" si="7"/>
        <v>0</v>
      </c>
      <c r="O99" s="23">
        <f t="shared" si="7"/>
        <v>0</v>
      </c>
      <c r="P99" s="23">
        <f t="shared" si="7"/>
        <v>7.9572528530814493E-2</v>
      </c>
      <c r="Q99" s="23">
        <f t="shared" si="10"/>
        <v>0</v>
      </c>
      <c r="R99" s="23">
        <f t="shared" si="11"/>
        <v>0</v>
      </c>
      <c r="S99" s="23">
        <f t="shared" si="11"/>
        <v>0</v>
      </c>
      <c r="T99" s="23">
        <f t="shared" si="12"/>
        <v>0</v>
      </c>
      <c r="U99">
        <f t="shared" si="14"/>
        <v>8.5950000000000006</v>
      </c>
      <c r="V99">
        <f t="shared" si="15"/>
        <v>0</v>
      </c>
      <c r="W99" s="249">
        <f t="shared" si="16"/>
        <v>6.077582784298377</v>
      </c>
      <c r="X99">
        <f t="shared" si="17"/>
        <v>0</v>
      </c>
      <c r="Y99" s="249">
        <f t="shared" si="18"/>
        <v>4.2975000000000003</v>
      </c>
      <c r="Z99">
        <f t="shared" si="19"/>
        <v>0</v>
      </c>
      <c r="AA99" s="83">
        <f t="shared" si="20"/>
        <v>17.190000000000001</v>
      </c>
      <c r="AB99">
        <f t="shared" si="21"/>
        <v>0</v>
      </c>
      <c r="AC99" s="83">
        <f t="shared" si="22"/>
        <v>12.155165568596754</v>
      </c>
      <c r="AD99">
        <f t="shared" si="23"/>
        <v>0</v>
      </c>
    </row>
    <row r="100" spans="1:30" x14ac:dyDescent="0.3">
      <c r="A100" s="11">
        <v>22</v>
      </c>
      <c r="B100" s="11" t="s">
        <v>7</v>
      </c>
      <c r="C100" s="11">
        <v>16.87</v>
      </c>
      <c r="D100" s="11">
        <v>-35.5</v>
      </c>
      <c r="E100" s="11">
        <v>0</v>
      </c>
      <c r="F100" s="15">
        <f t="shared" si="5"/>
        <v>35.5</v>
      </c>
      <c r="G100" s="20">
        <f t="shared" si="8"/>
        <v>2.2352188256860729E-2</v>
      </c>
      <c r="H100" s="21">
        <f t="shared" si="9"/>
        <v>0</v>
      </c>
      <c r="I100" s="21">
        <f t="shared" si="24"/>
        <v>0</v>
      </c>
      <c r="J100" s="21">
        <f t="shared" si="24"/>
        <v>0</v>
      </c>
      <c r="K100" s="21">
        <f t="shared" si="24"/>
        <v>2.2352188256860729E-2</v>
      </c>
      <c r="L100" s="27">
        <f t="shared" si="13"/>
        <v>21</v>
      </c>
      <c r="M100" s="23">
        <f t="shared" si="7"/>
        <v>0</v>
      </c>
      <c r="N100" s="23">
        <f t="shared" si="7"/>
        <v>0</v>
      </c>
      <c r="O100" s="23">
        <f t="shared" si="7"/>
        <v>0</v>
      </c>
      <c r="P100" s="23">
        <f t="shared" si="7"/>
        <v>0</v>
      </c>
      <c r="Q100" s="23">
        <f t="shared" si="10"/>
        <v>0</v>
      </c>
      <c r="R100" s="23">
        <f t="shared" si="11"/>
        <v>0</v>
      </c>
      <c r="S100" s="23">
        <f t="shared" si="11"/>
        <v>0</v>
      </c>
      <c r="T100" s="23">
        <f t="shared" si="12"/>
        <v>0</v>
      </c>
      <c r="U100">
        <f t="shared" si="14"/>
        <v>15.914999999999999</v>
      </c>
      <c r="V100">
        <f t="shared" si="15"/>
        <v>0</v>
      </c>
      <c r="W100" s="249">
        <f t="shared" si="16"/>
        <v>11.253604422583903</v>
      </c>
      <c r="X100">
        <f t="shared" si="17"/>
        <v>0</v>
      </c>
      <c r="Y100" s="249">
        <f t="shared" si="18"/>
        <v>7.9574999999999996</v>
      </c>
      <c r="Z100">
        <f t="shared" si="19"/>
        <v>0</v>
      </c>
      <c r="AA100" s="83">
        <f t="shared" si="20"/>
        <v>31.83</v>
      </c>
      <c r="AB100">
        <f t="shared" si="21"/>
        <v>0</v>
      </c>
      <c r="AC100" s="83">
        <f t="shared" si="22"/>
        <v>22.507208845167806</v>
      </c>
      <c r="AD100">
        <f t="shared" si="23"/>
        <v>0</v>
      </c>
    </row>
    <row r="101" spans="1:30" x14ac:dyDescent="0.3">
      <c r="A101" s="11">
        <v>15</v>
      </c>
      <c r="B101" s="11" t="s">
        <v>7</v>
      </c>
      <c r="C101" s="11">
        <v>58.25</v>
      </c>
      <c r="D101" s="11">
        <v>2.6</v>
      </c>
      <c r="E101" s="11">
        <v>-36.799999999999997</v>
      </c>
      <c r="F101" s="15">
        <f t="shared" si="5"/>
        <v>36.891733491393431</v>
      </c>
      <c r="G101" s="20">
        <f t="shared" si="8"/>
        <v>0.26649050557927545</v>
      </c>
      <c r="H101" s="21">
        <f t="shared" si="9"/>
        <v>0</v>
      </c>
      <c r="I101" s="21">
        <f t="shared" si="24"/>
        <v>0</v>
      </c>
      <c r="J101" s="21">
        <f t="shared" si="24"/>
        <v>0</v>
      </c>
      <c r="K101" s="21">
        <f t="shared" si="24"/>
        <v>0.26649050557927545</v>
      </c>
      <c r="L101" s="27">
        <f t="shared" si="13"/>
        <v>22</v>
      </c>
      <c r="M101" s="23">
        <f t="shared" si="7"/>
        <v>0</v>
      </c>
      <c r="N101" s="23">
        <f t="shared" si="7"/>
        <v>0</v>
      </c>
      <c r="O101" s="23">
        <f t="shared" si="7"/>
        <v>0</v>
      </c>
      <c r="P101" s="23">
        <f t="shared" si="7"/>
        <v>0</v>
      </c>
      <c r="Q101" s="171">
        <f t="shared" si="10"/>
        <v>0</v>
      </c>
      <c r="R101" s="171">
        <f t="shared" si="11"/>
        <v>0</v>
      </c>
      <c r="S101" s="171">
        <f t="shared" si="11"/>
        <v>0</v>
      </c>
      <c r="T101" s="171">
        <f t="shared" si="12"/>
        <v>0.26649050557927545</v>
      </c>
      <c r="U101">
        <f t="shared" si="14"/>
        <v>8.4350000000000005</v>
      </c>
      <c r="V101">
        <f t="shared" si="15"/>
        <v>0</v>
      </c>
      <c r="W101" s="249">
        <f t="shared" si="16"/>
        <v>5.9644456993085289</v>
      </c>
      <c r="X101">
        <f t="shared" si="17"/>
        <v>0</v>
      </c>
      <c r="Y101" s="249">
        <f t="shared" si="18"/>
        <v>4.2175000000000002</v>
      </c>
      <c r="Z101">
        <f t="shared" si="19"/>
        <v>0</v>
      </c>
      <c r="AA101" s="83">
        <f t="shared" si="20"/>
        <v>16.87</v>
      </c>
      <c r="AB101">
        <f t="shared" si="21"/>
        <v>0</v>
      </c>
      <c r="AC101" s="83">
        <f t="shared" si="22"/>
        <v>11.928891398617058</v>
      </c>
      <c r="AD101">
        <f t="shared" si="23"/>
        <v>0</v>
      </c>
    </row>
    <row r="102" spans="1:30" x14ac:dyDescent="0.3">
      <c r="A102" s="11">
        <v>13</v>
      </c>
      <c r="B102" s="11" t="s">
        <v>7</v>
      </c>
      <c r="C102" s="11">
        <v>42.65</v>
      </c>
      <c r="D102" s="11">
        <v>-26.9</v>
      </c>
      <c r="E102" s="11">
        <v>-27.8</v>
      </c>
      <c r="F102" s="15">
        <f t="shared" si="5"/>
        <v>38.683976010746356</v>
      </c>
      <c r="G102" s="20">
        <f t="shared" si="8"/>
        <v>0.14286569306786348</v>
      </c>
      <c r="H102" s="21">
        <f t="shared" si="9"/>
        <v>0</v>
      </c>
      <c r="I102" s="21">
        <f t="shared" si="24"/>
        <v>0</v>
      </c>
      <c r="J102" s="21">
        <f t="shared" si="24"/>
        <v>0</v>
      </c>
      <c r="K102" s="21">
        <f t="shared" si="24"/>
        <v>0.14286569306786348</v>
      </c>
      <c r="L102" s="27">
        <f t="shared" si="13"/>
        <v>23</v>
      </c>
      <c r="M102" s="23">
        <f t="shared" si="7"/>
        <v>0</v>
      </c>
      <c r="N102" s="23">
        <f t="shared" si="7"/>
        <v>0</v>
      </c>
      <c r="O102" s="23">
        <f t="shared" si="7"/>
        <v>0</v>
      </c>
      <c r="P102" s="23">
        <f t="shared" si="7"/>
        <v>0</v>
      </c>
      <c r="Q102" s="23">
        <f t="shared" si="10"/>
        <v>0</v>
      </c>
      <c r="R102" s="23">
        <f t="shared" si="11"/>
        <v>0</v>
      </c>
      <c r="S102" s="23">
        <f t="shared" si="11"/>
        <v>0</v>
      </c>
      <c r="T102" s="23">
        <f t="shared" si="12"/>
        <v>0</v>
      </c>
      <c r="U102">
        <f t="shared" si="14"/>
        <v>29.125</v>
      </c>
      <c r="V102">
        <f t="shared" si="15"/>
        <v>0</v>
      </c>
      <c r="W102" s="249">
        <f t="shared" si="16"/>
        <v>20.594485002058196</v>
      </c>
      <c r="X102">
        <f t="shared" si="17"/>
        <v>0</v>
      </c>
      <c r="Y102" s="249">
        <f t="shared" si="18"/>
        <v>14.5625</v>
      </c>
      <c r="Z102">
        <f t="shared" si="19"/>
        <v>0</v>
      </c>
      <c r="AA102" s="83">
        <f t="shared" si="20"/>
        <v>58.25</v>
      </c>
      <c r="AB102">
        <f t="shared" si="21"/>
        <v>1</v>
      </c>
      <c r="AC102" s="83">
        <f t="shared" si="22"/>
        <v>41.188970004116392</v>
      </c>
      <c r="AD102">
        <f t="shared" si="23"/>
        <v>1</v>
      </c>
    </row>
    <row r="103" spans="1:30" x14ac:dyDescent="0.3">
      <c r="A103" s="11">
        <v>23</v>
      </c>
      <c r="B103" s="11" t="s">
        <v>7</v>
      </c>
      <c r="C103" s="11">
        <v>20.37</v>
      </c>
      <c r="D103" s="11">
        <v>-4.0999999999999996</v>
      </c>
      <c r="E103" s="11">
        <v>38.700000000000003</v>
      </c>
      <c r="F103" s="15">
        <f t="shared" si="5"/>
        <v>38.916577444580092</v>
      </c>
      <c r="G103" s="20">
        <f t="shared" si="8"/>
        <v>3.258906791858307E-2</v>
      </c>
      <c r="H103" s="21">
        <f t="shared" si="9"/>
        <v>0</v>
      </c>
      <c r="I103" s="21">
        <f t="shared" si="24"/>
        <v>0</v>
      </c>
      <c r="J103" s="21">
        <f t="shared" si="24"/>
        <v>0</v>
      </c>
      <c r="K103" s="21">
        <f t="shared" si="24"/>
        <v>3.258906791858307E-2</v>
      </c>
      <c r="L103" s="27">
        <f t="shared" si="13"/>
        <v>24</v>
      </c>
      <c r="M103" s="23">
        <f t="shared" si="7"/>
        <v>0</v>
      </c>
      <c r="N103" s="23">
        <f t="shared" si="7"/>
        <v>0</v>
      </c>
      <c r="O103" s="23">
        <f t="shared" si="7"/>
        <v>0</v>
      </c>
      <c r="P103" s="23">
        <f t="shared" si="7"/>
        <v>0</v>
      </c>
      <c r="Q103" s="23">
        <f t="shared" si="10"/>
        <v>0</v>
      </c>
      <c r="R103" s="23">
        <f t="shared" si="11"/>
        <v>0</v>
      </c>
      <c r="S103" s="23">
        <f t="shared" si="11"/>
        <v>0</v>
      </c>
      <c r="T103" s="23">
        <f t="shared" si="12"/>
        <v>0</v>
      </c>
      <c r="U103">
        <f t="shared" si="14"/>
        <v>21.324999999999999</v>
      </c>
      <c r="V103">
        <f t="shared" si="15"/>
        <v>0</v>
      </c>
      <c r="W103" s="249">
        <f t="shared" si="16"/>
        <v>15.079052108803126</v>
      </c>
      <c r="X103">
        <f t="shared" si="17"/>
        <v>0</v>
      </c>
      <c r="Y103" s="249">
        <f t="shared" si="18"/>
        <v>10.6625</v>
      </c>
      <c r="Z103">
        <f t="shared" si="19"/>
        <v>0</v>
      </c>
      <c r="AA103" s="83">
        <f t="shared" si="20"/>
        <v>42.65</v>
      </c>
      <c r="AB103">
        <f t="shared" si="21"/>
        <v>1</v>
      </c>
      <c r="AC103" s="83">
        <f t="shared" si="22"/>
        <v>30.158104217606251</v>
      </c>
      <c r="AD103">
        <f t="shared" si="23"/>
        <v>0</v>
      </c>
    </row>
    <row r="104" spans="1:30" x14ac:dyDescent="0.3">
      <c r="A104" s="11">
        <v>11</v>
      </c>
      <c r="B104" s="11" t="s">
        <v>7</v>
      </c>
      <c r="C104" s="11">
        <v>48.38</v>
      </c>
      <c r="D104" s="11">
        <v>-39.5</v>
      </c>
      <c r="E104" s="11">
        <v>-2.8</v>
      </c>
      <c r="F104" s="15">
        <f t="shared" si="5"/>
        <v>39.599116151752682</v>
      </c>
      <c r="G104" s="20">
        <f t="shared" si="8"/>
        <v>0.18383221049632545</v>
      </c>
      <c r="H104" s="21">
        <f t="shared" si="9"/>
        <v>0</v>
      </c>
      <c r="I104" s="21">
        <f t="shared" si="24"/>
        <v>0</v>
      </c>
      <c r="J104" s="21">
        <f t="shared" si="24"/>
        <v>0</v>
      </c>
      <c r="K104" s="21">
        <f t="shared" si="24"/>
        <v>0.18383221049632545</v>
      </c>
      <c r="L104" s="27">
        <f t="shared" si="13"/>
        <v>25</v>
      </c>
      <c r="M104" s="23">
        <f t="shared" si="7"/>
        <v>0</v>
      </c>
      <c r="N104" s="23">
        <f t="shared" si="7"/>
        <v>0</v>
      </c>
      <c r="O104" s="23">
        <f t="shared" si="7"/>
        <v>0</v>
      </c>
      <c r="P104" s="23">
        <f t="shared" si="7"/>
        <v>0</v>
      </c>
      <c r="Q104" s="23">
        <f t="shared" si="10"/>
        <v>0</v>
      </c>
      <c r="R104" s="23">
        <f t="shared" si="11"/>
        <v>0</v>
      </c>
      <c r="S104" s="23">
        <f t="shared" si="11"/>
        <v>0</v>
      </c>
      <c r="T104" s="23">
        <f t="shared" si="12"/>
        <v>0</v>
      </c>
      <c r="U104">
        <f t="shared" si="14"/>
        <v>10.185</v>
      </c>
      <c r="V104">
        <f t="shared" si="15"/>
        <v>0</v>
      </c>
      <c r="W104" s="249">
        <f t="shared" si="16"/>
        <v>7.2018825663849872</v>
      </c>
      <c r="X104">
        <f t="shared" si="17"/>
        <v>0</v>
      </c>
      <c r="Y104" s="249">
        <f t="shared" si="18"/>
        <v>5.0925000000000002</v>
      </c>
      <c r="Z104">
        <f t="shared" si="19"/>
        <v>0</v>
      </c>
      <c r="AA104" s="83">
        <f t="shared" si="20"/>
        <v>20.37</v>
      </c>
      <c r="AB104">
        <f t="shared" si="21"/>
        <v>0</v>
      </c>
      <c r="AC104" s="83">
        <f t="shared" si="22"/>
        <v>14.403765132769974</v>
      </c>
      <c r="AD104">
        <f t="shared" si="23"/>
        <v>0</v>
      </c>
    </row>
    <row r="105" spans="1:30" x14ac:dyDescent="0.3">
      <c r="A105" s="17">
        <v>17</v>
      </c>
      <c r="B105" s="17" t="s">
        <v>7</v>
      </c>
      <c r="C105" s="17">
        <v>35.97</v>
      </c>
      <c r="D105" s="17">
        <v>26.4</v>
      </c>
      <c r="E105" s="17">
        <v>-31.5</v>
      </c>
      <c r="F105" s="18">
        <f t="shared" si="5"/>
        <v>41.1</v>
      </c>
      <c r="G105" s="20">
        <f t="shared" si="8"/>
        <v>0.10161802665885014</v>
      </c>
      <c r="H105" s="21">
        <f t="shared" si="9"/>
        <v>0</v>
      </c>
      <c r="I105" s="21">
        <f t="shared" si="24"/>
        <v>0</v>
      </c>
      <c r="J105" s="21">
        <f t="shared" si="24"/>
        <v>0</v>
      </c>
      <c r="K105" s="21">
        <f t="shared" si="24"/>
        <v>0</v>
      </c>
      <c r="L105" s="27">
        <f t="shared" si="13"/>
        <v>26</v>
      </c>
      <c r="M105" s="23">
        <f t="shared" si="7"/>
        <v>0</v>
      </c>
      <c r="N105" s="23">
        <f t="shared" si="7"/>
        <v>0</v>
      </c>
      <c r="O105" s="23">
        <f t="shared" si="7"/>
        <v>0</v>
      </c>
      <c r="P105" s="23">
        <f t="shared" si="7"/>
        <v>0</v>
      </c>
      <c r="Q105" s="23">
        <f t="shared" si="10"/>
        <v>0</v>
      </c>
      <c r="R105" s="23">
        <f t="shared" si="11"/>
        <v>0</v>
      </c>
      <c r="S105" s="23">
        <f t="shared" si="11"/>
        <v>0</v>
      </c>
      <c r="T105" s="23">
        <f t="shared" si="12"/>
        <v>0</v>
      </c>
      <c r="U105">
        <f t="shared" si="14"/>
        <v>24.19</v>
      </c>
      <c r="V105">
        <f t="shared" si="15"/>
        <v>0</v>
      </c>
      <c r="W105" s="249">
        <f t="shared" si="16"/>
        <v>17.104913036902584</v>
      </c>
      <c r="X105">
        <f t="shared" si="17"/>
        <v>0</v>
      </c>
      <c r="Y105" s="249">
        <f t="shared" si="18"/>
        <v>12.095000000000001</v>
      </c>
      <c r="Z105">
        <f t="shared" si="19"/>
        <v>0</v>
      </c>
      <c r="AA105" s="83">
        <f t="shared" si="20"/>
        <v>48.38</v>
      </c>
      <c r="AB105">
        <f t="shared" si="21"/>
        <v>1</v>
      </c>
      <c r="AC105" s="83">
        <f t="shared" si="22"/>
        <v>34.209826073805168</v>
      </c>
      <c r="AD105">
        <f t="shared" si="23"/>
        <v>0</v>
      </c>
    </row>
    <row r="106" spans="1:30" x14ac:dyDescent="0.3">
      <c r="A106" s="17">
        <v>12</v>
      </c>
      <c r="B106" s="17" t="s">
        <v>7</v>
      </c>
      <c r="C106" s="17">
        <v>52.84</v>
      </c>
      <c r="D106" s="17">
        <v>-37.700000000000003</v>
      </c>
      <c r="E106" s="17">
        <v>-20</v>
      </c>
      <c r="F106" s="18">
        <f t="shared" si="5"/>
        <v>42.676574370490428</v>
      </c>
      <c r="G106" s="20">
        <f t="shared" si="8"/>
        <v>0.21928831943251947</v>
      </c>
      <c r="H106" s="21">
        <f t="shared" si="9"/>
        <v>0</v>
      </c>
      <c r="I106" s="21">
        <f t="shared" si="24"/>
        <v>0</v>
      </c>
      <c r="J106" s="21">
        <f t="shared" si="24"/>
        <v>0</v>
      </c>
      <c r="K106" s="21">
        <f t="shared" si="24"/>
        <v>0</v>
      </c>
      <c r="L106" s="27">
        <f t="shared" si="13"/>
        <v>27</v>
      </c>
      <c r="M106" s="23">
        <f t="shared" si="7"/>
        <v>0</v>
      </c>
      <c r="N106" s="23">
        <f t="shared" si="7"/>
        <v>0</v>
      </c>
      <c r="O106" s="23">
        <f t="shared" si="7"/>
        <v>0</v>
      </c>
      <c r="P106" s="23">
        <f t="shared" si="7"/>
        <v>0</v>
      </c>
      <c r="Q106" s="23">
        <f t="shared" si="10"/>
        <v>0</v>
      </c>
      <c r="R106" s="23">
        <f t="shared" si="11"/>
        <v>0</v>
      </c>
      <c r="S106" s="23">
        <f t="shared" si="11"/>
        <v>0</v>
      </c>
      <c r="T106" s="23">
        <f t="shared" si="12"/>
        <v>0</v>
      </c>
      <c r="U106">
        <f t="shared" si="14"/>
        <v>17.984999999999999</v>
      </c>
      <c r="V106">
        <f t="shared" si="15"/>
        <v>0</v>
      </c>
      <c r="W106" s="249">
        <f t="shared" si="16"/>
        <v>12.717315459640055</v>
      </c>
      <c r="X106">
        <f t="shared" si="17"/>
        <v>0</v>
      </c>
      <c r="Y106" s="249">
        <f t="shared" si="18"/>
        <v>8.9924999999999997</v>
      </c>
      <c r="Z106">
        <f t="shared" si="19"/>
        <v>0</v>
      </c>
      <c r="AA106" s="83">
        <f t="shared" si="20"/>
        <v>35.97</v>
      </c>
      <c r="AB106">
        <f t="shared" si="21"/>
        <v>0</v>
      </c>
      <c r="AC106" s="83">
        <f t="shared" si="22"/>
        <v>25.43463091928011</v>
      </c>
      <c r="AD106">
        <f t="shared" si="23"/>
        <v>0</v>
      </c>
    </row>
    <row r="107" spans="1:30" x14ac:dyDescent="0.3">
      <c r="A107" s="17">
        <v>14</v>
      </c>
      <c r="B107" s="17" t="s">
        <v>7</v>
      </c>
      <c r="C107" s="17">
        <v>54.43</v>
      </c>
      <c r="D107" s="17">
        <v>-19.7</v>
      </c>
      <c r="E107" s="17">
        <v>-42.1</v>
      </c>
      <c r="F107" s="18">
        <f t="shared" si="5"/>
        <v>46.481178986768398</v>
      </c>
      <c r="G107" s="20">
        <f t="shared" si="8"/>
        <v>0.23268401552955487</v>
      </c>
      <c r="H107" s="21">
        <f t="shared" si="9"/>
        <v>0</v>
      </c>
      <c r="I107" s="21">
        <f t="shared" si="24"/>
        <v>0</v>
      </c>
      <c r="J107" s="21">
        <f t="shared" si="24"/>
        <v>0</v>
      </c>
      <c r="K107" s="21">
        <f t="shared" si="24"/>
        <v>0</v>
      </c>
      <c r="L107" s="27">
        <f t="shared" si="13"/>
        <v>28</v>
      </c>
      <c r="M107" s="23">
        <f t="shared" si="7"/>
        <v>0</v>
      </c>
      <c r="N107" s="23">
        <f t="shared" si="7"/>
        <v>0</v>
      </c>
      <c r="O107" s="23">
        <f t="shared" si="7"/>
        <v>0</v>
      </c>
      <c r="P107" s="23">
        <f t="shared" si="7"/>
        <v>0</v>
      </c>
      <c r="Q107" s="23">
        <f t="shared" si="10"/>
        <v>0</v>
      </c>
      <c r="R107" s="23">
        <f t="shared" si="11"/>
        <v>0</v>
      </c>
      <c r="S107" s="23">
        <f t="shared" si="11"/>
        <v>0</v>
      </c>
      <c r="T107" s="23">
        <f t="shared" si="12"/>
        <v>0</v>
      </c>
      <c r="U107">
        <f t="shared" si="14"/>
        <v>26.419999999999998</v>
      </c>
      <c r="V107">
        <f t="shared" si="15"/>
        <v>0</v>
      </c>
      <c r="W107" s="249">
        <f t="shared" si="16"/>
        <v>18.681761158948586</v>
      </c>
      <c r="X107">
        <f t="shared" si="17"/>
        <v>0</v>
      </c>
      <c r="Y107" s="249">
        <f t="shared" si="18"/>
        <v>13.209999999999999</v>
      </c>
      <c r="Z107">
        <f t="shared" si="19"/>
        <v>0</v>
      </c>
      <c r="AA107" s="83">
        <f t="shared" si="20"/>
        <v>52.839999999999996</v>
      </c>
      <c r="AB107">
        <f t="shared" si="21"/>
        <v>1</v>
      </c>
      <c r="AC107" s="83">
        <f t="shared" si="22"/>
        <v>37.363522317897171</v>
      </c>
      <c r="AD107">
        <f t="shared" si="23"/>
        <v>0</v>
      </c>
    </row>
    <row r="108" spans="1:30" x14ac:dyDescent="0.3">
      <c r="A108" s="17">
        <v>20</v>
      </c>
      <c r="B108" s="17" t="s">
        <v>7</v>
      </c>
      <c r="C108" s="17">
        <v>74.17</v>
      </c>
      <c r="D108" s="17">
        <v>47</v>
      </c>
      <c r="E108" s="17">
        <v>-17.100000000000001</v>
      </c>
      <c r="F108" s="18">
        <f t="shared" si="5"/>
        <v>50.014098012460444</v>
      </c>
      <c r="G108" s="20">
        <f t="shared" si="8"/>
        <v>0.43206236585624286</v>
      </c>
      <c r="H108" s="21">
        <f t="shared" si="9"/>
        <v>0</v>
      </c>
      <c r="I108" s="21">
        <f t="shared" si="24"/>
        <v>0</v>
      </c>
      <c r="J108" s="21">
        <f t="shared" si="24"/>
        <v>0</v>
      </c>
      <c r="K108" s="21">
        <f t="shared" si="24"/>
        <v>0</v>
      </c>
      <c r="L108" s="27">
        <f t="shared" si="13"/>
        <v>29</v>
      </c>
      <c r="M108" s="23">
        <f t="shared" si="7"/>
        <v>0</v>
      </c>
      <c r="N108" s="23">
        <f t="shared" si="7"/>
        <v>0</v>
      </c>
      <c r="O108" s="23">
        <f t="shared" si="7"/>
        <v>0</v>
      </c>
      <c r="P108" s="23">
        <f t="shared" si="7"/>
        <v>0</v>
      </c>
      <c r="Q108" s="23">
        <f t="shared" si="10"/>
        <v>0</v>
      </c>
      <c r="R108" s="23">
        <f t="shared" si="11"/>
        <v>0</v>
      </c>
      <c r="S108" s="23">
        <f t="shared" si="11"/>
        <v>0</v>
      </c>
      <c r="T108" s="23">
        <f t="shared" si="12"/>
        <v>0</v>
      </c>
      <c r="U108">
        <f t="shared" si="14"/>
        <v>27.215</v>
      </c>
      <c r="V108">
        <f t="shared" si="15"/>
        <v>0</v>
      </c>
      <c r="W108" s="249">
        <f t="shared" si="16"/>
        <v>19.24391104999189</v>
      </c>
      <c r="X108">
        <f t="shared" si="17"/>
        <v>0</v>
      </c>
      <c r="Y108" s="249">
        <f t="shared" si="18"/>
        <v>13.6075</v>
      </c>
      <c r="Z108">
        <f t="shared" si="19"/>
        <v>0</v>
      </c>
      <c r="AA108" s="83">
        <f t="shared" si="20"/>
        <v>54.43</v>
      </c>
      <c r="AB108">
        <f t="shared" si="21"/>
        <v>1</v>
      </c>
      <c r="AC108" s="83">
        <f t="shared" si="22"/>
        <v>38.487822099983781</v>
      </c>
      <c r="AD108">
        <f t="shared" si="23"/>
        <v>0</v>
      </c>
    </row>
    <row r="109" spans="1:30" x14ac:dyDescent="0.3">
      <c r="A109" s="17">
        <v>16</v>
      </c>
      <c r="B109" s="17" t="s">
        <v>7</v>
      </c>
      <c r="C109" s="17">
        <v>47.43</v>
      </c>
      <c r="D109" s="17">
        <v>7.5</v>
      </c>
      <c r="E109" s="17">
        <v>-53.5</v>
      </c>
      <c r="F109" s="18">
        <f t="shared" si="5"/>
        <v>54.023143188822324</v>
      </c>
      <c r="G109" s="20">
        <f t="shared" si="8"/>
        <v>0.17668355568299002</v>
      </c>
      <c r="H109" s="21">
        <f t="shared" si="9"/>
        <v>0</v>
      </c>
      <c r="I109" s="21">
        <f t="shared" si="24"/>
        <v>0</v>
      </c>
      <c r="J109" s="21">
        <f t="shared" si="24"/>
        <v>0</v>
      </c>
      <c r="K109" s="21">
        <f t="shared" si="24"/>
        <v>0</v>
      </c>
      <c r="L109" s="27">
        <f t="shared" si="13"/>
        <v>30</v>
      </c>
      <c r="M109" s="23">
        <f t="shared" si="7"/>
        <v>0</v>
      </c>
      <c r="N109" s="23">
        <f t="shared" si="7"/>
        <v>0</v>
      </c>
      <c r="O109" s="23">
        <f t="shared" si="7"/>
        <v>0</v>
      </c>
      <c r="P109" s="23">
        <f t="shared" si="7"/>
        <v>0</v>
      </c>
      <c r="Q109" s="23">
        <f t="shared" si="10"/>
        <v>0</v>
      </c>
      <c r="R109" s="23">
        <f t="shared" si="11"/>
        <v>0</v>
      </c>
      <c r="S109" s="23">
        <f t="shared" si="11"/>
        <v>0</v>
      </c>
      <c r="T109" s="23">
        <f t="shared" si="12"/>
        <v>0</v>
      </c>
      <c r="U109">
        <f t="shared" si="14"/>
        <v>37.085000000000001</v>
      </c>
      <c r="V109">
        <f t="shared" si="15"/>
        <v>0</v>
      </c>
      <c r="W109" s="249">
        <f t="shared" si="16"/>
        <v>26.223054980303115</v>
      </c>
      <c r="X109">
        <f t="shared" si="17"/>
        <v>0</v>
      </c>
      <c r="Y109" s="249">
        <f t="shared" si="18"/>
        <v>18.5425</v>
      </c>
      <c r="Z109">
        <f t="shared" si="19"/>
        <v>0</v>
      </c>
      <c r="AA109" s="83">
        <f t="shared" si="20"/>
        <v>74.17</v>
      </c>
      <c r="AB109">
        <f t="shared" si="21"/>
        <v>1</v>
      </c>
      <c r="AC109" s="83">
        <f t="shared" si="22"/>
        <v>52.446109960606229</v>
      </c>
      <c r="AD109">
        <f t="shared" si="23"/>
        <v>1</v>
      </c>
    </row>
    <row r="110" spans="1:30" x14ac:dyDescent="0.3">
      <c r="A110" s="17">
        <v>19</v>
      </c>
      <c r="B110" s="17" t="s">
        <v>7</v>
      </c>
      <c r="C110" s="17">
        <v>25.78</v>
      </c>
      <c r="D110" s="17">
        <v>39.700000000000003</v>
      </c>
      <c r="E110" s="17">
        <v>-41.1</v>
      </c>
      <c r="F110" s="18">
        <f t="shared" si="5"/>
        <v>57.142803571403462</v>
      </c>
      <c r="G110" s="20">
        <f t="shared" si="8"/>
        <v>5.2198221673851672E-2</v>
      </c>
      <c r="H110" s="21">
        <f t="shared" si="9"/>
        <v>0</v>
      </c>
      <c r="I110" s="21">
        <f t="shared" si="24"/>
        <v>0</v>
      </c>
      <c r="J110" s="21">
        <f t="shared" si="24"/>
        <v>0</v>
      </c>
      <c r="K110" s="21">
        <f t="shared" si="24"/>
        <v>0</v>
      </c>
      <c r="L110" s="27">
        <f t="shared" si="13"/>
        <v>31</v>
      </c>
      <c r="M110" s="23">
        <f t="shared" si="7"/>
        <v>0</v>
      </c>
      <c r="N110" s="23">
        <f t="shared" si="7"/>
        <v>0</v>
      </c>
      <c r="O110" s="23">
        <f t="shared" si="7"/>
        <v>0</v>
      </c>
      <c r="P110" s="23">
        <f t="shared" si="7"/>
        <v>0</v>
      </c>
      <c r="Q110" s="23">
        <f t="shared" si="10"/>
        <v>0</v>
      </c>
      <c r="R110" s="23">
        <f t="shared" si="11"/>
        <v>0</v>
      </c>
      <c r="S110" s="23">
        <f t="shared" si="11"/>
        <v>0</v>
      </c>
      <c r="T110" s="23">
        <f t="shared" si="12"/>
        <v>0</v>
      </c>
      <c r="U110">
        <f t="shared" si="14"/>
        <v>23.715</v>
      </c>
      <c r="V110">
        <f t="shared" si="15"/>
        <v>0</v>
      </c>
      <c r="W110" s="249">
        <f t="shared" si="16"/>
        <v>16.769037315838975</v>
      </c>
      <c r="X110">
        <f t="shared" si="17"/>
        <v>0</v>
      </c>
      <c r="Y110" s="249">
        <f t="shared" si="18"/>
        <v>11.8575</v>
      </c>
      <c r="Z110">
        <f t="shared" si="19"/>
        <v>0</v>
      </c>
      <c r="AA110" s="83">
        <f t="shared" si="20"/>
        <v>47.43</v>
      </c>
      <c r="AB110">
        <f t="shared" si="21"/>
        <v>0</v>
      </c>
      <c r="AC110" s="83">
        <f t="shared" si="22"/>
        <v>33.538074631677951</v>
      </c>
      <c r="AD110">
        <f t="shared" si="23"/>
        <v>0</v>
      </c>
    </row>
  </sheetData>
  <sortState ref="I13:N43">
    <sortCondition ref="J13:J43"/>
    <sortCondition ref="N13:N43"/>
  </sortState>
  <mergeCells count="16">
    <mergeCell ref="V61:AF61"/>
    <mergeCell ref="V62:AA67"/>
    <mergeCell ref="U79:V79"/>
    <mergeCell ref="W79:X79"/>
    <mergeCell ref="Y79:Z79"/>
    <mergeCell ref="AA79:AB79"/>
    <mergeCell ref="AC79:AD79"/>
    <mergeCell ref="R68:U68"/>
    <mergeCell ref="D2:E2"/>
    <mergeCell ref="A1:F1"/>
    <mergeCell ref="A75:F76"/>
    <mergeCell ref="D78:E78"/>
    <mergeCell ref="H69:K69"/>
    <mergeCell ref="M51:P51"/>
    <mergeCell ref="M66:P66"/>
    <mergeCell ref="A67:F6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Alternativa_resolver</vt:lpstr>
      <vt:lpstr>Aula_20Set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</dc:creator>
  <cp:lastModifiedBy>smb</cp:lastModifiedBy>
  <dcterms:created xsi:type="dcterms:W3CDTF">2024-09-17T11:09:26Z</dcterms:created>
  <dcterms:modified xsi:type="dcterms:W3CDTF">2024-09-24T21:47:47Z</dcterms:modified>
</cp:coreProperties>
</file>