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/>
  </bookViews>
  <sheets>
    <sheet name="123_plotEc" sheetId="1" r:id="rId1"/>
    <sheet name="123_plotEc_dist_diametros" sheetId="2" r:id="rId2"/>
  </sheets>
  <definedNames>
    <definedName name="_xlnm._FilterDatabase" localSheetId="1" hidden="1">'123_plotEc_dist_diametros'!$B$14:$F$89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11" i="1" l="1"/>
  <c r="R3" i="1"/>
  <c r="R6" i="1" s="1"/>
  <c r="P13" i="1"/>
  <c r="P10" i="1"/>
  <c r="P14" i="1"/>
  <c r="L12" i="1" l="1"/>
  <c r="E6" i="2"/>
  <c r="L9" i="1" l="1"/>
  <c r="G94" i="1"/>
  <c r="G95" i="1"/>
  <c r="G96" i="1"/>
  <c r="G97" i="1"/>
  <c r="G98" i="1"/>
  <c r="G99" i="1"/>
  <c r="G8" i="1"/>
  <c r="K20" i="1"/>
  <c r="B7" i="2" l="1"/>
  <c r="C7" i="2" s="1"/>
  <c r="E7" i="2" l="1"/>
  <c r="B8" i="2"/>
  <c r="M21" i="1"/>
  <c r="M24" i="1"/>
  <c r="M27" i="1"/>
  <c r="M29" i="1"/>
  <c r="M32" i="1"/>
  <c r="M33" i="1"/>
  <c r="M34" i="1"/>
  <c r="M37" i="1"/>
  <c r="M44" i="1"/>
  <c r="M49" i="1"/>
  <c r="M62" i="1"/>
  <c r="M71" i="1"/>
  <c r="M74" i="1"/>
  <c r="M82" i="1"/>
  <c r="M90" i="1"/>
  <c r="M92" i="1"/>
  <c r="M93" i="1"/>
  <c r="J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C13" i="1"/>
  <c r="G10" i="1"/>
  <c r="G12" i="1"/>
  <c r="H10" i="1"/>
  <c r="G7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G4" i="1"/>
  <c r="H9" i="1" s="1"/>
  <c r="G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20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L10" i="1" l="1"/>
  <c r="L20" i="1" s="1"/>
  <c r="E45" i="2"/>
  <c r="E33" i="2"/>
  <c r="C8" i="2"/>
  <c r="B9" i="2" s="1"/>
  <c r="G11" i="1"/>
  <c r="H8" i="1"/>
  <c r="H7" i="1"/>
  <c r="L11" i="1" s="1"/>
  <c r="E8" i="2" l="1"/>
  <c r="C9" i="2"/>
  <c r="B10" i="2" s="1"/>
  <c r="L90" i="1"/>
  <c r="L26" i="1"/>
  <c r="M26" i="1" s="1"/>
  <c r="L33" i="1"/>
  <c r="L39" i="1"/>
  <c r="M39" i="1" s="1"/>
  <c r="L48" i="1"/>
  <c r="M48" i="1" s="1"/>
  <c r="L54" i="1"/>
  <c r="M54" i="1" s="1"/>
  <c r="L69" i="1"/>
  <c r="M69" i="1" s="1"/>
  <c r="L92" i="1"/>
  <c r="L28" i="1"/>
  <c r="M28" i="1" s="1"/>
  <c r="L35" i="1"/>
  <c r="M35" i="1" s="1"/>
  <c r="L88" i="1"/>
  <c r="M88" i="1" s="1"/>
  <c r="L68" i="1"/>
  <c r="M68" i="1" s="1"/>
  <c r="L80" i="1"/>
  <c r="M80" i="1" s="1"/>
  <c r="L37" i="1"/>
  <c r="L67" i="1"/>
  <c r="M67" i="1" s="1"/>
  <c r="L57" i="1"/>
  <c r="M57" i="1" s="1"/>
  <c r="L78" i="1"/>
  <c r="M78" i="1" s="1"/>
  <c r="L42" i="1"/>
  <c r="M42" i="1" s="1"/>
  <c r="L85" i="1"/>
  <c r="M85" i="1" s="1"/>
  <c r="L41" i="1"/>
  <c r="M41" i="1" s="1"/>
  <c r="L62" i="1"/>
  <c r="L43" i="1"/>
  <c r="M43" i="1" s="1"/>
  <c r="L82" i="1"/>
  <c r="L89" i="1"/>
  <c r="M89" i="1" s="1"/>
  <c r="L25" i="1"/>
  <c r="M25" i="1" s="1"/>
  <c r="L31" i="1"/>
  <c r="M31" i="1" s="1"/>
  <c r="L40" i="1"/>
  <c r="M40" i="1" s="1"/>
  <c r="L46" i="1"/>
  <c r="M46" i="1" s="1"/>
  <c r="L61" i="1"/>
  <c r="M61" i="1" s="1"/>
  <c r="L84" i="1"/>
  <c r="M84" i="1" s="1"/>
  <c r="L91" i="1"/>
  <c r="M91" i="1" s="1"/>
  <c r="L27" i="1"/>
  <c r="L32" i="1"/>
  <c r="L38" i="1"/>
  <c r="M38" i="1" s="1"/>
  <c r="L53" i="1"/>
  <c r="M53" i="1" s="1"/>
  <c r="L83" i="1"/>
  <c r="M83" i="1" s="1"/>
  <c r="L66" i="1"/>
  <c r="M66" i="1" s="1"/>
  <c r="L73" i="1"/>
  <c r="M73" i="1" s="1"/>
  <c r="L24" i="1"/>
  <c r="L45" i="1"/>
  <c r="M45" i="1" s="1"/>
  <c r="L72" i="1"/>
  <c r="M72" i="1" s="1"/>
  <c r="L29" i="1"/>
  <c r="L49" i="1"/>
  <c r="L70" i="1"/>
  <c r="M70" i="1" s="1"/>
  <c r="L51" i="1"/>
  <c r="M51" i="1" s="1"/>
  <c r="L47" i="1"/>
  <c r="M47" i="1" s="1"/>
  <c r="L74" i="1"/>
  <c r="L81" i="1"/>
  <c r="M81" i="1" s="1"/>
  <c r="L87" i="1"/>
  <c r="M87" i="1" s="1"/>
  <c r="M20" i="1"/>
  <c r="L76" i="1"/>
  <c r="M76" i="1" s="1"/>
  <c r="L79" i="1"/>
  <c r="M79" i="1" s="1"/>
  <c r="L30" i="1"/>
  <c r="M30" i="1" s="1"/>
  <c r="L75" i="1"/>
  <c r="M75" i="1" s="1"/>
  <c r="L58" i="1"/>
  <c r="M58" i="1" s="1"/>
  <c r="L65" i="1"/>
  <c r="M65" i="1" s="1"/>
  <c r="L86" i="1"/>
  <c r="M86" i="1" s="1"/>
  <c r="L22" i="1"/>
  <c r="M22" i="1" s="1"/>
  <c r="L60" i="1"/>
  <c r="M60" i="1" s="1"/>
  <c r="L50" i="1"/>
  <c r="M50" i="1" s="1"/>
  <c r="L63" i="1"/>
  <c r="M63" i="1" s="1"/>
  <c r="L93" i="1"/>
  <c r="L52" i="1"/>
  <c r="M52" i="1" s="1"/>
  <c r="L64" i="1"/>
  <c r="M64" i="1" s="1"/>
  <c r="L21" i="1"/>
  <c r="L34" i="1"/>
  <c r="L56" i="1"/>
  <c r="M56" i="1" s="1"/>
  <c r="L36" i="1"/>
  <c r="M36" i="1" s="1"/>
  <c r="L71" i="1"/>
  <c r="L59" i="1"/>
  <c r="M59" i="1" s="1"/>
  <c r="L55" i="1"/>
  <c r="M55" i="1" s="1"/>
  <c r="L44" i="1"/>
  <c r="L23" i="1"/>
  <c r="M23" i="1" s="1"/>
  <c r="L77" i="1"/>
  <c r="M77" i="1" s="1"/>
  <c r="E9" i="2" l="1"/>
  <c r="E60" i="2"/>
  <c r="E38" i="2"/>
  <c r="E24" i="2"/>
  <c r="E88" i="2"/>
  <c r="E39" i="2"/>
  <c r="E44" i="2"/>
  <c r="E86" i="2"/>
  <c r="E59" i="2"/>
  <c r="E30" i="2"/>
  <c r="E19" i="2"/>
  <c r="E54" i="2"/>
  <c r="E41" i="2"/>
  <c r="E81" i="2"/>
  <c r="E78" i="2"/>
  <c r="E66" i="2"/>
  <c r="E26" i="2"/>
  <c r="E37" i="2"/>
  <c r="E27" i="2"/>
  <c r="E69" i="2"/>
  <c r="E55" i="2"/>
  <c r="E48" i="2"/>
  <c r="E35" i="2"/>
  <c r="E77" i="2"/>
  <c r="E85" i="2"/>
  <c r="E34" i="2"/>
  <c r="E18" i="2"/>
  <c r="E52" i="2"/>
  <c r="C10" i="2"/>
  <c r="B11" i="2" s="1"/>
  <c r="E67" i="2" s="1"/>
  <c r="E89" i="2" l="1"/>
  <c r="E65" i="2"/>
  <c r="E64" i="2"/>
  <c r="E53" i="2"/>
  <c r="E63" i="2"/>
  <c r="E75" i="2"/>
  <c r="E72" i="2"/>
  <c r="E56" i="2"/>
  <c r="E70" i="2"/>
  <c r="E74" i="2"/>
  <c r="E84" i="2"/>
  <c r="E28" i="2"/>
  <c r="E17" i="2"/>
  <c r="E57" i="2"/>
  <c r="E31" i="2"/>
  <c r="E49" i="2"/>
  <c r="E22" i="2"/>
  <c r="E61" i="2"/>
  <c r="E25" i="2"/>
  <c r="E43" i="2"/>
  <c r="E62" i="2"/>
  <c r="E83" i="2"/>
  <c r="E73" i="2"/>
  <c r="E76" i="2"/>
  <c r="E68" i="2"/>
  <c r="E58" i="2"/>
  <c r="E29" i="2"/>
  <c r="E20" i="2"/>
  <c r="E51" i="2"/>
  <c r="E47" i="2"/>
  <c r="E40" i="2"/>
  <c r="E23" i="2"/>
  <c r="E36" i="2"/>
  <c r="E71" i="2"/>
  <c r="E32" i="2"/>
  <c r="E80" i="2"/>
  <c r="E16" i="2"/>
  <c r="E50" i="2"/>
  <c r="E87" i="2"/>
  <c r="E82" i="2"/>
  <c r="E42" i="2"/>
  <c r="E21" i="2"/>
  <c r="E46" i="2"/>
  <c r="E79" i="2"/>
  <c r="E10" i="2"/>
  <c r="C11" i="2"/>
  <c r="E11" i="2" s="1"/>
  <c r="E12" i="2" l="1"/>
</calcChain>
</file>

<file path=xl/sharedStrings.xml><?xml version="1.0" encoding="utf-8"?>
<sst xmlns="http://schemas.openxmlformats.org/spreadsheetml/2006/main" count="195" uniqueCount="140">
  <si>
    <t>id_arv</t>
  </si>
  <si>
    <t>d1</t>
  </si>
  <si>
    <t>d2</t>
  </si>
  <si>
    <t>h</t>
  </si>
  <si>
    <t>(mm)</t>
  </si>
  <si>
    <t>m</t>
  </si>
  <si>
    <t>Exercico 1.2.3</t>
  </si>
  <si>
    <t>Figura 10</t>
  </si>
  <si>
    <t>parcela</t>
  </si>
  <si>
    <t>ndom</t>
  </si>
  <si>
    <t>N_vivas</t>
  </si>
  <si>
    <t>ha-1</t>
  </si>
  <si>
    <t>N_mortas</t>
  </si>
  <si>
    <t>f_exp</t>
  </si>
  <si>
    <t>N_total</t>
  </si>
  <si>
    <t>rotação</t>
  </si>
  <si>
    <t>G</t>
  </si>
  <si>
    <t>m2 ha-1</t>
  </si>
  <si>
    <t>compasso</t>
  </si>
  <si>
    <t>4x5</t>
  </si>
  <si>
    <t>idade</t>
  </si>
  <si>
    <t>Local</t>
  </si>
  <si>
    <t>Furadouro</t>
  </si>
  <si>
    <t>Area_p</t>
  </si>
  <si>
    <t>Pov.</t>
  </si>
  <si>
    <t>id_par</t>
  </si>
  <si>
    <t>Altitude</t>
  </si>
  <si>
    <t>d</t>
  </si>
  <si>
    <t>a)</t>
  </si>
  <si>
    <t>b)</t>
  </si>
  <si>
    <t>dg</t>
  </si>
  <si>
    <t>c)</t>
  </si>
  <si>
    <t>d)</t>
  </si>
  <si>
    <t>(cm)</t>
  </si>
  <si>
    <t>cod morta</t>
  </si>
  <si>
    <t>gi</t>
  </si>
  <si>
    <t>dmed</t>
  </si>
  <si>
    <t>id_ord</t>
  </si>
  <si>
    <t>hdom</t>
  </si>
  <si>
    <t>ddom</t>
  </si>
  <si>
    <t>hdom aux</t>
  </si>
  <si>
    <t>ddom aux</t>
  </si>
  <si>
    <t>cm</t>
  </si>
  <si>
    <t>b0</t>
  </si>
  <si>
    <t>b1</t>
  </si>
  <si>
    <t>b2</t>
  </si>
  <si>
    <t>b3</t>
  </si>
  <si>
    <t>h_est</t>
  </si>
  <si>
    <t>h final</t>
  </si>
  <si>
    <t>h est aux</t>
  </si>
  <si>
    <t>Distribuição de diâmetros</t>
  </si>
  <si>
    <t>d_médio</t>
  </si>
  <si>
    <t>lim_esq</t>
  </si>
  <si>
    <t>lim_dir</t>
  </si>
  <si>
    <t>freq_abs</t>
  </si>
  <si>
    <t>classe de d</t>
  </si>
  <si>
    <t>modelo</t>
  </si>
  <si>
    <t>modelo 1ª</t>
  </si>
  <si>
    <t>2ª</t>
  </si>
  <si>
    <t>3ª</t>
  </si>
  <si>
    <t>4ª</t>
  </si>
  <si>
    <t>5ª</t>
  </si>
  <si>
    <t>modelo 6ª</t>
  </si>
  <si>
    <t>7ª</t>
  </si>
  <si>
    <t>8ª</t>
  </si>
  <si>
    <t>9ª</t>
  </si>
  <si>
    <t>10ª</t>
  </si>
  <si>
    <t>modelo 11ª</t>
  </si>
  <si>
    <t>12ª</t>
  </si>
  <si>
    <t>13ª</t>
  </si>
  <si>
    <t>14ª</t>
  </si>
  <si>
    <t>15ª</t>
  </si>
  <si>
    <t>modelo 16ª</t>
  </si>
  <si>
    <t>17ª</t>
  </si>
  <si>
    <t>18ª</t>
  </si>
  <si>
    <t>19ª</t>
  </si>
  <si>
    <t>20ª</t>
  </si>
  <si>
    <t>modelo 21ª</t>
  </si>
  <si>
    <t>22ª</t>
  </si>
  <si>
    <t>modelo 31ª</t>
  </si>
  <si>
    <t>23ª</t>
  </si>
  <si>
    <t>27ª</t>
  </si>
  <si>
    <t>30ª</t>
  </si>
  <si>
    <t>34ª</t>
  </si>
  <si>
    <t>35ª</t>
  </si>
  <si>
    <t>24ª</t>
  </si>
  <si>
    <t>25ª</t>
  </si>
  <si>
    <t>modelo 26ª</t>
  </si>
  <si>
    <t>28ª</t>
  </si>
  <si>
    <t>29ª</t>
  </si>
  <si>
    <t>32ª</t>
  </si>
  <si>
    <t>33ª</t>
  </si>
  <si>
    <t>8*</t>
  </si>
  <si>
    <t>9*</t>
  </si>
  <si>
    <t>11*</t>
  </si>
  <si>
    <t>20*</t>
  </si>
  <si>
    <t>21*</t>
  </si>
  <si>
    <t>31*</t>
  </si>
  <si>
    <t>32*</t>
  </si>
  <si>
    <t>33*</t>
  </si>
  <si>
    <t>39*</t>
  </si>
  <si>
    <t>52*</t>
  </si>
  <si>
    <t>58*</t>
  </si>
  <si>
    <t>64*</t>
  </si>
  <si>
    <t>71*</t>
  </si>
  <si>
    <t>73*</t>
  </si>
  <si>
    <t>80*</t>
  </si>
  <si>
    <t>* arv com h medido</t>
  </si>
  <si>
    <t>16 arvores com &gt;d</t>
  </si>
  <si>
    <t xml:space="preserve">árv que deveria ser modelo pelo met draudt modificado </t>
  </si>
  <si>
    <t>1*</t>
  </si>
  <si>
    <t>3*</t>
  </si>
  <si>
    <t>1 arv modelo</t>
  </si>
  <si>
    <t>5 arv modelo</t>
  </si>
  <si>
    <t>2 arv modelo</t>
  </si>
  <si>
    <t>7 arv modelo</t>
  </si>
  <si>
    <t>arv morta (sem d)</t>
  </si>
  <si>
    <t>Anexo I, Tabela 2</t>
  </si>
  <si>
    <t>(diametro)</t>
  </si>
  <si>
    <t>e)</t>
  </si>
  <si>
    <t>f)</t>
  </si>
  <si>
    <t>g)</t>
  </si>
  <si>
    <t>S</t>
  </si>
  <si>
    <t>Anexo I, Tabela 15</t>
  </si>
  <si>
    <t>A</t>
  </si>
  <si>
    <t>n</t>
  </si>
  <si>
    <t>Reg Glob</t>
  </si>
  <si>
    <t>3CL</t>
  </si>
  <si>
    <t>tp</t>
  </si>
  <si>
    <t>fw_silv</t>
  </si>
  <si>
    <t>fw</t>
  </si>
  <si>
    <t>Ndesb=</t>
  </si>
  <si>
    <t>i)</t>
  </si>
  <si>
    <t>j)</t>
  </si>
  <si>
    <t>fw_silv =</t>
  </si>
  <si>
    <r>
      <t>N</t>
    </r>
    <r>
      <rPr>
        <vertAlign val="subscript"/>
        <sz val="11"/>
        <color theme="1"/>
        <rFont val="Calibri"/>
        <family val="2"/>
        <scheme val="minor"/>
      </rPr>
      <t>0.27</t>
    </r>
    <r>
      <rPr>
        <sz val="11"/>
        <color theme="1"/>
        <rFont val="Calibri"/>
        <family val="2"/>
        <scheme val="minor"/>
      </rPr>
      <t>=</t>
    </r>
  </si>
  <si>
    <r>
      <t xml:space="preserve">Um nº e árvores negativo significa que </t>
    </r>
    <r>
      <rPr>
        <b/>
        <sz val="8"/>
        <color rgb="FFC00000"/>
        <rFont val="Calibri"/>
        <family val="2"/>
        <scheme val="minor"/>
      </rPr>
      <t>NÃO HÁ NECESSIDADE DE DESBASTAR!!!</t>
    </r>
  </si>
  <si>
    <t>Se eu quisesse manter o fw de 0.19, aos 18 anos teria de ir ver quantas árvores sairiam em desbaste (assumindo que a hdom a essa idade seria 26 m) chegava à conclusão que teria de tirar 53 arv /ha</t>
  </si>
  <si>
    <t>Se eu quisesse gerir para um fw de 0.19, tinha de repetir os calculos das árvores a desbastar aos 13 anos</t>
  </si>
  <si>
    <t>i) e j) addicionais ao exercicio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</si>
</sst>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10"/>
      <color rgb="FF0000FF"/>
      <name val="Monotype Corsiva"/>
      <family val="4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theme="4" tint="-0.249977111117893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3333FF"/>
      <name val="Arial"/>
      <family val="2"/>
    </font>
    <font>
      <i/>
      <sz val="9"/>
      <color theme="0" tint="-0.499984740745262"/>
      <name val="Calibri"/>
      <family val="2"/>
      <scheme val="minor"/>
    </font>
    <font>
      <sz val="9"/>
      <color rgb="FF3333FF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rgb="FF0066FF"/>
      <name val="Calibri"/>
      <family val="2"/>
      <scheme val="minor"/>
    </font>
    <font>
      <sz val="9"/>
      <color theme="5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1" xfId="0" applyFon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Border="1" applyAlignment="1">
      <alignment vertical="center"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8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5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Fill="1"/>
    <xf numFmtId="0" fontId="0" fillId="0" borderId="3" xfId="0" applyBorder="1"/>
    <xf numFmtId="0" fontId="1" fillId="0" borderId="4" xfId="0" applyFont="1" applyFill="1" applyBorder="1" applyAlignment="1">
      <alignment horizontal="center"/>
    </xf>
    <xf numFmtId="0" fontId="0" fillId="0" borderId="3" xfId="0" applyFill="1" applyBorder="1"/>
    <xf numFmtId="0" fontId="12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4" borderId="1" xfId="0" applyNumberFormat="1" applyFill="1" applyBorder="1"/>
    <xf numFmtId="0" fontId="21" fillId="0" borderId="0" xfId="0" applyFont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7" fillId="0" borderId="6" xfId="0" applyFont="1" applyBorder="1" applyAlignment="1">
      <alignment horizontal="center"/>
    </xf>
    <xf numFmtId="0" fontId="1" fillId="0" borderId="7" xfId="0" applyFont="1" applyBorder="1"/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9" xfId="0" applyFont="1" applyFill="1" applyBorder="1"/>
    <xf numFmtId="0" fontId="7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7" fillId="0" borderId="12" xfId="0" applyFont="1" applyFill="1" applyBorder="1" applyAlignment="1">
      <alignment horizontal="center"/>
    </xf>
    <xf numFmtId="2" fontId="0" fillId="4" borderId="1" xfId="0" applyNumberFormat="1" applyFill="1" applyBorder="1"/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5" xfId="0" applyFill="1" applyBorder="1"/>
    <xf numFmtId="0" fontId="0" fillId="0" borderId="7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8" fillId="0" borderId="0" xfId="0" applyFont="1"/>
    <xf numFmtId="0" fontId="8" fillId="0" borderId="13" xfId="0" applyFont="1" applyFill="1" applyBorder="1" applyAlignment="1">
      <alignment horizontal="center"/>
    </xf>
    <xf numFmtId="0" fontId="22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3" fillId="2" borderId="16" xfId="0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17" xfId="0" applyNumberFormat="1" applyBorder="1" applyAlignment="1">
      <alignment horizontal="left"/>
    </xf>
    <xf numFmtId="0" fontId="8" fillId="0" borderId="0" xfId="0" applyFont="1" applyFill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22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right"/>
    </xf>
    <xf numFmtId="1" fontId="0" fillId="2" borderId="17" xfId="0" applyNumberFormat="1" applyFill="1" applyBorder="1" applyAlignment="1">
      <alignment horizontal="left"/>
    </xf>
    <xf numFmtId="1" fontId="25" fillId="2" borderId="17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</xdr:colOff>
          <xdr:row>4</xdr:row>
          <xdr:rowOff>38100</xdr:rowOff>
        </xdr:from>
        <xdr:to>
          <xdr:col>14</xdr:col>
          <xdr:colOff>594360</xdr:colOff>
          <xdr:row>6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5C83B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24063</xdr:colOff>
      <xdr:row>10</xdr:row>
      <xdr:rowOff>32084</xdr:rowOff>
    </xdr:from>
    <xdr:to>
      <xdr:col>8</xdr:col>
      <xdr:colOff>192506</xdr:colOff>
      <xdr:row>12</xdr:row>
      <xdr:rowOff>40534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2610" y="1692442"/>
          <a:ext cx="778043" cy="385699"/>
        </a:xfrm>
        <a:prstGeom prst="rect">
          <a:avLst/>
        </a:prstGeom>
        <a:ln>
          <a:solidFill>
            <a:schemeClr val="accent2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174905</xdr:colOff>
          <xdr:row>10</xdr:row>
          <xdr:rowOff>7121</xdr:rowOff>
        </xdr:from>
        <xdr:to>
          <xdr:col>13</xdr:col>
          <xdr:colOff>498506</xdr:colOff>
          <xdr:row>12</xdr:row>
          <xdr:rowOff>38598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300182</xdr:colOff>
      <xdr:row>13</xdr:row>
      <xdr:rowOff>180877</xdr:rowOff>
    </xdr:from>
    <xdr:to>
      <xdr:col>15</xdr:col>
      <xdr:colOff>269393</xdr:colOff>
      <xdr:row>15</xdr:row>
      <xdr:rowOff>139133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427"/>
        <a:stretch/>
      </xdr:blipFill>
      <xdr:spPr>
        <a:xfrm>
          <a:off x="8555182" y="2782453"/>
          <a:ext cx="577272" cy="343114"/>
        </a:xfrm>
        <a:prstGeom prst="rect">
          <a:avLst/>
        </a:prstGeom>
      </xdr:spPr>
    </xdr:pic>
    <xdr:clientData/>
  </xdr:twoCellAnchor>
  <xdr:twoCellAnchor editAs="oneCell">
    <xdr:from>
      <xdr:col>14</xdr:col>
      <xdr:colOff>250153</xdr:colOff>
      <xdr:row>10</xdr:row>
      <xdr:rowOff>18571</xdr:rowOff>
    </xdr:from>
    <xdr:to>
      <xdr:col>15</xdr:col>
      <xdr:colOff>438740</xdr:colOff>
      <xdr:row>11</xdr:row>
      <xdr:rowOff>160658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5153" y="1688813"/>
          <a:ext cx="796648" cy="335098"/>
        </a:xfrm>
        <a:prstGeom prst="rect">
          <a:avLst/>
        </a:prstGeom>
      </xdr:spPr>
    </xdr:pic>
    <xdr:clientData/>
  </xdr:twoCellAnchor>
  <xdr:oneCellAnchor>
    <xdr:from>
      <xdr:col>16</xdr:col>
      <xdr:colOff>250153</xdr:colOff>
      <xdr:row>3</xdr:row>
      <xdr:rowOff>18571</xdr:rowOff>
    </xdr:from>
    <xdr:ext cx="797359" cy="332587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2055" y="1675093"/>
          <a:ext cx="797359" cy="332587"/>
        </a:xfrm>
        <a:prstGeom prst="rect">
          <a:avLst/>
        </a:prstGeom>
      </xdr:spPr>
    </xdr:pic>
    <xdr:clientData/>
  </xdr:oneCellAnchor>
  <xdr:oneCellAnchor>
    <xdr:from>
      <xdr:col>16</xdr:col>
      <xdr:colOff>250153</xdr:colOff>
      <xdr:row>8</xdr:row>
      <xdr:rowOff>18571</xdr:rowOff>
    </xdr:from>
    <xdr:ext cx="797359" cy="332587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8370" y="1675093"/>
          <a:ext cx="797359" cy="3325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9"/>
  <sheetViews>
    <sheetView tabSelected="1" zoomScale="107" zoomScaleNormal="107" workbookViewId="0">
      <selection activeCell="B1" sqref="B1:B2"/>
    </sheetView>
  </sheetViews>
  <sheetFormatPr defaultRowHeight="14.4" x14ac:dyDescent="0.3"/>
  <cols>
    <col min="1" max="1" width="2.77734375" style="6" customWidth="1"/>
    <col min="2" max="2" width="11.77734375" customWidth="1"/>
    <col min="3" max="3" width="9.44140625" bestFit="1" customWidth="1"/>
    <col min="6" max="6" width="8.88671875" style="7"/>
    <col min="7" max="7" width="7.88671875" customWidth="1"/>
    <col min="10" max="10" width="8.6640625" customWidth="1"/>
    <col min="19" max="20" width="8.88671875" customWidth="1"/>
  </cols>
  <sheetData>
    <row r="1" spans="2:24" s="6" customFormat="1" ht="15" thickBot="1" x14ac:dyDescent="0.35">
      <c r="B1" s="5" t="s">
        <v>6</v>
      </c>
      <c r="F1" s="7"/>
      <c r="Q1" s="88" t="s">
        <v>139</v>
      </c>
    </row>
    <row r="2" spans="2:24" s="6" customFormat="1" ht="14.4" customHeight="1" x14ac:dyDescent="0.3">
      <c r="B2" s="7" t="s">
        <v>7</v>
      </c>
      <c r="F2" s="7"/>
      <c r="L2" s="65" t="s">
        <v>117</v>
      </c>
      <c r="Q2" s="81" t="s">
        <v>129</v>
      </c>
      <c r="R2" s="70">
        <v>0.19</v>
      </c>
      <c r="S2" s="112" t="s">
        <v>138</v>
      </c>
      <c r="T2" s="105"/>
      <c r="U2" s="106"/>
    </row>
    <row r="3" spans="2:24" ht="15.6" x14ac:dyDescent="0.35">
      <c r="C3" s="6"/>
      <c r="D3" s="6"/>
      <c r="E3" s="6"/>
      <c r="G3" s="6"/>
      <c r="H3" s="6"/>
      <c r="K3" s="91" t="s">
        <v>3</v>
      </c>
      <c r="L3" s="35" t="s">
        <v>43</v>
      </c>
      <c r="M3" s="35" t="s">
        <v>44</v>
      </c>
      <c r="N3" s="35" t="s">
        <v>45</v>
      </c>
      <c r="O3" s="35" t="s">
        <v>46</v>
      </c>
      <c r="Q3" s="84" t="s">
        <v>135</v>
      </c>
      <c r="R3" s="85">
        <f>100^2/(L9^2*R2^2)</f>
        <v>508.99850722060449</v>
      </c>
      <c r="S3" s="103"/>
      <c r="T3" s="107"/>
      <c r="U3" s="108"/>
    </row>
    <row r="4" spans="2:24" x14ac:dyDescent="0.3">
      <c r="C4" s="6"/>
      <c r="D4" s="6"/>
      <c r="E4" s="6"/>
      <c r="F4" s="10" t="s">
        <v>13</v>
      </c>
      <c r="G4" s="18">
        <f>10000/C11</f>
        <v>6.25</v>
      </c>
      <c r="H4" s="6"/>
      <c r="I4" s="6"/>
      <c r="K4" s="91"/>
      <c r="L4" s="37">
        <v>-1.770086</v>
      </c>
      <c r="M4" s="38">
        <v>-0.233239</v>
      </c>
      <c r="N4" s="38">
        <v>0.54879800000000001</v>
      </c>
      <c r="O4" s="38">
        <v>-5.5273999999999997E-2</v>
      </c>
      <c r="P4" s="30"/>
      <c r="Q4" s="86"/>
      <c r="R4" s="87"/>
      <c r="S4" s="103"/>
      <c r="T4" s="107"/>
      <c r="U4" s="108"/>
    </row>
    <row r="5" spans="2:24" ht="15" customHeight="1" thickBot="1" x14ac:dyDescent="0.35">
      <c r="B5" s="6"/>
      <c r="C5" s="6"/>
      <c r="D5" s="6"/>
      <c r="E5" s="6"/>
      <c r="I5" s="6"/>
      <c r="K5" s="15"/>
      <c r="L5" s="32"/>
      <c r="M5" s="33"/>
      <c r="N5" s="33"/>
      <c r="O5" s="33"/>
      <c r="P5" s="30"/>
      <c r="Q5" s="86"/>
      <c r="R5" s="83"/>
      <c r="S5" s="104" t="s">
        <v>136</v>
      </c>
      <c r="T5" s="117"/>
      <c r="U5" s="118"/>
    </row>
    <row r="6" spans="2:24" ht="15" thickBot="1" x14ac:dyDescent="0.35">
      <c r="B6" s="69" t="s">
        <v>21</v>
      </c>
      <c r="C6" s="70" t="s">
        <v>22</v>
      </c>
      <c r="D6" s="6"/>
      <c r="E6" s="6"/>
      <c r="G6" s="10" t="s">
        <v>8</v>
      </c>
      <c r="H6" s="10" t="s">
        <v>24</v>
      </c>
      <c r="K6" s="15"/>
      <c r="L6" s="32"/>
      <c r="M6" s="33"/>
      <c r="N6" s="33"/>
      <c r="O6" s="33"/>
      <c r="P6" s="30"/>
      <c r="Q6" s="97" t="s">
        <v>131</v>
      </c>
      <c r="R6" s="116">
        <f>H7-R3</f>
        <v>-46.498507220604495</v>
      </c>
      <c r="S6" s="110"/>
      <c r="T6" s="119"/>
      <c r="U6" s="111"/>
    </row>
    <row r="7" spans="2:24" ht="14.4" customHeight="1" x14ac:dyDescent="0.3">
      <c r="B7" s="71" t="s">
        <v>25</v>
      </c>
      <c r="C7" s="72">
        <v>35</v>
      </c>
      <c r="D7" s="6"/>
      <c r="E7" s="23" t="s">
        <v>28</v>
      </c>
      <c r="F7" s="10" t="s">
        <v>10</v>
      </c>
      <c r="G7" s="9">
        <f>COUNTIF(G20:G99,0)</f>
        <v>74</v>
      </c>
      <c r="H7" s="29">
        <f>G7*$G$4</f>
        <v>462.5</v>
      </c>
      <c r="I7" s="17" t="s">
        <v>11</v>
      </c>
      <c r="Q7" s="81" t="s">
        <v>129</v>
      </c>
      <c r="R7" s="70">
        <v>0.19</v>
      </c>
      <c r="S7" s="112" t="s">
        <v>137</v>
      </c>
      <c r="T7" s="105"/>
      <c r="U7" s="106"/>
    </row>
    <row r="8" spans="2:24" ht="16.2" thickBot="1" x14ac:dyDescent="0.4">
      <c r="B8" s="71" t="s">
        <v>15</v>
      </c>
      <c r="C8" s="72">
        <v>1</v>
      </c>
      <c r="D8" s="6"/>
      <c r="E8" s="23" t="s">
        <v>29</v>
      </c>
      <c r="F8" s="10" t="s">
        <v>12</v>
      </c>
      <c r="G8" s="9">
        <f>COUNTIF(G20:G99,1)</f>
        <v>6</v>
      </c>
      <c r="H8" s="12">
        <f t="shared" ref="H8:H9" si="0">G8*$G$4</f>
        <v>37.5</v>
      </c>
      <c r="I8" s="17" t="s">
        <v>11</v>
      </c>
      <c r="L8" s="31" t="s">
        <v>24</v>
      </c>
      <c r="Q8" s="84" t="s">
        <v>135</v>
      </c>
      <c r="R8" s="85">
        <f>100^2/(26^2*R7^2)</f>
        <v>409.77560687767379</v>
      </c>
      <c r="S8" s="103"/>
      <c r="T8" s="107"/>
      <c r="U8" s="108"/>
      <c r="X8" s="39"/>
    </row>
    <row r="9" spans="2:24" x14ac:dyDescent="0.3">
      <c r="B9" s="71" t="s">
        <v>18</v>
      </c>
      <c r="C9" s="72" t="s">
        <v>19</v>
      </c>
      <c r="D9" s="6"/>
      <c r="E9" s="23"/>
      <c r="F9" s="10" t="s">
        <v>14</v>
      </c>
      <c r="G9" s="9">
        <f>COUNT(G20:G99)</f>
        <v>80</v>
      </c>
      <c r="H9" s="12">
        <f t="shared" si="0"/>
        <v>500</v>
      </c>
      <c r="I9" s="17" t="s">
        <v>11</v>
      </c>
      <c r="J9" s="23" t="s">
        <v>120</v>
      </c>
      <c r="K9" s="27" t="s">
        <v>38</v>
      </c>
      <c r="L9" s="80">
        <f>AVERAGE(J20:J99)</f>
        <v>23.328571428571429</v>
      </c>
      <c r="M9" s="17" t="s">
        <v>5</v>
      </c>
      <c r="O9" s="81" t="s">
        <v>134</v>
      </c>
      <c r="P9" s="70">
        <v>0.27</v>
      </c>
      <c r="Q9" s="86"/>
      <c r="R9" s="87"/>
      <c r="S9" s="103"/>
      <c r="T9" s="107"/>
      <c r="U9" s="108"/>
    </row>
    <row r="10" spans="2:24" ht="16.2" thickBot="1" x14ac:dyDescent="0.4">
      <c r="B10" s="71" t="s">
        <v>20</v>
      </c>
      <c r="C10" s="72">
        <v>13</v>
      </c>
      <c r="E10" s="23" t="s">
        <v>31</v>
      </c>
      <c r="F10" s="10" t="s">
        <v>16</v>
      </c>
      <c r="G10" s="13">
        <f>SUM(H20:H93)</f>
        <v>3.1713733811494986</v>
      </c>
      <c r="H10" s="13">
        <f>G10*$G$4</f>
        <v>19.821083632184365</v>
      </c>
      <c r="I10" s="17" t="s">
        <v>17</v>
      </c>
      <c r="J10" s="23" t="s">
        <v>119</v>
      </c>
      <c r="K10" s="27" t="s">
        <v>39</v>
      </c>
      <c r="L10" s="64">
        <f>AVERAGE(K20:K99)</f>
        <v>27.87142857142857</v>
      </c>
      <c r="M10" s="17" t="s">
        <v>42</v>
      </c>
      <c r="O10" s="84" t="s">
        <v>135</v>
      </c>
      <c r="P10" s="85">
        <f>100^2/(L9^2*P9^2)</f>
        <v>252.05550220389333</v>
      </c>
      <c r="Q10" s="86"/>
      <c r="R10" s="87"/>
      <c r="S10" s="103"/>
      <c r="T10" s="107"/>
      <c r="U10" s="108"/>
    </row>
    <row r="11" spans="2:24" ht="15" thickBot="1" x14ac:dyDescent="0.35">
      <c r="B11" s="71" t="s">
        <v>23</v>
      </c>
      <c r="C11" s="72">
        <v>1600</v>
      </c>
      <c r="E11" s="23" t="s">
        <v>32</v>
      </c>
      <c r="F11" s="10" t="s">
        <v>30</v>
      </c>
      <c r="G11" s="28">
        <f>100*SQRT((4*G10)/(PI()*G7))</f>
        <v>23.359464775430851</v>
      </c>
      <c r="H11" s="9"/>
      <c r="I11" s="15"/>
      <c r="J11" s="15"/>
      <c r="K11" s="35" t="s">
        <v>49</v>
      </c>
      <c r="L11" s="121">
        <f>L4+M4*L9+N4*H7/1000+O4*G11</f>
        <v>-8.2485706524257374</v>
      </c>
      <c r="M11" s="123"/>
      <c r="N11" s="124"/>
      <c r="O11" s="86"/>
      <c r="P11" s="87"/>
      <c r="Q11" s="114" t="s">
        <v>131</v>
      </c>
      <c r="R11" s="115">
        <f>H7-R8</f>
        <v>52.724393122326205</v>
      </c>
      <c r="S11" s="113"/>
      <c r="T11" s="90"/>
      <c r="U11" s="109"/>
    </row>
    <row r="12" spans="2:24" x14ac:dyDescent="0.3">
      <c r="B12" s="71" t="s">
        <v>26</v>
      </c>
      <c r="C12" s="72">
        <v>30</v>
      </c>
      <c r="F12" s="10" t="s">
        <v>36</v>
      </c>
      <c r="G12" s="13">
        <f>AVERAGE(F20:F93)</f>
        <v>22.909459459459459</v>
      </c>
      <c r="I12" s="57"/>
      <c r="J12" s="57"/>
      <c r="K12" s="67" t="s">
        <v>122</v>
      </c>
      <c r="L12" s="122">
        <f>M14*(L9/M14)^((C10/C15)^N14)</f>
        <v>20.496080132356497</v>
      </c>
      <c r="M12" s="86"/>
      <c r="N12" s="87"/>
      <c r="O12" s="86"/>
      <c r="P12" s="83"/>
    </row>
    <row r="13" spans="2:24" ht="15" thickBot="1" x14ac:dyDescent="0.35">
      <c r="B13" s="73" t="s">
        <v>9</v>
      </c>
      <c r="C13" s="74">
        <f>C11/100</f>
        <v>16</v>
      </c>
      <c r="E13" s="19"/>
      <c r="F13" s="20"/>
      <c r="G13" s="21"/>
      <c r="H13" s="19"/>
      <c r="I13" s="57"/>
      <c r="J13" s="57"/>
      <c r="K13" s="120" t="s">
        <v>123</v>
      </c>
      <c r="L13" s="57"/>
      <c r="M13" s="125" t="s">
        <v>124</v>
      </c>
      <c r="N13" s="126" t="s">
        <v>125</v>
      </c>
      <c r="O13" s="98" t="s">
        <v>131</v>
      </c>
      <c r="P13" s="99">
        <f>H7-P10</f>
        <v>210.44449779610667</v>
      </c>
      <c r="Q13" s="88" t="s">
        <v>133</v>
      </c>
    </row>
    <row r="14" spans="2:24" ht="15" thickBot="1" x14ac:dyDescent="0.35">
      <c r="B14" s="75" t="s">
        <v>126</v>
      </c>
      <c r="C14" s="72" t="s">
        <v>127</v>
      </c>
      <c r="H14" s="8"/>
      <c r="I14" s="57"/>
      <c r="J14" s="57"/>
      <c r="L14" s="57"/>
      <c r="M14" s="127">
        <v>61.1372</v>
      </c>
      <c r="N14" s="128">
        <v>0.48049999999999998</v>
      </c>
      <c r="O14" s="81" t="s">
        <v>130</v>
      </c>
      <c r="P14" s="82">
        <f>100/(L9*SQRT(H7))</f>
        <v>0.19932234444745497</v>
      </c>
    </row>
    <row r="15" spans="2:24" ht="15" thickBot="1" x14ac:dyDescent="0.35">
      <c r="B15" s="76" t="s">
        <v>128</v>
      </c>
      <c r="C15" s="77">
        <v>10</v>
      </c>
      <c r="I15" s="57"/>
      <c r="J15" s="57"/>
      <c r="K15" s="57"/>
      <c r="M15" s="57"/>
      <c r="N15" s="57"/>
      <c r="O15" s="86"/>
      <c r="P15" s="87"/>
    </row>
    <row r="16" spans="2:24" s="6" customFormat="1" ht="15" thickBot="1" x14ac:dyDescent="0.35">
      <c r="B16" s="78"/>
      <c r="C16" s="79"/>
      <c r="F16" s="7"/>
      <c r="I16" s="57"/>
      <c r="J16" s="57"/>
      <c r="K16" s="57"/>
      <c r="O16" s="101"/>
      <c r="P16" s="102"/>
      <c r="Q16" s="100" t="s">
        <v>132</v>
      </c>
    </row>
    <row r="17" spans="2:17" s="6" customFormat="1" x14ac:dyDescent="0.3">
      <c r="B17" s="78"/>
      <c r="C17" s="79"/>
      <c r="F17" s="7"/>
      <c r="I17" s="57"/>
      <c r="J17" s="57"/>
      <c r="K17" s="57"/>
      <c r="L17" s="89" t="s">
        <v>121</v>
      </c>
      <c r="M17" s="89"/>
      <c r="O17" s="32"/>
      <c r="P17" s="32"/>
      <c r="Q17" s="100"/>
    </row>
    <row r="18" spans="2:17" x14ac:dyDescent="0.3">
      <c r="B18" s="92" t="s">
        <v>0</v>
      </c>
      <c r="C18" s="68" t="s">
        <v>4</v>
      </c>
      <c r="D18" s="4" t="s">
        <v>4</v>
      </c>
      <c r="E18" s="4" t="s">
        <v>5</v>
      </c>
      <c r="F18" s="11" t="s">
        <v>33</v>
      </c>
      <c r="G18" s="94" t="s">
        <v>34</v>
      </c>
      <c r="H18" s="58"/>
      <c r="I18" s="66" t="s">
        <v>118</v>
      </c>
      <c r="J18" s="95" t="s">
        <v>40</v>
      </c>
      <c r="K18" s="95" t="s">
        <v>41</v>
      </c>
      <c r="L18" s="60"/>
      <c r="M18" s="62"/>
      <c r="N18" s="57"/>
    </row>
    <row r="19" spans="2:17" x14ac:dyDescent="0.3">
      <c r="B19" s="93"/>
      <c r="C19" s="4" t="s">
        <v>1</v>
      </c>
      <c r="D19" s="4" t="s">
        <v>2</v>
      </c>
      <c r="E19" s="4" t="s">
        <v>3</v>
      </c>
      <c r="F19" s="24" t="s">
        <v>27</v>
      </c>
      <c r="G19" s="94"/>
      <c r="H19" s="59" t="s">
        <v>35</v>
      </c>
      <c r="I19" s="59" t="s">
        <v>37</v>
      </c>
      <c r="J19" s="96"/>
      <c r="K19" s="96"/>
      <c r="L19" s="61" t="s">
        <v>47</v>
      </c>
      <c r="M19" s="63" t="s">
        <v>48</v>
      </c>
      <c r="N19" s="57"/>
    </row>
    <row r="20" spans="2:17" x14ac:dyDescent="0.3">
      <c r="B20" s="3">
        <v>78</v>
      </c>
      <c r="C20" s="2">
        <v>294</v>
      </c>
      <c r="D20" s="2">
        <v>301</v>
      </c>
      <c r="E20" s="2"/>
      <c r="F20" s="9">
        <f>AVERAGE(C20:D20)/10</f>
        <v>29.75</v>
      </c>
      <c r="G20" s="9">
        <f>IF(C20&lt;&gt;"",0,1)</f>
        <v>0</v>
      </c>
      <c r="H20">
        <f>PI()/40000*F20^2</f>
        <v>6.9512646199195408E-2</v>
      </c>
      <c r="I20" s="25">
        <v>1</v>
      </c>
      <c r="J20" t="str">
        <f t="shared" ref="J20:J51" si="1">IF(AND($I20&lt;=$C$13,$E20&lt;&gt;""),E20,"")</f>
        <v/>
      </c>
      <c r="K20" s="6" t="str">
        <f t="shared" ref="K20:K51" si="2">IF(AND($I20&lt;=$C$13,$E20&lt;&gt;""),F20,"")</f>
        <v/>
      </c>
      <c r="L20" s="36">
        <f t="shared" ref="L20:L51" si="3">$L$9*EXP($L$11*(1/F20-1/$L$10))</f>
        <v>23.768632244450625</v>
      </c>
      <c r="M20" s="14">
        <f>IF(E20&lt;&gt;"",E20,L20)</f>
        <v>23.768632244450625</v>
      </c>
    </row>
    <row r="21" spans="2:17" x14ac:dyDescent="0.3">
      <c r="B21" s="1">
        <v>11</v>
      </c>
      <c r="C21" s="2">
        <v>295</v>
      </c>
      <c r="D21" s="2">
        <v>293</v>
      </c>
      <c r="E21" s="2">
        <v>23.5</v>
      </c>
      <c r="F21" s="9">
        <f t="shared" ref="F21:F84" si="4">AVERAGE(C21:D21)/10</f>
        <v>29.4</v>
      </c>
      <c r="G21" s="9">
        <f t="shared" ref="G21:G84" si="5">IF(C21&lt;&gt;"",0,1)</f>
        <v>0</v>
      </c>
      <c r="H21" s="6">
        <f t="shared" ref="H21:H84" si="6">PI()/40000*F21^2</f>
        <v>6.7886675651421827E-2</v>
      </c>
      <c r="I21" s="26">
        <v>2</v>
      </c>
      <c r="J21" s="6">
        <f t="shared" si="1"/>
        <v>23.5</v>
      </c>
      <c r="K21" s="6">
        <f t="shared" si="2"/>
        <v>29.4</v>
      </c>
      <c r="L21" s="36">
        <f t="shared" si="3"/>
        <v>23.690307302369241</v>
      </c>
      <c r="M21" s="22">
        <f t="shared" ref="M21:M84" si="7">IF(E21&lt;&gt;"",E21,L21)</f>
        <v>23.5</v>
      </c>
    </row>
    <row r="22" spans="2:17" x14ac:dyDescent="0.3">
      <c r="B22" s="3">
        <v>66</v>
      </c>
      <c r="C22" s="2">
        <v>290</v>
      </c>
      <c r="D22" s="2">
        <v>289</v>
      </c>
      <c r="E22" s="2"/>
      <c r="F22" s="9">
        <f t="shared" si="4"/>
        <v>28.95</v>
      </c>
      <c r="G22" s="9">
        <f t="shared" si="5"/>
        <v>0</v>
      </c>
      <c r="H22" s="6">
        <f t="shared" si="6"/>
        <v>6.5824416423880983E-2</v>
      </c>
      <c r="I22" s="25">
        <v>3</v>
      </c>
      <c r="J22" s="6" t="str">
        <f t="shared" si="1"/>
        <v/>
      </c>
      <c r="K22" s="6" t="str">
        <f t="shared" si="2"/>
        <v/>
      </c>
      <c r="L22" s="36">
        <f t="shared" si="3"/>
        <v>23.587216634507094</v>
      </c>
      <c r="M22" s="14">
        <f t="shared" si="7"/>
        <v>23.587216634507094</v>
      </c>
    </row>
    <row r="23" spans="2:17" x14ac:dyDescent="0.3">
      <c r="B23" s="3">
        <v>53</v>
      </c>
      <c r="C23" s="2">
        <v>292</v>
      </c>
      <c r="D23" s="2">
        <v>283</v>
      </c>
      <c r="E23" s="2"/>
      <c r="F23" s="9">
        <f t="shared" si="4"/>
        <v>28.75</v>
      </c>
      <c r="G23" s="9">
        <f t="shared" si="5"/>
        <v>0</v>
      </c>
      <c r="H23" s="6">
        <f t="shared" si="6"/>
        <v>6.4918066943320335E-2</v>
      </c>
      <c r="I23" s="25">
        <v>4</v>
      </c>
      <c r="J23" s="6" t="str">
        <f t="shared" si="1"/>
        <v/>
      </c>
      <c r="K23" s="6" t="str">
        <f t="shared" si="2"/>
        <v/>
      </c>
      <c r="L23" s="36">
        <f t="shared" si="3"/>
        <v>23.540511068463267</v>
      </c>
      <c r="M23" s="14">
        <f t="shared" si="7"/>
        <v>23.540511068463267</v>
      </c>
    </row>
    <row r="24" spans="2:17" x14ac:dyDescent="0.3">
      <c r="B24" s="3">
        <v>71</v>
      </c>
      <c r="C24" s="2">
        <v>284</v>
      </c>
      <c r="D24" s="2">
        <v>289</v>
      </c>
      <c r="E24" s="2">
        <v>25.5</v>
      </c>
      <c r="F24" s="9">
        <f t="shared" si="4"/>
        <v>28.65</v>
      </c>
      <c r="G24" s="9">
        <f t="shared" si="5"/>
        <v>0</v>
      </c>
      <c r="H24" s="6">
        <f t="shared" si="6"/>
        <v>6.4467248397530194E-2</v>
      </c>
      <c r="I24" s="26">
        <v>5</v>
      </c>
      <c r="J24" s="6">
        <f t="shared" si="1"/>
        <v>25.5</v>
      </c>
      <c r="K24" s="6">
        <f t="shared" si="2"/>
        <v>28.65</v>
      </c>
      <c r="L24" s="36">
        <f t="shared" si="3"/>
        <v>23.516948931664032</v>
      </c>
      <c r="M24" s="22">
        <f t="shared" si="7"/>
        <v>25.5</v>
      </c>
    </row>
    <row r="25" spans="2:17" x14ac:dyDescent="0.3">
      <c r="B25" s="3">
        <v>41</v>
      </c>
      <c r="C25" s="2">
        <v>281</v>
      </c>
      <c r="D25" s="2">
        <v>289</v>
      </c>
      <c r="E25" s="2"/>
      <c r="F25" s="9">
        <f t="shared" si="4"/>
        <v>28.5</v>
      </c>
      <c r="G25" s="9">
        <f t="shared" si="5"/>
        <v>0</v>
      </c>
      <c r="H25" s="6">
        <f t="shared" si="6"/>
        <v>6.3793965821957732E-2</v>
      </c>
      <c r="I25" s="25">
        <v>6</v>
      </c>
      <c r="J25" s="6" t="str">
        <f t="shared" si="1"/>
        <v/>
      </c>
      <c r="K25" s="6" t="str">
        <f t="shared" si="2"/>
        <v/>
      </c>
      <c r="L25" s="36">
        <f t="shared" si="3"/>
        <v>23.481340532930407</v>
      </c>
      <c r="M25" s="14">
        <f t="shared" si="7"/>
        <v>23.481340532930407</v>
      </c>
    </row>
    <row r="26" spans="2:17" x14ac:dyDescent="0.3">
      <c r="B26" s="1">
        <v>16</v>
      </c>
      <c r="C26" s="2">
        <v>278</v>
      </c>
      <c r="D26" s="2">
        <v>289</v>
      </c>
      <c r="E26" s="2"/>
      <c r="F26" s="9">
        <f t="shared" si="4"/>
        <v>28.35</v>
      </c>
      <c r="G26" s="9">
        <f t="shared" si="5"/>
        <v>0</v>
      </c>
      <c r="H26" s="6">
        <f t="shared" si="6"/>
        <v>6.3124217538120572E-2</v>
      </c>
      <c r="I26" s="25">
        <v>7</v>
      </c>
      <c r="J26" s="6" t="str">
        <f t="shared" si="1"/>
        <v/>
      </c>
      <c r="K26" s="6" t="str">
        <f t="shared" si="2"/>
        <v/>
      </c>
      <c r="L26" s="36">
        <f t="shared" si="3"/>
        <v>23.445410101068209</v>
      </c>
      <c r="M26" s="6">
        <f t="shared" si="7"/>
        <v>23.445410101068209</v>
      </c>
    </row>
    <row r="27" spans="2:17" x14ac:dyDescent="0.3">
      <c r="B27" s="3">
        <v>58</v>
      </c>
      <c r="C27" s="2">
        <v>288</v>
      </c>
      <c r="D27" s="2">
        <v>275</v>
      </c>
      <c r="E27" s="2">
        <v>23.5</v>
      </c>
      <c r="F27" s="9">
        <f t="shared" si="4"/>
        <v>28.15</v>
      </c>
      <c r="G27" s="9">
        <f t="shared" si="5"/>
        <v>0</v>
      </c>
      <c r="H27" s="6">
        <f t="shared" si="6"/>
        <v>6.2236717613481436E-2</v>
      </c>
      <c r="I27" s="25">
        <v>8</v>
      </c>
      <c r="J27" s="6">
        <f t="shared" si="1"/>
        <v>23.5</v>
      </c>
      <c r="K27" s="6">
        <f t="shared" si="2"/>
        <v>28.15</v>
      </c>
      <c r="L27" s="36">
        <f t="shared" si="3"/>
        <v>23.396994395907015</v>
      </c>
      <c r="M27" s="22">
        <f t="shared" si="7"/>
        <v>23.5</v>
      </c>
    </row>
    <row r="28" spans="2:17" x14ac:dyDescent="0.3">
      <c r="B28" s="3">
        <v>62</v>
      </c>
      <c r="C28" s="2">
        <v>284</v>
      </c>
      <c r="D28" s="2">
        <v>279</v>
      </c>
      <c r="E28" s="2"/>
      <c r="F28" s="9">
        <f t="shared" si="4"/>
        <v>28.15</v>
      </c>
      <c r="G28" s="9">
        <f t="shared" si="5"/>
        <v>0</v>
      </c>
      <c r="H28" s="6">
        <f t="shared" si="6"/>
        <v>6.2236717613481436E-2</v>
      </c>
      <c r="I28" s="25">
        <v>9</v>
      </c>
      <c r="J28" s="6" t="str">
        <f t="shared" si="1"/>
        <v/>
      </c>
      <c r="K28" s="6" t="str">
        <f t="shared" si="2"/>
        <v/>
      </c>
      <c r="L28" s="36">
        <f t="shared" si="3"/>
        <v>23.396994395907015</v>
      </c>
      <c r="M28" s="6">
        <f t="shared" si="7"/>
        <v>23.396994395907015</v>
      </c>
    </row>
    <row r="29" spans="2:17" x14ac:dyDescent="0.3">
      <c r="B29" s="3">
        <v>64</v>
      </c>
      <c r="C29" s="2">
        <v>285</v>
      </c>
      <c r="D29" s="2">
        <v>275</v>
      </c>
      <c r="E29" s="2">
        <v>23.3</v>
      </c>
      <c r="F29" s="9">
        <f t="shared" si="4"/>
        <v>28</v>
      </c>
      <c r="G29" s="9">
        <f t="shared" si="5"/>
        <v>0</v>
      </c>
      <c r="H29" s="6">
        <f t="shared" si="6"/>
        <v>6.1575216010359944E-2</v>
      </c>
      <c r="I29" s="25">
        <v>10</v>
      </c>
      <c r="J29" s="6">
        <f t="shared" si="1"/>
        <v>23.3</v>
      </c>
      <c r="K29" s="6">
        <f t="shared" si="2"/>
        <v>28</v>
      </c>
      <c r="L29" s="36">
        <f t="shared" si="3"/>
        <v>23.360295519018411</v>
      </c>
      <c r="M29" s="22">
        <f t="shared" si="7"/>
        <v>23.3</v>
      </c>
    </row>
    <row r="30" spans="2:17" x14ac:dyDescent="0.3">
      <c r="B30" s="1">
        <v>2</v>
      </c>
      <c r="C30" s="2">
        <v>272</v>
      </c>
      <c r="D30" s="2">
        <v>272</v>
      </c>
      <c r="E30" s="2"/>
      <c r="F30" s="9">
        <f t="shared" si="4"/>
        <v>27.2</v>
      </c>
      <c r="G30" s="9">
        <f t="shared" si="5"/>
        <v>0</v>
      </c>
      <c r="H30" s="6">
        <f t="shared" si="6"/>
        <v>5.8106897720796809E-2</v>
      </c>
      <c r="I30" s="25">
        <v>11</v>
      </c>
      <c r="J30" s="6" t="str">
        <f t="shared" si="1"/>
        <v/>
      </c>
      <c r="K30" s="6" t="str">
        <f t="shared" si="2"/>
        <v/>
      </c>
      <c r="L30" s="36">
        <f t="shared" si="3"/>
        <v>23.158765392926803</v>
      </c>
      <c r="M30" s="6">
        <f t="shared" si="7"/>
        <v>23.158765392926803</v>
      </c>
    </row>
    <row r="31" spans="2:17" x14ac:dyDescent="0.3">
      <c r="B31" s="3">
        <v>67</v>
      </c>
      <c r="C31" s="2">
        <v>270</v>
      </c>
      <c r="D31" s="2">
        <v>274</v>
      </c>
      <c r="E31" s="2"/>
      <c r="F31" s="9">
        <f t="shared" si="4"/>
        <v>27.2</v>
      </c>
      <c r="G31" s="9">
        <f t="shared" si="5"/>
        <v>0</v>
      </c>
      <c r="H31" s="6">
        <f t="shared" si="6"/>
        <v>5.8106897720796809E-2</v>
      </c>
      <c r="I31" s="25">
        <v>12</v>
      </c>
      <c r="J31" s="6" t="str">
        <f t="shared" si="1"/>
        <v/>
      </c>
      <c r="K31" s="6" t="str">
        <f t="shared" si="2"/>
        <v/>
      </c>
      <c r="L31" s="36">
        <f t="shared" si="3"/>
        <v>23.158765392926803</v>
      </c>
      <c r="M31" s="6">
        <f t="shared" si="7"/>
        <v>23.158765392926803</v>
      </c>
    </row>
    <row r="32" spans="2:17" x14ac:dyDescent="0.3">
      <c r="B32" s="3">
        <v>73</v>
      </c>
      <c r="C32" s="2">
        <v>269</v>
      </c>
      <c r="D32" s="2">
        <v>273</v>
      </c>
      <c r="E32" s="2">
        <v>22.5</v>
      </c>
      <c r="F32" s="9">
        <f t="shared" si="4"/>
        <v>27.1</v>
      </c>
      <c r="G32" s="9">
        <f t="shared" si="5"/>
        <v>0</v>
      </c>
      <c r="H32" s="6">
        <f t="shared" si="6"/>
        <v>5.7680426518072002E-2</v>
      </c>
      <c r="I32" s="25">
        <v>13</v>
      </c>
      <c r="J32" s="6">
        <f t="shared" si="1"/>
        <v>22.5</v>
      </c>
      <c r="K32" s="6">
        <f t="shared" si="2"/>
        <v>27.1</v>
      </c>
      <c r="L32" s="36">
        <f t="shared" si="3"/>
        <v>23.132864607381176</v>
      </c>
      <c r="M32" s="6">
        <f t="shared" si="7"/>
        <v>22.5</v>
      </c>
    </row>
    <row r="33" spans="2:13" x14ac:dyDescent="0.3">
      <c r="B33" s="1">
        <v>31</v>
      </c>
      <c r="C33" s="2">
        <v>260</v>
      </c>
      <c r="D33" s="2">
        <v>278</v>
      </c>
      <c r="E33" s="2">
        <v>23</v>
      </c>
      <c r="F33" s="9">
        <f t="shared" si="4"/>
        <v>26.9</v>
      </c>
      <c r="G33" s="9">
        <f t="shared" si="5"/>
        <v>0</v>
      </c>
      <c r="H33" s="6">
        <f t="shared" si="6"/>
        <v>5.6832196501602747E-2</v>
      </c>
      <c r="I33" s="25">
        <v>14</v>
      </c>
      <c r="J33" s="6">
        <f t="shared" si="1"/>
        <v>23</v>
      </c>
      <c r="K33" s="6">
        <f t="shared" si="2"/>
        <v>26.9</v>
      </c>
      <c r="L33" s="36">
        <f t="shared" si="3"/>
        <v>23.080573814745566</v>
      </c>
      <c r="M33" s="6">
        <f t="shared" si="7"/>
        <v>23</v>
      </c>
    </row>
    <row r="34" spans="2:13" x14ac:dyDescent="0.3">
      <c r="B34" s="3">
        <v>52</v>
      </c>
      <c r="C34" s="2">
        <v>266</v>
      </c>
      <c r="D34" s="2">
        <v>272</v>
      </c>
      <c r="E34" s="2">
        <v>22</v>
      </c>
      <c r="F34" s="9">
        <f t="shared" si="4"/>
        <v>26.9</v>
      </c>
      <c r="G34" s="9">
        <f t="shared" si="5"/>
        <v>0</v>
      </c>
      <c r="H34" s="6">
        <f t="shared" si="6"/>
        <v>5.6832196501602747E-2</v>
      </c>
      <c r="I34" s="25">
        <v>15</v>
      </c>
      <c r="J34" s="6">
        <f t="shared" si="1"/>
        <v>22</v>
      </c>
      <c r="K34" s="6">
        <f t="shared" si="2"/>
        <v>26.9</v>
      </c>
      <c r="L34" s="36">
        <f t="shared" si="3"/>
        <v>23.080573814745566</v>
      </c>
      <c r="M34" s="6">
        <f t="shared" si="7"/>
        <v>22</v>
      </c>
    </row>
    <row r="35" spans="2:13" x14ac:dyDescent="0.3">
      <c r="B35" s="1">
        <v>6</v>
      </c>
      <c r="C35" s="2">
        <v>272</v>
      </c>
      <c r="D35" s="2">
        <v>265</v>
      </c>
      <c r="E35" s="2"/>
      <c r="F35" s="9">
        <f t="shared" si="4"/>
        <v>26.85</v>
      </c>
      <c r="G35" s="9">
        <f t="shared" si="5"/>
        <v>0</v>
      </c>
      <c r="H35" s="6">
        <f t="shared" si="6"/>
        <v>5.6621120745189699E-2</v>
      </c>
      <c r="I35" s="25">
        <v>16</v>
      </c>
      <c r="J35" s="6" t="str">
        <f t="shared" si="1"/>
        <v/>
      </c>
      <c r="K35" s="6" t="str">
        <f t="shared" si="2"/>
        <v/>
      </c>
      <c r="L35" s="36">
        <f t="shared" si="3"/>
        <v>23.067398082973941</v>
      </c>
      <c r="M35" s="6">
        <f t="shared" si="7"/>
        <v>23.067398082973941</v>
      </c>
    </row>
    <row r="36" spans="2:13" x14ac:dyDescent="0.3">
      <c r="B36" s="3">
        <v>55</v>
      </c>
      <c r="C36" s="2">
        <v>273</v>
      </c>
      <c r="D36" s="2">
        <v>257</v>
      </c>
      <c r="E36" s="2"/>
      <c r="F36" s="9">
        <f t="shared" si="4"/>
        <v>26.5</v>
      </c>
      <c r="G36" s="9">
        <f t="shared" si="5"/>
        <v>0</v>
      </c>
      <c r="H36" s="6">
        <f t="shared" si="6"/>
        <v>5.5154586024585804E-2</v>
      </c>
      <c r="I36" s="7">
        <v>17</v>
      </c>
      <c r="J36" s="6" t="str">
        <f t="shared" si="1"/>
        <v/>
      </c>
      <c r="K36" s="6" t="str">
        <f t="shared" si="2"/>
        <v/>
      </c>
      <c r="L36" s="36">
        <f t="shared" si="3"/>
        <v>22.97399215994561</v>
      </c>
      <c r="M36" s="6">
        <f t="shared" si="7"/>
        <v>22.97399215994561</v>
      </c>
    </row>
    <row r="37" spans="2:13" x14ac:dyDescent="0.3">
      <c r="B37" s="1">
        <v>8</v>
      </c>
      <c r="C37" s="2">
        <v>262</v>
      </c>
      <c r="D37" s="2">
        <v>267</v>
      </c>
      <c r="E37" s="2">
        <v>23</v>
      </c>
      <c r="F37" s="9">
        <f t="shared" si="4"/>
        <v>26.45</v>
      </c>
      <c r="G37" s="9">
        <f t="shared" si="5"/>
        <v>0</v>
      </c>
      <c r="H37" s="6">
        <f t="shared" si="6"/>
        <v>5.4946651860826326E-2</v>
      </c>
      <c r="I37" s="7">
        <v>18</v>
      </c>
      <c r="J37" s="6" t="str">
        <f t="shared" si="1"/>
        <v/>
      </c>
      <c r="K37" s="6" t="str">
        <f t="shared" si="2"/>
        <v/>
      </c>
      <c r="L37" s="36">
        <f t="shared" si="3"/>
        <v>22.960478099511711</v>
      </c>
      <c r="M37" s="6">
        <f t="shared" si="7"/>
        <v>23</v>
      </c>
    </row>
    <row r="38" spans="2:13" x14ac:dyDescent="0.3">
      <c r="B38" s="3">
        <v>45</v>
      </c>
      <c r="C38" s="2">
        <v>258</v>
      </c>
      <c r="D38" s="2">
        <v>259</v>
      </c>
      <c r="E38" s="2"/>
      <c r="F38" s="9">
        <f t="shared" si="4"/>
        <v>25.85</v>
      </c>
      <c r="G38" s="9">
        <f t="shared" si="5"/>
        <v>0</v>
      </c>
      <c r="H38" s="6">
        <f t="shared" si="6"/>
        <v>5.2482072424085147E-2</v>
      </c>
      <c r="I38" s="7">
        <v>19</v>
      </c>
      <c r="J38" s="6" t="str">
        <f t="shared" si="1"/>
        <v/>
      </c>
      <c r="K38" s="6" t="str">
        <f t="shared" si="2"/>
        <v/>
      </c>
      <c r="L38" s="36">
        <f t="shared" si="3"/>
        <v>22.794880591270513</v>
      </c>
      <c r="M38" s="6">
        <f t="shared" si="7"/>
        <v>22.794880591270513</v>
      </c>
    </row>
    <row r="39" spans="2:13" x14ac:dyDescent="0.3">
      <c r="B39" s="1">
        <v>5</v>
      </c>
      <c r="C39" s="2">
        <v>267</v>
      </c>
      <c r="D39" s="2">
        <v>249</v>
      </c>
      <c r="E39" s="2"/>
      <c r="F39" s="9">
        <f t="shared" si="4"/>
        <v>25.8</v>
      </c>
      <c r="G39" s="9">
        <f t="shared" si="5"/>
        <v>0</v>
      </c>
      <c r="H39" s="6">
        <f t="shared" si="6"/>
        <v>5.2279243348387745E-2</v>
      </c>
      <c r="I39" s="7">
        <v>20</v>
      </c>
      <c r="J39" s="6" t="str">
        <f t="shared" si="1"/>
        <v/>
      </c>
      <c r="K39" s="6" t="str">
        <f t="shared" si="2"/>
        <v/>
      </c>
      <c r="L39" s="36">
        <f t="shared" si="3"/>
        <v>22.780788628260581</v>
      </c>
      <c r="M39" s="6">
        <f t="shared" si="7"/>
        <v>22.780788628260581</v>
      </c>
    </row>
    <row r="40" spans="2:13" x14ac:dyDescent="0.3">
      <c r="B40" s="3">
        <v>60</v>
      </c>
      <c r="C40" s="2">
        <v>257</v>
      </c>
      <c r="D40" s="2">
        <v>254</v>
      </c>
      <c r="E40" s="2"/>
      <c r="F40" s="9">
        <f t="shared" si="4"/>
        <v>25.55</v>
      </c>
      <c r="G40" s="9">
        <f t="shared" si="5"/>
        <v>0</v>
      </c>
      <c r="H40" s="6">
        <f t="shared" si="6"/>
        <v>5.1270988456126272E-2</v>
      </c>
      <c r="I40" s="7">
        <v>21</v>
      </c>
      <c r="J40" s="6" t="str">
        <f t="shared" si="1"/>
        <v/>
      </c>
      <c r="K40" s="6" t="str">
        <f t="shared" si="2"/>
        <v/>
      </c>
      <c r="L40" s="36">
        <f t="shared" si="3"/>
        <v>22.709634889129287</v>
      </c>
      <c r="M40" s="6">
        <f t="shared" si="7"/>
        <v>22.709634889129287</v>
      </c>
    </row>
    <row r="41" spans="2:13" x14ac:dyDescent="0.3">
      <c r="B41" s="1">
        <v>19</v>
      </c>
      <c r="C41" s="2">
        <v>253</v>
      </c>
      <c r="D41" s="2">
        <v>251</v>
      </c>
      <c r="E41" s="2"/>
      <c r="F41" s="9">
        <f t="shared" si="4"/>
        <v>25.2</v>
      </c>
      <c r="G41" s="9">
        <f t="shared" si="5"/>
        <v>0</v>
      </c>
      <c r="H41" s="6">
        <f t="shared" si="6"/>
        <v>4.987592496839155E-2</v>
      </c>
      <c r="I41" s="7">
        <v>22</v>
      </c>
      <c r="J41" s="6" t="str">
        <f t="shared" si="1"/>
        <v/>
      </c>
      <c r="K41" s="6" t="str">
        <f t="shared" si="2"/>
        <v/>
      </c>
      <c r="L41" s="36">
        <f t="shared" si="3"/>
        <v>22.608035253966829</v>
      </c>
      <c r="M41" s="6">
        <f t="shared" si="7"/>
        <v>22.608035253966829</v>
      </c>
    </row>
    <row r="42" spans="2:13" x14ac:dyDescent="0.3">
      <c r="B42" s="3">
        <v>46</v>
      </c>
      <c r="C42" s="2">
        <v>246</v>
      </c>
      <c r="D42" s="2">
        <v>258</v>
      </c>
      <c r="E42" s="2"/>
      <c r="F42" s="9">
        <f t="shared" si="4"/>
        <v>25.2</v>
      </c>
      <c r="G42" s="9">
        <f t="shared" si="5"/>
        <v>0</v>
      </c>
      <c r="H42" s="6">
        <f t="shared" si="6"/>
        <v>4.987592496839155E-2</v>
      </c>
      <c r="I42" s="7">
        <v>23</v>
      </c>
      <c r="J42" s="6" t="str">
        <f t="shared" si="1"/>
        <v/>
      </c>
      <c r="K42" s="6" t="str">
        <f t="shared" si="2"/>
        <v/>
      </c>
      <c r="L42" s="36">
        <f t="shared" si="3"/>
        <v>22.608035253966829</v>
      </c>
      <c r="M42" s="6">
        <f t="shared" si="7"/>
        <v>22.608035253966829</v>
      </c>
    </row>
    <row r="43" spans="2:13" x14ac:dyDescent="0.3">
      <c r="B43" s="1">
        <v>15</v>
      </c>
      <c r="C43" s="2">
        <v>246</v>
      </c>
      <c r="D43" s="2">
        <v>254</v>
      </c>
      <c r="E43" s="2"/>
      <c r="F43" s="9">
        <f t="shared" si="4"/>
        <v>25</v>
      </c>
      <c r="G43" s="9">
        <f t="shared" si="5"/>
        <v>0</v>
      </c>
      <c r="H43" s="6">
        <f t="shared" si="6"/>
        <v>4.9087385212340517E-2</v>
      </c>
      <c r="I43" s="7">
        <v>24</v>
      </c>
      <c r="J43" s="6" t="str">
        <f t="shared" si="1"/>
        <v/>
      </c>
      <c r="K43" s="6" t="str">
        <f t="shared" si="2"/>
        <v/>
      </c>
      <c r="L43" s="36">
        <f t="shared" si="3"/>
        <v>22.548911436128936</v>
      </c>
      <c r="M43" s="6">
        <f t="shared" si="7"/>
        <v>22.548911436128936</v>
      </c>
    </row>
    <row r="44" spans="2:13" x14ac:dyDescent="0.3">
      <c r="B44" s="1">
        <v>39</v>
      </c>
      <c r="C44" s="2">
        <v>247</v>
      </c>
      <c r="D44" s="2">
        <v>251</v>
      </c>
      <c r="E44" s="2">
        <v>22</v>
      </c>
      <c r="F44" s="9">
        <f t="shared" si="4"/>
        <v>24.9</v>
      </c>
      <c r="G44" s="9">
        <f t="shared" si="5"/>
        <v>0</v>
      </c>
      <c r="H44" s="6">
        <f t="shared" si="6"/>
        <v>4.8695471528805177E-2</v>
      </c>
      <c r="I44" s="7">
        <v>25</v>
      </c>
      <c r="J44" s="6" t="str">
        <f t="shared" si="1"/>
        <v/>
      </c>
      <c r="K44" s="6" t="str">
        <f t="shared" si="2"/>
        <v/>
      </c>
      <c r="L44" s="36">
        <f t="shared" si="3"/>
        <v>22.519052301297126</v>
      </c>
      <c r="M44" s="6">
        <f t="shared" si="7"/>
        <v>22</v>
      </c>
    </row>
    <row r="45" spans="2:13" x14ac:dyDescent="0.3">
      <c r="B45" s="1">
        <v>7</v>
      </c>
      <c r="C45" s="2">
        <v>254</v>
      </c>
      <c r="D45" s="2">
        <v>241</v>
      </c>
      <c r="E45" s="2"/>
      <c r="F45" s="9">
        <f t="shared" si="4"/>
        <v>24.75</v>
      </c>
      <c r="G45" s="9">
        <f t="shared" si="5"/>
        <v>0</v>
      </c>
      <c r="H45" s="6">
        <f t="shared" si="6"/>
        <v>4.8110546246614941E-2</v>
      </c>
      <c r="I45" s="7">
        <v>26</v>
      </c>
      <c r="J45" s="6" t="str">
        <f t="shared" si="1"/>
        <v/>
      </c>
      <c r="K45" s="6" t="str">
        <f t="shared" si="2"/>
        <v/>
      </c>
      <c r="L45" s="36">
        <f t="shared" si="3"/>
        <v>22.473886509648008</v>
      </c>
      <c r="M45" s="6">
        <f t="shared" si="7"/>
        <v>22.473886509648008</v>
      </c>
    </row>
    <row r="46" spans="2:13" x14ac:dyDescent="0.3">
      <c r="B46" s="3">
        <v>44</v>
      </c>
      <c r="C46" s="2">
        <v>248</v>
      </c>
      <c r="D46" s="2">
        <v>247</v>
      </c>
      <c r="E46" s="2"/>
      <c r="F46" s="9">
        <f t="shared" si="4"/>
        <v>24.75</v>
      </c>
      <c r="G46" s="9">
        <f t="shared" si="5"/>
        <v>0</v>
      </c>
      <c r="H46" s="6">
        <f t="shared" si="6"/>
        <v>4.8110546246614941E-2</v>
      </c>
      <c r="I46" s="7">
        <v>27</v>
      </c>
      <c r="J46" s="6" t="str">
        <f t="shared" si="1"/>
        <v/>
      </c>
      <c r="K46" s="6" t="str">
        <f t="shared" si="2"/>
        <v/>
      </c>
      <c r="L46" s="36">
        <f t="shared" si="3"/>
        <v>22.473886509648008</v>
      </c>
      <c r="M46" s="6">
        <f t="shared" si="7"/>
        <v>22.473886509648008</v>
      </c>
    </row>
    <row r="47" spans="2:13" x14ac:dyDescent="0.3">
      <c r="B47" s="1">
        <v>18</v>
      </c>
      <c r="C47" s="2">
        <v>249</v>
      </c>
      <c r="D47" s="2">
        <v>245</v>
      </c>
      <c r="E47" s="2"/>
      <c r="F47" s="9">
        <f t="shared" si="4"/>
        <v>24.7</v>
      </c>
      <c r="G47" s="9">
        <f t="shared" si="5"/>
        <v>0</v>
      </c>
      <c r="H47" s="6">
        <f t="shared" si="6"/>
        <v>4.7916356550714918E-2</v>
      </c>
      <c r="I47" s="7">
        <v>28</v>
      </c>
      <c r="J47" s="6" t="str">
        <f t="shared" si="1"/>
        <v/>
      </c>
      <c r="K47" s="6" t="str">
        <f t="shared" si="2"/>
        <v/>
      </c>
      <c r="L47" s="36">
        <f t="shared" si="3"/>
        <v>22.458729684505155</v>
      </c>
      <c r="M47" s="6">
        <f t="shared" si="7"/>
        <v>22.458729684505155</v>
      </c>
    </row>
    <row r="48" spans="2:13" x14ac:dyDescent="0.3">
      <c r="B48" s="1">
        <v>30</v>
      </c>
      <c r="C48" s="2">
        <v>239</v>
      </c>
      <c r="D48" s="2">
        <v>251</v>
      </c>
      <c r="E48" s="2"/>
      <c r="F48" s="9">
        <f t="shared" si="4"/>
        <v>24.5</v>
      </c>
      <c r="G48" s="9">
        <f t="shared" si="5"/>
        <v>0</v>
      </c>
      <c r="H48" s="6">
        <f t="shared" si="6"/>
        <v>4.7143524757931835E-2</v>
      </c>
      <c r="I48" s="7">
        <v>29</v>
      </c>
      <c r="J48" s="6" t="str">
        <f t="shared" si="1"/>
        <v/>
      </c>
      <c r="K48" s="6" t="str">
        <f t="shared" si="2"/>
        <v/>
      </c>
      <c r="L48" s="36">
        <f t="shared" si="3"/>
        <v>22.397587773472537</v>
      </c>
      <c r="M48" s="6">
        <f t="shared" si="7"/>
        <v>22.397587773472537</v>
      </c>
    </row>
    <row r="49" spans="2:13" x14ac:dyDescent="0.3">
      <c r="B49" s="3">
        <v>80</v>
      </c>
      <c r="C49" s="2">
        <v>245</v>
      </c>
      <c r="D49" s="2">
        <v>242</v>
      </c>
      <c r="E49" s="2">
        <v>22</v>
      </c>
      <c r="F49" s="9">
        <f t="shared" si="4"/>
        <v>24.35</v>
      </c>
      <c r="G49" s="9">
        <f t="shared" si="5"/>
        <v>0</v>
      </c>
      <c r="H49" s="6">
        <f t="shared" si="6"/>
        <v>4.656802425370235E-2</v>
      </c>
      <c r="I49" s="7">
        <v>30</v>
      </c>
      <c r="J49" s="6" t="str">
        <f t="shared" si="1"/>
        <v/>
      </c>
      <c r="K49" s="6" t="str">
        <f t="shared" si="2"/>
        <v/>
      </c>
      <c r="L49" s="36">
        <f t="shared" si="3"/>
        <v>22.351183724819276</v>
      </c>
      <c r="M49" s="6">
        <f t="shared" si="7"/>
        <v>22</v>
      </c>
    </row>
    <row r="50" spans="2:13" x14ac:dyDescent="0.3">
      <c r="B50" s="1">
        <v>35</v>
      </c>
      <c r="C50" s="2">
        <v>241</v>
      </c>
      <c r="D50" s="2">
        <v>244</v>
      </c>
      <c r="E50" s="2"/>
      <c r="F50" s="9">
        <f t="shared" si="4"/>
        <v>24.25</v>
      </c>
      <c r="G50" s="9">
        <f t="shared" si="5"/>
        <v>0</v>
      </c>
      <c r="H50" s="6">
        <f t="shared" si="6"/>
        <v>4.6186320746291191E-2</v>
      </c>
      <c r="I50" s="7">
        <v>31</v>
      </c>
      <c r="J50" s="6" t="str">
        <f t="shared" si="1"/>
        <v/>
      </c>
      <c r="K50" s="6" t="str">
        <f t="shared" si="2"/>
        <v/>
      </c>
      <c r="L50" s="36">
        <f t="shared" si="3"/>
        <v>22.319982961499139</v>
      </c>
      <c r="M50" s="6">
        <f t="shared" si="7"/>
        <v>22.319982961499139</v>
      </c>
    </row>
    <row r="51" spans="2:13" x14ac:dyDescent="0.3">
      <c r="B51" s="3">
        <v>49</v>
      </c>
      <c r="C51" s="2">
        <v>249</v>
      </c>
      <c r="D51" s="2">
        <v>236</v>
      </c>
      <c r="E51" s="2"/>
      <c r="F51" s="9">
        <f t="shared" si="4"/>
        <v>24.25</v>
      </c>
      <c r="G51" s="9">
        <f t="shared" si="5"/>
        <v>0</v>
      </c>
      <c r="H51" s="6">
        <f t="shared" si="6"/>
        <v>4.6186320746291191E-2</v>
      </c>
      <c r="I51" s="7">
        <v>32</v>
      </c>
      <c r="J51" s="6" t="str">
        <f t="shared" si="1"/>
        <v/>
      </c>
      <c r="K51" s="6" t="str">
        <f t="shared" si="2"/>
        <v/>
      </c>
      <c r="L51" s="36">
        <f t="shared" si="3"/>
        <v>22.319982961499139</v>
      </c>
      <c r="M51" s="6">
        <f t="shared" si="7"/>
        <v>22.319982961499139</v>
      </c>
    </row>
    <row r="52" spans="2:13" x14ac:dyDescent="0.3">
      <c r="B52" s="3">
        <v>74</v>
      </c>
      <c r="C52" s="2">
        <v>244</v>
      </c>
      <c r="D52" s="2">
        <v>236</v>
      </c>
      <c r="E52" s="2"/>
      <c r="F52" s="9">
        <f t="shared" si="4"/>
        <v>24</v>
      </c>
      <c r="G52" s="9">
        <f t="shared" si="5"/>
        <v>0</v>
      </c>
      <c r="H52" s="6">
        <f t="shared" si="6"/>
        <v>4.5238934211693019E-2</v>
      </c>
      <c r="I52" s="7">
        <v>33</v>
      </c>
      <c r="J52" s="6" t="str">
        <f t="shared" ref="J52:J83" si="8">IF(AND($I52&lt;=$C$13,$E52&lt;&gt;""),E52,"")</f>
        <v/>
      </c>
      <c r="K52" s="6" t="str">
        <f t="shared" ref="K52:K83" si="9">IF(AND($I52&lt;=$C$13,$E52&lt;&gt;""),F52,"")</f>
        <v/>
      </c>
      <c r="L52" s="36">
        <f t="shared" ref="L52:L83" si="10">$L$9*EXP($L$11*(1/F52-1/$L$10))</f>
        <v>22.241038727992205</v>
      </c>
      <c r="M52" s="6">
        <f t="shared" si="7"/>
        <v>22.241038727992205</v>
      </c>
    </row>
    <row r="53" spans="2:13" x14ac:dyDescent="0.3">
      <c r="B53" s="3">
        <v>75</v>
      </c>
      <c r="C53" s="2">
        <v>236</v>
      </c>
      <c r="D53" s="2">
        <v>240</v>
      </c>
      <c r="E53" s="2"/>
      <c r="F53" s="9">
        <f t="shared" si="4"/>
        <v>23.8</v>
      </c>
      <c r="G53" s="9">
        <f t="shared" si="5"/>
        <v>0</v>
      </c>
      <c r="H53" s="6">
        <f t="shared" si="6"/>
        <v>4.4488093567485065E-2</v>
      </c>
      <c r="I53" s="7">
        <v>34</v>
      </c>
      <c r="J53" s="6" t="str">
        <f t="shared" si="8"/>
        <v/>
      </c>
      <c r="K53" s="6" t="str">
        <f t="shared" si="9"/>
        <v/>
      </c>
      <c r="L53" s="36">
        <f t="shared" si="10"/>
        <v>22.176895832897774</v>
      </c>
      <c r="M53" s="6">
        <f t="shared" si="7"/>
        <v>22.176895832897774</v>
      </c>
    </row>
    <row r="54" spans="2:13" x14ac:dyDescent="0.3">
      <c r="B54" s="3">
        <v>65</v>
      </c>
      <c r="C54" s="2">
        <v>240</v>
      </c>
      <c r="D54" s="2">
        <v>235</v>
      </c>
      <c r="E54" s="2"/>
      <c r="F54" s="9">
        <f t="shared" si="4"/>
        <v>23.75</v>
      </c>
      <c r="G54" s="9">
        <f t="shared" si="5"/>
        <v>0</v>
      </c>
      <c r="H54" s="6">
        <f t="shared" si="6"/>
        <v>4.4301365154137316E-2</v>
      </c>
      <c r="I54" s="7">
        <v>35</v>
      </c>
      <c r="J54" s="6" t="str">
        <f t="shared" si="8"/>
        <v/>
      </c>
      <c r="K54" s="6" t="str">
        <f t="shared" si="9"/>
        <v/>
      </c>
      <c r="L54" s="36">
        <f t="shared" si="10"/>
        <v>22.160720603109738</v>
      </c>
      <c r="M54" s="6">
        <f t="shared" si="7"/>
        <v>22.160720603109738</v>
      </c>
    </row>
    <row r="55" spans="2:13" x14ac:dyDescent="0.3">
      <c r="B55" s="3">
        <v>70</v>
      </c>
      <c r="C55" s="2">
        <v>235</v>
      </c>
      <c r="D55" s="2">
        <v>239</v>
      </c>
      <c r="E55" s="2"/>
      <c r="F55" s="9">
        <f t="shared" si="4"/>
        <v>23.7</v>
      </c>
      <c r="G55" s="9">
        <f t="shared" si="5"/>
        <v>0</v>
      </c>
      <c r="H55" s="6">
        <f t="shared" si="6"/>
        <v>4.4115029439871264E-2</v>
      </c>
      <c r="I55" s="7">
        <v>36</v>
      </c>
      <c r="J55" s="6" t="str">
        <f t="shared" si="8"/>
        <v/>
      </c>
      <c r="K55" s="6" t="str">
        <f t="shared" si="9"/>
        <v/>
      </c>
      <c r="L55" s="36">
        <f t="shared" si="10"/>
        <v>22.144488995945714</v>
      </c>
      <c r="M55" s="6">
        <f t="shared" si="7"/>
        <v>22.144488995945714</v>
      </c>
    </row>
    <row r="56" spans="2:13" x14ac:dyDescent="0.3">
      <c r="B56" s="3">
        <v>54</v>
      </c>
      <c r="C56" s="2">
        <v>242</v>
      </c>
      <c r="D56" s="2">
        <v>230</v>
      </c>
      <c r="E56" s="2"/>
      <c r="F56" s="9">
        <f t="shared" si="4"/>
        <v>23.6</v>
      </c>
      <c r="G56" s="9">
        <f t="shared" si="5"/>
        <v>0</v>
      </c>
      <c r="H56" s="6">
        <f t="shared" si="6"/>
        <v>4.374353610858428E-2</v>
      </c>
      <c r="I56" s="7">
        <v>37</v>
      </c>
      <c r="J56" s="6" t="str">
        <f t="shared" si="8"/>
        <v/>
      </c>
      <c r="K56" s="6" t="str">
        <f t="shared" si="9"/>
        <v/>
      </c>
      <c r="L56" s="36">
        <f t="shared" si="10"/>
        <v>22.111855483993811</v>
      </c>
      <c r="M56" s="6">
        <f t="shared" si="7"/>
        <v>22.111855483993811</v>
      </c>
    </row>
    <row r="57" spans="2:13" x14ac:dyDescent="0.3">
      <c r="B57" s="16">
        <v>38</v>
      </c>
      <c r="C57" s="2">
        <v>237</v>
      </c>
      <c r="D57" s="2">
        <v>229</v>
      </c>
      <c r="E57" s="2"/>
      <c r="F57" s="9">
        <f t="shared" si="4"/>
        <v>23.3</v>
      </c>
      <c r="G57" s="9">
        <f t="shared" si="5"/>
        <v>0</v>
      </c>
      <c r="H57" s="6">
        <f t="shared" si="6"/>
        <v>4.2638480892684065E-2</v>
      </c>
      <c r="I57" s="7">
        <v>38</v>
      </c>
      <c r="J57" s="6" t="str">
        <f t="shared" si="8"/>
        <v/>
      </c>
      <c r="K57" s="6" t="str">
        <f t="shared" si="9"/>
        <v/>
      </c>
      <c r="L57" s="36">
        <f t="shared" si="10"/>
        <v>22.012571230063937</v>
      </c>
      <c r="M57" s="6">
        <f t="shared" si="7"/>
        <v>22.012571230063937</v>
      </c>
    </row>
    <row r="58" spans="2:13" x14ac:dyDescent="0.3">
      <c r="B58" s="16">
        <v>34</v>
      </c>
      <c r="C58" s="2">
        <v>225</v>
      </c>
      <c r="D58" s="2">
        <v>234</v>
      </c>
      <c r="E58" s="2"/>
      <c r="F58" s="9">
        <f t="shared" si="4"/>
        <v>22.95</v>
      </c>
      <c r="G58" s="9">
        <f t="shared" si="5"/>
        <v>0</v>
      </c>
      <c r="H58" s="6">
        <f t="shared" si="6"/>
        <v>4.136711761568445E-2</v>
      </c>
      <c r="I58" s="7">
        <v>39</v>
      </c>
      <c r="J58" s="6" t="str">
        <f t="shared" si="8"/>
        <v/>
      </c>
      <c r="K58" s="6" t="str">
        <f t="shared" si="9"/>
        <v/>
      </c>
      <c r="L58" s="36">
        <f t="shared" si="10"/>
        <v>21.894047019885281</v>
      </c>
      <c r="M58" s="6">
        <f t="shared" si="7"/>
        <v>21.894047019885281</v>
      </c>
    </row>
    <row r="59" spans="2:13" x14ac:dyDescent="0.3">
      <c r="B59" s="3">
        <v>57</v>
      </c>
      <c r="C59" s="2">
        <v>231</v>
      </c>
      <c r="D59" s="2">
        <v>225</v>
      </c>
      <c r="E59" s="2"/>
      <c r="F59" s="9">
        <f t="shared" si="4"/>
        <v>22.8</v>
      </c>
      <c r="G59" s="9">
        <f t="shared" si="5"/>
        <v>0</v>
      </c>
      <c r="H59" s="6">
        <f t="shared" si="6"/>
        <v>4.0828138126052953E-2</v>
      </c>
      <c r="I59" s="7">
        <v>40</v>
      </c>
      <c r="J59" s="6" t="str">
        <f t="shared" si="8"/>
        <v/>
      </c>
      <c r="K59" s="6" t="str">
        <f t="shared" si="9"/>
        <v/>
      </c>
      <c r="L59" s="36">
        <f t="shared" si="10"/>
        <v>21.842338142605822</v>
      </c>
      <c r="M59" s="6">
        <f t="shared" si="7"/>
        <v>21.842338142605822</v>
      </c>
    </row>
    <row r="60" spans="2:13" x14ac:dyDescent="0.3">
      <c r="B60" s="16">
        <v>23</v>
      </c>
      <c r="C60" s="2">
        <v>227</v>
      </c>
      <c r="D60" s="2">
        <v>228</v>
      </c>
      <c r="E60" s="2"/>
      <c r="F60" s="9">
        <f t="shared" si="4"/>
        <v>22.75</v>
      </c>
      <c r="G60" s="9">
        <f t="shared" si="5"/>
        <v>0</v>
      </c>
      <c r="H60" s="6">
        <f t="shared" si="6"/>
        <v>4.0649263694339181E-2</v>
      </c>
      <c r="I60" s="7">
        <v>41</v>
      </c>
      <c r="J60" s="6" t="str">
        <f t="shared" si="8"/>
        <v/>
      </c>
      <c r="K60" s="6" t="str">
        <f t="shared" si="9"/>
        <v/>
      </c>
      <c r="L60" s="36">
        <f t="shared" si="10"/>
        <v>21.824977774302095</v>
      </c>
      <c r="M60" s="6">
        <f t="shared" si="7"/>
        <v>21.824977774302095</v>
      </c>
    </row>
    <row r="61" spans="2:13" x14ac:dyDescent="0.3">
      <c r="B61" s="3">
        <v>61</v>
      </c>
      <c r="C61" s="2">
        <v>227</v>
      </c>
      <c r="D61" s="2">
        <v>227</v>
      </c>
      <c r="E61" s="2"/>
      <c r="F61" s="9">
        <f t="shared" si="4"/>
        <v>22.7</v>
      </c>
      <c r="G61" s="9">
        <f t="shared" si="5"/>
        <v>0</v>
      </c>
      <c r="H61" s="6">
        <f t="shared" si="6"/>
        <v>4.0470781961707107E-2</v>
      </c>
      <c r="I61" s="7">
        <v>42</v>
      </c>
      <c r="J61" s="6" t="str">
        <f t="shared" si="8"/>
        <v/>
      </c>
      <c r="K61" s="6" t="str">
        <f t="shared" si="9"/>
        <v/>
      </c>
      <c r="L61" s="36">
        <f t="shared" si="10"/>
        <v>21.807554817982066</v>
      </c>
      <c r="M61" s="6">
        <f t="shared" si="7"/>
        <v>21.807554817982066</v>
      </c>
    </row>
    <row r="62" spans="2:13" x14ac:dyDescent="0.3">
      <c r="B62" s="16">
        <v>1</v>
      </c>
      <c r="C62" s="2">
        <v>235</v>
      </c>
      <c r="D62" s="2">
        <v>217</v>
      </c>
      <c r="E62" s="2">
        <v>18.5</v>
      </c>
      <c r="F62" s="9">
        <f t="shared" si="4"/>
        <v>22.6</v>
      </c>
      <c r="G62" s="9">
        <f t="shared" si="5"/>
        <v>0</v>
      </c>
      <c r="H62" s="6">
        <f t="shared" si="6"/>
        <v>4.0114996593688071E-2</v>
      </c>
      <c r="I62" s="7">
        <v>43</v>
      </c>
      <c r="J62" s="6" t="str">
        <f t="shared" si="8"/>
        <v/>
      </c>
      <c r="K62" s="6" t="str">
        <f t="shared" si="9"/>
        <v/>
      </c>
      <c r="L62" s="36">
        <f t="shared" si="10"/>
        <v>21.772519805007512</v>
      </c>
      <c r="M62" s="6">
        <f t="shared" si="7"/>
        <v>18.5</v>
      </c>
    </row>
    <row r="63" spans="2:13" x14ac:dyDescent="0.3">
      <c r="B63" s="16">
        <v>27</v>
      </c>
      <c r="C63" s="2">
        <v>223</v>
      </c>
      <c r="D63" s="2">
        <v>229</v>
      </c>
      <c r="E63" s="2"/>
      <c r="F63" s="9">
        <f t="shared" si="4"/>
        <v>22.6</v>
      </c>
      <c r="G63" s="9">
        <f t="shared" si="5"/>
        <v>0</v>
      </c>
      <c r="H63" s="6">
        <f t="shared" si="6"/>
        <v>4.0114996593688071E-2</v>
      </c>
      <c r="I63" s="7">
        <v>44</v>
      </c>
      <c r="J63" s="6" t="str">
        <f t="shared" si="8"/>
        <v/>
      </c>
      <c r="K63" s="6" t="str">
        <f t="shared" si="9"/>
        <v/>
      </c>
      <c r="L63" s="36">
        <f t="shared" si="10"/>
        <v>21.772519805007512</v>
      </c>
      <c r="M63" s="6">
        <f t="shared" si="7"/>
        <v>21.772519805007512</v>
      </c>
    </row>
    <row r="64" spans="2:13" x14ac:dyDescent="0.3">
      <c r="B64" s="16">
        <v>37</v>
      </c>
      <c r="C64" s="2">
        <v>230</v>
      </c>
      <c r="D64" s="2">
        <v>222</v>
      </c>
      <c r="E64" s="2"/>
      <c r="F64" s="9">
        <f t="shared" si="4"/>
        <v>22.6</v>
      </c>
      <c r="G64" s="9">
        <f t="shared" si="5"/>
        <v>0</v>
      </c>
      <c r="H64" s="6">
        <f t="shared" si="6"/>
        <v>4.0114996593688071E-2</v>
      </c>
      <c r="I64" s="7">
        <v>45</v>
      </c>
      <c r="J64" s="6" t="str">
        <f t="shared" si="8"/>
        <v/>
      </c>
      <c r="K64" s="6" t="str">
        <f t="shared" si="9"/>
        <v/>
      </c>
      <c r="L64" s="36">
        <f t="shared" si="10"/>
        <v>21.772519805007512</v>
      </c>
      <c r="M64" s="6">
        <f t="shared" si="7"/>
        <v>21.772519805007512</v>
      </c>
    </row>
    <row r="65" spans="2:13" x14ac:dyDescent="0.3">
      <c r="B65" s="3">
        <v>76</v>
      </c>
      <c r="C65" s="2">
        <v>226</v>
      </c>
      <c r="D65" s="2">
        <v>218</v>
      </c>
      <c r="E65" s="2"/>
      <c r="F65" s="9">
        <f t="shared" si="4"/>
        <v>22.2</v>
      </c>
      <c r="G65" s="9">
        <f t="shared" si="5"/>
        <v>0</v>
      </c>
      <c r="H65" s="6">
        <f t="shared" si="6"/>
        <v>3.870756308487984E-2</v>
      </c>
      <c r="I65" s="7">
        <v>46</v>
      </c>
      <c r="J65" s="6" t="str">
        <f t="shared" si="8"/>
        <v/>
      </c>
      <c r="K65" s="6" t="str">
        <f t="shared" si="9"/>
        <v/>
      </c>
      <c r="L65" s="36">
        <f t="shared" si="10"/>
        <v>21.629808380189999</v>
      </c>
      <c r="M65" s="6">
        <f t="shared" si="7"/>
        <v>21.629808380189999</v>
      </c>
    </row>
    <row r="66" spans="2:13" x14ac:dyDescent="0.3">
      <c r="B66" s="16">
        <v>12</v>
      </c>
      <c r="C66" s="2">
        <v>223</v>
      </c>
      <c r="D66" s="2">
        <v>220</v>
      </c>
      <c r="E66" s="2"/>
      <c r="F66" s="9">
        <f t="shared" si="4"/>
        <v>22.15</v>
      </c>
      <c r="G66" s="9">
        <f t="shared" si="5"/>
        <v>0</v>
      </c>
      <c r="H66" s="6">
        <f t="shared" si="6"/>
        <v>3.8533401042146455E-2</v>
      </c>
      <c r="I66" s="7">
        <v>47</v>
      </c>
      <c r="J66" s="6" t="str">
        <f t="shared" si="8"/>
        <v/>
      </c>
      <c r="K66" s="6" t="str">
        <f t="shared" si="9"/>
        <v/>
      </c>
      <c r="L66" s="36">
        <f t="shared" si="10"/>
        <v>21.611674424303686</v>
      </c>
      <c r="M66" s="6">
        <f t="shared" si="7"/>
        <v>21.611674424303686</v>
      </c>
    </row>
    <row r="67" spans="2:13" x14ac:dyDescent="0.3">
      <c r="B67" s="16">
        <v>22</v>
      </c>
      <c r="C67" s="2">
        <v>222</v>
      </c>
      <c r="D67" s="2">
        <v>217</v>
      </c>
      <c r="E67" s="2"/>
      <c r="F67" s="9">
        <f t="shared" si="4"/>
        <v>21.95</v>
      </c>
      <c r="G67" s="9">
        <f t="shared" si="5"/>
        <v>0</v>
      </c>
      <c r="H67" s="6">
        <f t="shared" si="6"/>
        <v>3.7840679862029901E-2</v>
      </c>
      <c r="I67" s="7">
        <v>48</v>
      </c>
      <c r="J67" s="6" t="str">
        <f t="shared" si="8"/>
        <v/>
      </c>
      <c r="K67" s="6" t="str">
        <f t="shared" si="9"/>
        <v/>
      </c>
      <c r="L67" s="36">
        <f t="shared" si="10"/>
        <v>21.538467484109809</v>
      </c>
      <c r="M67" s="6">
        <f t="shared" si="7"/>
        <v>21.538467484109809</v>
      </c>
    </row>
    <row r="68" spans="2:13" x14ac:dyDescent="0.3">
      <c r="B68" s="16">
        <v>36</v>
      </c>
      <c r="C68" s="2">
        <v>221</v>
      </c>
      <c r="D68" s="2">
        <v>218</v>
      </c>
      <c r="E68" s="2"/>
      <c r="F68" s="9">
        <f t="shared" si="4"/>
        <v>21.95</v>
      </c>
      <c r="G68" s="9">
        <f t="shared" si="5"/>
        <v>0</v>
      </c>
      <c r="H68" s="6">
        <f t="shared" si="6"/>
        <v>3.7840679862029901E-2</v>
      </c>
      <c r="I68" s="7">
        <v>49</v>
      </c>
      <c r="J68" s="6" t="str">
        <f t="shared" si="8"/>
        <v/>
      </c>
      <c r="K68" s="6" t="str">
        <f t="shared" si="9"/>
        <v/>
      </c>
      <c r="L68" s="36">
        <f t="shared" si="10"/>
        <v>21.538467484109809</v>
      </c>
      <c r="M68" s="6">
        <f t="shared" si="7"/>
        <v>21.538467484109809</v>
      </c>
    </row>
    <row r="69" spans="2:13" x14ac:dyDescent="0.3">
      <c r="B69" s="16">
        <v>40</v>
      </c>
      <c r="C69" s="2">
        <v>214</v>
      </c>
      <c r="D69" s="2">
        <v>223</v>
      </c>
      <c r="E69" s="2"/>
      <c r="F69" s="9">
        <f t="shared" si="4"/>
        <v>21.85</v>
      </c>
      <c r="G69" s="9">
        <f t="shared" si="5"/>
        <v>0</v>
      </c>
      <c r="H69" s="6">
        <f t="shared" si="6"/>
        <v>3.7496675466461828E-2</v>
      </c>
      <c r="I69" s="7">
        <v>50</v>
      </c>
      <c r="J69" s="6" t="str">
        <f t="shared" si="8"/>
        <v/>
      </c>
      <c r="K69" s="6" t="str">
        <f t="shared" si="9"/>
        <v/>
      </c>
      <c r="L69" s="36">
        <f t="shared" si="10"/>
        <v>21.501456202604039</v>
      </c>
      <c r="M69" s="6">
        <f t="shared" si="7"/>
        <v>21.501456202604039</v>
      </c>
    </row>
    <row r="70" spans="2:13" x14ac:dyDescent="0.3">
      <c r="B70" s="16">
        <v>4</v>
      </c>
      <c r="C70" s="2">
        <v>216</v>
      </c>
      <c r="D70" s="2">
        <v>218</v>
      </c>
      <c r="E70" s="2"/>
      <c r="F70" s="9">
        <f t="shared" si="4"/>
        <v>21.7</v>
      </c>
      <c r="G70" s="9">
        <f t="shared" si="5"/>
        <v>0</v>
      </c>
      <c r="H70" s="6">
        <f t="shared" si="6"/>
        <v>3.6983614116222439E-2</v>
      </c>
      <c r="I70" s="7">
        <v>51</v>
      </c>
      <c r="J70" s="6" t="str">
        <f t="shared" si="8"/>
        <v/>
      </c>
      <c r="K70" s="6" t="str">
        <f t="shared" si="9"/>
        <v/>
      </c>
      <c r="L70" s="36">
        <f t="shared" si="10"/>
        <v>21.445421105099523</v>
      </c>
      <c r="M70" s="6">
        <f t="shared" si="7"/>
        <v>21.445421105099523</v>
      </c>
    </row>
    <row r="71" spans="2:13" x14ac:dyDescent="0.3">
      <c r="B71" s="16">
        <v>3</v>
      </c>
      <c r="C71" s="2">
        <v>212</v>
      </c>
      <c r="D71" s="2">
        <v>217</v>
      </c>
      <c r="E71" s="2">
        <v>22.5</v>
      </c>
      <c r="F71" s="9">
        <f t="shared" si="4"/>
        <v>21.45</v>
      </c>
      <c r="G71" s="9">
        <f t="shared" si="5"/>
        <v>0</v>
      </c>
      <c r="H71" s="6">
        <f t="shared" si="6"/>
        <v>3.6136365847457441E-2</v>
      </c>
      <c r="I71" s="7">
        <v>52</v>
      </c>
      <c r="J71" s="6" t="str">
        <f t="shared" si="8"/>
        <v/>
      </c>
      <c r="K71" s="6" t="str">
        <f t="shared" si="9"/>
        <v/>
      </c>
      <c r="L71" s="36">
        <f t="shared" si="10"/>
        <v>21.350621923854387</v>
      </c>
      <c r="M71" s="6">
        <f t="shared" si="7"/>
        <v>22.5</v>
      </c>
    </row>
    <row r="72" spans="2:13" x14ac:dyDescent="0.3">
      <c r="B72" s="3">
        <v>42</v>
      </c>
      <c r="C72" s="2">
        <v>215</v>
      </c>
      <c r="D72" s="2">
        <v>213</v>
      </c>
      <c r="E72" s="2"/>
      <c r="F72" s="9">
        <f t="shared" si="4"/>
        <v>21.4</v>
      </c>
      <c r="G72" s="9">
        <f t="shared" si="5"/>
        <v>0</v>
      </c>
      <c r="H72" s="6">
        <f t="shared" si="6"/>
        <v>3.5968094290949534E-2</v>
      </c>
      <c r="I72" s="7">
        <v>53</v>
      </c>
      <c r="J72" s="6" t="str">
        <f t="shared" si="8"/>
        <v/>
      </c>
      <c r="K72" s="6" t="str">
        <f t="shared" si="9"/>
        <v/>
      </c>
      <c r="L72" s="36">
        <f t="shared" si="10"/>
        <v>21.331447466777714</v>
      </c>
      <c r="M72" s="6">
        <f t="shared" si="7"/>
        <v>21.331447466777714</v>
      </c>
    </row>
    <row r="73" spans="2:13" x14ac:dyDescent="0.3">
      <c r="B73" s="3">
        <v>48</v>
      </c>
      <c r="C73" s="2">
        <v>215</v>
      </c>
      <c r="D73" s="2">
        <v>213</v>
      </c>
      <c r="E73" s="2"/>
      <c r="F73" s="9">
        <f t="shared" si="4"/>
        <v>21.4</v>
      </c>
      <c r="G73" s="9">
        <f t="shared" si="5"/>
        <v>0</v>
      </c>
      <c r="H73" s="6">
        <f t="shared" si="6"/>
        <v>3.5968094290949534E-2</v>
      </c>
      <c r="I73" s="7">
        <v>54</v>
      </c>
      <c r="J73" s="6" t="str">
        <f t="shared" si="8"/>
        <v/>
      </c>
      <c r="K73" s="6" t="str">
        <f t="shared" si="9"/>
        <v/>
      </c>
      <c r="L73" s="36">
        <f t="shared" si="10"/>
        <v>21.331447466777714</v>
      </c>
      <c r="M73" s="6">
        <f t="shared" si="7"/>
        <v>21.331447466777714</v>
      </c>
    </row>
    <row r="74" spans="2:13" x14ac:dyDescent="0.3">
      <c r="B74" s="16">
        <v>21</v>
      </c>
      <c r="C74" s="2">
        <v>212</v>
      </c>
      <c r="D74" s="2">
        <v>213</v>
      </c>
      <c r="E74" s="2">
        <v>22.5</v>
      </c>
      <c r="F74" s="9">
        <f t="shared" si="4"/>
        <v>21.25</v>
      </c>
      <c r="G74" s="9">
        <f t="shared" si="5"/>
        <v>0</v>
      </c>
      <c r="H74" s="6">
        <f t="shared" si="6"/>
        <v>3.5465635815916025E-2</v>
      </c>
      <c r="I74" s="7">
        <v>55</v>
      </c>
      <c r="J74" s="6" t="str">
        <f t="shared" si="8"/>
        <v/>
      </c>
      <c r="K74" s="6" t="str">
        <f t="shared" si="9"/>
        <v/>
      </c>
      <c r="L74" s="36">
        <f t="shared" si="10"/>
        <v>21.273487664560552</v>
      </c>
      <c r="M74" s="6">
        <f t="shared" si="7"/>
        <v>22.5</v>
      </c>
    </row>
    <row r="75" spans="2:13" x14ac:dyDescent="0.3">
      <c r="B75" s="3">
        <v>59</v>
      </c>
      <c r="C75" s="2">
        <v>212</v>
      </c>
      <c r="D75" s="2">
        <v>208</v>
      </c>
      <c r="E75" s="2"/>
      <c r="F75" s="9">
        <f t="shared" si="4"/>
        <v>21</v>
      </c>
      <c r="G75" s="9">
        <f t="shared" si="5"/>
        <v>0</v>
      </c>
      <c r="H75" s="6">
        <f t="shared" si="6"/>
        <v>3.4636059005827467E-2</v>
      </c>
      <c r="I75" s="7">
        <v>56</v>
      </c>
      <c r="J75" s="6" t="str">
        <f t="shared" si="8"/>
        <v/>
      </c>
      <c r="K75" s="6" t="str">
        <f t="shared" si="9"/>
        <v/>
      </c>
      <c r="L75" s="36">
        <f t="shared" si="10"/>
        <v>21.175408645722246</v>
      </c>
      <c r="M75" s="6">
        <f t="shared" si="7"/>
        <v>21.175408645722246</v>
      </c>
    </row>
    <row r="76" spans="2:13" x14ac:dyDescent="0.3">
      <c r="B76" s="16">
        <v>17</v>
      </c>
      <c r="C76" s="2">
        <v>212</v>
      </c>
      <c r="D76" s="2">
        <v>203</v>
      </c>
      <c r="E76" s="2"/>
      <c r="F76" s="9">
        <f t="shared" si="4"/>
        <v>20.75</v>
      </c>
      <c r="G76" s="9">
        <f t="shared" si="5"/>
        <v>0</v>
      </c>
      <c r="H76" s="6">
        <f t="shared" si="6"/>
        <v>3.381629967278138E-2</v>
      </c>
      <c r="I76" s="7">
        <v>57</v>
      </c>
      <c r="J76" s="6" t="str">
        <f t="shared" si="8"/>
        <v/>
      </c>
      <c r="K76" s="6" t="str">
        <f t="shared" si="9"/>
        <v/>
      </c>
      <c r="L76" s="36">
        <f t="shared" si="10"/>
        <v>21.075434917141646</v>
      </c>
      <c r="M76" s="6">
        <f t="shared" si="7"/>
        <v>21.075434917141646</v>
      </c>
    </row>
    <row r="77" spans="2:13" x14ac:dyDescent="0.3">
      <c r="B77" s="16">
        <v>13</v>
      </c>
      <c r="C77" s="2">
        <v>205</v>
      </c>
      <c r="D77" s="2">
        <v>205</v>
      </c>
      <c r="E77" s="2"/>
      <c r="F77" s="9">
        <f t="shared" si="4"/>
        <v>20.5</v>
      </c>
      <c r="G77" s="9">
        <f t="shared" si="5"/>
        <v>0</v>
      </c>
      <c r="H77" s="6">
        <f t="shared" si="6"/>
        <v>3.3006357816777764E-2</v>
      </c>
      <c r="I77" s="7">
        <v>58</v>
      </c>
      <c r="J77" s="6" t="str">
        <f t="shared" si="8"/>
        <v/>
      </c>
      <c r="K77" s="6" t="str">
        <f t="shared" si="9"/>
        <v/>
      </c>
      <c r="L77" s="36">
        <f t="shared" si="10"/>
        <v>20.973512192539754</v>
      </c>
      <c r="M77" s="6">
        <f t="shared" si="7"/>
        <v>20.973512192539754</v>
      </c>
    </row>
    <row r="78" spans="2:13" x14ac:dyDescent="0.3">
      <c r="B78" s="3">
        <v>72</v>
      </c>
      <c r="C78" s="2">
        <v>198</v>
      </c>
      <c r="D78" s="2">
        <v>211</v>
      </c>
      <c r="E78" s="2"/>
      <c r="F78" s="9">
        <f t="shared" si="4"/>
        <v>20.45</v>
      </c>
      <c r="G78" s="9">
        <f t="shared" si="5"/>
        <v>0</v>
      </c>
      <c r="H78" s="6">
        <f t="shared" si="6"/>
        <v>3.2845547542822137E-2</v>
      </c>
      <c r="I78" s="7">
        <v>59</v>
      </c>
      <c r="J78" s="6" t="str">
        <f t="shared" si="8"/>
        <v/>
      </c>
      <c r="K78" s="6" t="str">
        <f t="shared" si="9"/>
        <v/>
      </c>
      <c r="L78" s="36">
        <f t="shared" si="10"/>
        <v>20.952888848673226</v>
      </c>
      <c r="M78" s="6">
        <f t="shared" si="7"/>
        <v>20.952888848673226</v>
      </c>
    </row>
    <row r="79" spans="2:13" x14ac:dyDescent="0.3">
      <c r="B79" s="3">
        <v>47</v>
      </c>
      <c r="C79" s="2">
        <v>197</v>
      </c>
      <c r="D79" s="2">
        <v>211</v>
      </c>
      <c r="E79" s="2"/>
      <c r="F79" s="9">
        <f t="shared" si="4"/>
        <v>20.399999999999999</v>
      </c>
      <c r="G79" s="9">
        <f t="shared" si="5"/>
        <v>0</v>
      </c>
      <c r="H79" s="6">
        <f t="shared" si="6"/>
        <v>3.2685129967948208E-2</v>
      </c>
      <c r="I79" s="7">
        <v>60</v>
      </c>
      <c r="J79" s="6" t="str">
        <f t="shared" si="8"/>
        <v/>
      </c>
      <c r="K79" s="6" t="str">
        <f t="shared" si="9"/>
        <v/>
      </c>
      <c r="L79" s="36">
        <f t="shared" si="10"/>
        <v>20.93218483832695</v>
      </c>
      <c r="M79" s="6">
        <f t="shared" si="7"/>
        <v>20.93218483832695</v>
      </c>
    </row>
    <row r="80" spans="2:13" x14ac:dyDescent="0.3">
      <c r="B80" s="16">
        <v>26</v>
      </c>
      <c r="C80" s="2">
        <v>207</v>
      </c>
      <c r="D80" s="2">
        <v>195</v>
      </c>
      <c r="E80" s="2"/>
      <c r="F80" s="9">
        <f t="shared" si="4"/>
        <v>20.100000000000001</v>
      </c>
      <c r="G80" s="9">
        <f t="shared" si="5"/>
        <v>0</v>
      </c>
      <c r="H80" s="6">
        <f t="shared" si="6"/>
        <v>3.1730871199420314E-2</v>
      </c>
      <c r="I80" s="7">
        <v>61</v>
      </c>
      <c r="J80" s="6" t="str">
        <f t="shared" si="8"/>
        <v/>
      </c>
      <c r="K80" s="6" t="str">
        <f t="shared" si="9"/>
        <v/>
      </c>
      <c r="L80" s="36">
        <f t="shared" si="10"/>
        <v>20.80624055027177</v>
      </c>
      <c r="M80" s="6">
        <f t="shared" si="7"/>
        <v>20.80624055027177</v>
      </c>
    </row>
    <row r="81" spans="2:13" x14ac:dyDescent="0.3">
      <c r="B81" s="16">
        <v>25</v>
      </c>
      <c r="C81" s="2">
        <v>202</v>
      </c>
      <c r="D81" s="2">
        <v>199</v>
      </c>
      <c r="E81" s="2"/>
      <c r="F81" s="9">
        <f t="shared" si="4"/>
        <v>20.05</v>
      </c>
      <c r="G81" s="9">
        <f t="shared" si="5"/>
        <v>0</v>
      </c>
      <c r="H81" s="6">
        <f t="shared" si="6"/>
        <v>3.1573202518118272E-2</v>
      </c>
      <c r="I81" s="7">
        <v>62</v>
      </c>
      <c r="J81" s="6" t="str">
        <f t="shared" si="8"/>
        <v/>
      </c>
      <c r="K81" s="6" t="str">
        <f t="shared" si="9"/>
        <v/>
      </c>
      <c r="L81" s="36">
        <f t="shared" si="10"/>
        <v>20.78495868556325</v>
      </c>
      <c r="M81" s="6">
        <f t="shared" si="7"/>
        <v>20.78495868556325</v>
      </c>
    </row>
    <row r="82" spans="2:13" x14ac:dyDescent="0.3">
      <c r="B82" s="16">
        <v>32</v>
      </c>
      <c r="C82" s="2">
        <v>195</v>
      </c>
      <c r="D82" s="2">
        <v>196</v>
      </c>
      <c r="E82" s="2">
        <v>20.5</v>
      </c>
      <c r="F82" s="9">
        <f t="shared" si="4"/>
        <v>19.55</v>
      </c>
      <c r="G82" s="9">
        <f t="shared" si="5"/>
        <v>0</v>
      </c>
      <c r="H82" s="6">
        <f t="shared" si="6"/>
        <v>3.0018114154591324E-2</v>
      </c>
      <c r="I82" s="7">
        <v>63</v>
      </c>
      <c r="J82" s="6" t="str">
        <f t="shared" si="8"/>
        <v/>
      </c>
      <c r="K82" s="6" t="str">
        <f t="shared" si="9"/>
        <v/>
      </c>
      <c r="L82" s="36">
        <f t="shared" si="10"/>
        <v>20.567411250906158</v>
      </c>
      <c r="M82" s="6">
        <f t="shared" si="7"/>
        <v>20.5</v>
      </c>
    </row>
    <row r="83" spans="2:13" x14ac:dyDescent="0.3">
      <c r="B83" s="3">
        <v>68</v>
      </c>
      <c r="C83" s="2">
        <v>188</v>
      </c>
      <c r="D83" s="2">
        <v>198</v>
      </c>
      <c r="E83" s="2"/>
      <c r="F83" s="9">
        <f t="shared" si="4"/>
        <v>19.3</v>
      </c>
      <c r="G83" s="9">
        <f t="shared" si="5"/>
        <v>0</v>
      </c>
      <c r="H83" s="6">
        <f t="shared" si="6"/>
        <v>2.9255296188391552E-2</v>
      </c>
      <c r="I83" s="7">
        <v>64</v>
      </c>
      <c r="J83" s="6" t="str">
        <f t="shared" si="8"/>
        <v/>
      </c>
      <c r="K83" s="6" t="str">
        <f t="shared" si="9"/>
        <v/>
      </c>
      <c r="L83" s="36">
        <f t="shared" si="10"/>
        <v>20.455310626265135</v>
      </c>
      <c r="M83" s="6">
        <f t="shared" si="7"/>
        <v>20.455310626265135</v>
      </c>
    </row>
    <row r="84" spans="2:13" x14ac:dyDescent="0.3">
      <c r="B84" s="3">
        <v>43</v>
      </c>
      <c r="C84" s="2">
        <v>194</v>
      </c>
      <c r="D84" s="2">
        <v>187</v>
      </c>
      <c r="E84" s="2"/>
      <c r="F84" s="9">
        <f t="shared" si="4"/>
        <v>19.05</v>
      </c>
      <c r="G84" s="9">
        <f t="shared" si="5"/>
        <v>0</v>
      </c>
      <c r="H84" s="6">
        <f t="shared" si="6"/>
        <v>2.8502295699234251E-2</v>
      </c>
      <c r="I84" s="7">
        <v>65</v>
      </c>
      <c r="J84" s="6" t="str">
        <f t="shared" ref="J84:J93" si="11">IF(AND($I84&lt;=$C$13,$E84&lt;&gt;""),E84,"")</f>
        <v/>
      </c>
      <c r="K84" s="6" t="str">
        <f t="shared" ref="K84:K93" si="12">IF(AND($I84&lt;=$C$13,$E84&lt;&gt;""),F84,"")</f>
        <v/>
      </c>
      <c r="L84" s="36">
        <f t="shared" ref="L84:L93" si="13">$L$9*EXP($L$11*(1/F84-1/$L$10))</f>
        <v>20.340902956265243</v>
      </c>
      <c r="M84" s="6">
        <f t="shared" si="7"/>
        <v>20.340902956265243</v>
      </c>
    </row>
    <row r="85" spans="2:13" x14ac:dyDescent="0.3">
      <c r="B85" s="3">
        <v>79</v>
      </c>
      <c r="C85" s="2">
        <v>182</v>
      </c>
      <c r="D85" s="2">
        <v>190</v>
      </c>
      <c r="E85" s="2"/>
      <c r="F85" s="9">
        <f t="shared" ref="F85:F93" si="14">AVERAGE(C85:D85)/10</f>
        <v>18.600000000000001</v>
      </c>
      <c r="G85" s="9">
        <f t="shared" ref="G85:G99" si="15">IF(C85&lt;&gt;"",0,1)</f>
        <v>0</v>
      </c>
      <c r="H85" s="6">
        <f t="shared" ref="H85:H93" si="16">PI()/40000*F85^2</f>
        <v>2.7171634860898124E-2</v>
      </c>
      <c r="I85" s="7">
        <v>66</v>
      </c>
      <c r="J85" s="6" t="str">
        <f t="shared" si="11"/>
        <v/>
      </c>
      <c r="K85" s="6" t="str">
        <f t="shared" si="12"/>
        <v/>
      </c>
      <c r="L85" s="36">
        <f t="shared" si="13"/>
        <v>20.128929865980677</v>
      </c>
      <c r="M85" s="6">
        <f t="shared" ref="M85:M93" si="17">IF(E85&lt;&gt;"",E85,L85)</f>
        <v>20.128929865980677</v>
      </c>
    </row>
    <row r="86" spans="2:13" x14ac:dyDescent="0.3">
      <c r="B86" s="3">
        <v>77</v>
      </c>
      <c r="C86" s="2">
        <v>179</v>
      </c>
      <c r="D86" s="2">
        <v>171</v>
      </c>
      <c r="E86" s="2"/>
      <c r="F86" s="9">
        <f t="shared" si="14"/>
        <v>17.5</v>
      </c>
      <c r="G86" s="9">
        <f t="shared" si="15"/>
        <v>0</v>
      </c>
      <c r="H86" s="6">
        <f t="shared" si="16"/>
        <v>2.4052818754046853E-2</v>
      </c>
      <c r="I86" s="7">
        <v>67</v>
      </c>
      <c r="J86" s="6" t="str">
        <f t="shared" si="11"/>
        <v/>
      </c>
      <c r="K86" s="6" t="str">
        <f t="shared" si="12"/>
        <v/>
      </c>
      <c r="L86" s="36">
        <f t="shared" si="13"/>
        <v>19.575577103719713</v>
      </c>
      <c r="M86" s="6">
        <f t="shared" si="17"/>
        <v>19.575577103719713</v>
      </c>
    </row>
    <row r="87" spans="2:13" x14ac:dyDescent="0.3">
      <c r="B87" s="16">
        <v>29</v>
      </c>
      <c r="C87" s="2">
        <v>162</v>
      </c>
      <c r="D87" s="2">
        <v>185</v>
      </c>
      <c r="E87" s="2"/>
      <c r="F87" s="9">
        <f t="shared" si="14"/>
        <v>17.350000000000001</v>
      </c>
      <c r="G87" s="9">
        <f t="shared" si="15"/>
        <v>0</v>
      </c>
      <c r="H87" s="6">
        <f t="shared" si="16"/>
        <v>2.3642251864130839E-2</v>
      </c>
      <c r="I87" s="7">
        <v>68</v>
      </c>
      <c r="J87" s="6" t="str">
        <f t="shared" si="11"/>
        <v/>
      </c>
      <c r="K87" s="6" t="str">
        <f t="shared" si="12"/>
        <v/>
      </c>
      <c r="L87" s="36">
        <f t="shared" si="13"/>
        <v>19.4959680576655</v>
      </c>
      <c r="M87" s="6">
        <f t="shared" si="17"/>
        <v>19.4959680576655</v>
      </c>
    </row>
    <row r="88" spans="2:13" x14ac:dyDescent="0.3">
      <c r="B88" s="3">
        <v>69</v>
      </c>
      <c r="C88" s="2">
        <v>170</v>
      </c>
      <c r="D88" s="2">
        <v>155</v>
      </c>
      <c r="E88" s="2"/>
      <c r="F88" s="9">
        <f t="shared" si="14"/>
        <v>16.25</v>
      </c>
      <c r="G88" s="9">
        <f t="shared" si="15"/>
        <v>0</v>
      </c>
      <c r="H88" s="6">
        <f t="shared" si="16"/>
        <v>2.0739420252213869E-2</v>
      </c>
      <c r="I88" s="7">
        <v>69</v>
      </c>
      <c r="J88" s="6" t="str">
        <f t="shared" si="11"/>
        <v/>
      </c>
      <c r="K88" s="6" t="str">
        <f t="shared" si="12"/>
        <v/>
      </c>
      <c r="L88" s="36">
        <f t="shared" si="13"/>
        <v>18.878529474798121</v>
      </c>
      <c r="M88" s="6">
        <f t="shared" si="17"/>
        <v>18.878529474798121</v>
      </c>
    </row>
    <row r="89" spans="2:13" x14ac:dyDescent="0.3">
      <c r="B89" s="16">
        <v>24</v>
      </c>
      <c r="C89" s="2">
        <v>147</v>
      </c>
      <c r="D89" s="2">
        <v>146</v>
      </c>
      <c r="E89" s="2"/>
      <c r="F89" s="9">
        <f t="shared" si="14"/>
        <v>14.65</v>
      </c>
      <c r="G89" s="9">
        <f t="shared" si="15"/>
        <v>0</v>
      </c>
      <c r="H89" s="6">
        <f t="shared" si="16"/>
        <v>1.6856411732376883E-2</v>
      </c>
      <c r="I89" s="7">
        <v>70</v>
      </c>
      <c r="J89" s="6" t="str">
        <f t="shared" si="11"/>
        <v/>
      </c>
      <c r="K89" s="6" t="str">
        <f t="shared" si="12"/>
        <v/>
      </c>
      <c r="L89" s="36">
        <f t="shared" si="13"/>
        <v>17.860422871519589</v>
      </c>
      <c r="M89" s="6">
        <f t="shared" si="17"/>
        <v>17.860422871519589</v>
      </c>
    </row>
    <row r="90" spans="2:13" x14ac:dyDescent="0.3">
      <c r="B90" s="16">
        <v>9</v>
      </c>
      <c r="C90" s="2">
        <v>145</v>
      </c>
      <c r="D90" s="2">
        <v>141</v>
      </c>
      <c r="E90" s="2">
        <v>15.5</v>
      </c>
      <c r="F90" s="9">
        <f t="shared" si="14"/>
        <v>14.3</v>
      </c>
      <c r="G90" s="9">
        <f t="shared" si="15"/>
        <v>0</v>
      </c>
      <c r="H90" s="6">
        <f t="shared" si="16"/>
        <v>1.6060607043314419E-2</v>
      </c>
      <c r="I90" s="7">
        <v>71</v>
      </c>
      <c r="J90" s="6" t="str">
        <f t="shared" si="11"/>
        <v/>
      </c>
      <c r="K90" s="6" t="str">
        <f t="shared" si="12"/>
        <v/>
      </c>
      <c r="L90" s="36">
        <f t="shared" si="13"/>
        <v>17.615980886836137</v>
      </c>
      <c r="M90" s="6">
        <f t="shared" si="17"/>
        <v>15.5</v>
      </c>
    </row>
    <row r="91" spans="2:13" x14ac:dyDescent="0.3">
      <c r="B91" s="3">
        <v>56</v>
      </c>
      <c r="C91" s="2">
        <v>141</v>
      </c>
      <c r="D91" s="2">
        <v>140</v>
      </c>
      <c r="E91" s="2"/>
      <c r="F91" s="9">
        <f t="shared" si="14"/>
        <v>14.05</v>
      </c>
      <c r="G91" s="9">
        <f t="shared" si="15"/>
        <v>0</v>
      </c>
      <c r="H91" s="6">
        <f t="shared" si="16"/>
        <v>1.5503956095006481E-2</v>
      </c>
      <c r="I91" s="7">
        <v>72</v>
      </c>
      <c r="J91" s="6" t="str">
        <f t="shared" si="11"/>
        <v/>
      </c>
      <c r="K91" s="6" t="str">
        <f t="shared" si="12"/>
        <v/>
      </c>
      <c r="L91" s="36">
        <f t="shared" si="13"/>
        <v>17.436099454979509</v>
      </c>
      <c r="M91" s="6">
        <f t="shared" si="17"/>
        <v>17.436099454979509</v>
      </c>
    </row>
    <row r="92" spans="2:13" x14ac:dyDescent="0.3">
      <c r="B92" s="16">
        <v>33</v>
      </c>
      <c r="C92" s="2">
        <v>83</v>
      </c>
      <c r="D92" s="2">
        <v>80</v>
      </c>
      <c r="E92" s="2">
        <v>11.5</v>
      </c>
      <c r="F92" s="9">
        <f t="shared" si="14"/>
        <v>8.15</v>
      </c>
      <c r="G92" s="9">
        <f t="shared" si="15"/>
        <v>0</v>
      </c>
      <c r="H92" s="6">
        <f t="shared" si="16"/>
        <v>5.2168109508267009E-3</v>
      </c>
      <c r="I92" s="7">
        <v>73</v>
      </c>
      <c r="J92" s="6" t="str">
        <f t="shared" si="11"/>
        <v/>
      </c>
      <c r="K92" s="6" t="str">
        <f t="shared" si="12"/>
        <v/>
      </c>
      <c r="L92" s="36">
        <f t="shared" si="13"/>
        <v>11.399107455501236</v>
      </c>
      <c r="M92" s="6">
        <f t="shared" si="17"/>
        <v>11.5</v>
      </c>
    </row>
    <row r="93" spans="2:13" x14ac:dyDescent="0.3">
      <c r="B93" s="16">
        <v>20</v>
      </c>
      <c r="C93" s="2">
        <v>40</v>
      </c>
      <c r="D93" s="2">
        <v>41</v>
      </c>
      <c r="E93" s="2">
        <v>5.5</v>
      </c>
      <c r="F93" s="9">
        <f t="shared" si="14"/>
        <v>4.05</v>
      </c>
      <c r="G93" s="9">
        <f t="shared" si="15"/>
        <v>0</v>
      </c>
      <c r="H93" s="6">
        <f t="shared" si="16"/>
        <v>1.2882493375126645E-3</v>
      </c>
      <c r="I93" s="7">
        <v>74</v>
      </c>
      <c r="J93" s="6" t="str">
        <f t="shared" si="11"/>
        <v/>
      </c>
      <c r="K93" s="6" t="str">
        <f t="shared" si="12"/>
        <v/>
      </c>
      <c r="L93" s="36">
        <f t="shared" si="13"/>
        <v>4.09163851943394</v>
      </c>
      <c r="M93" s="6">
        <f t="shared" si="17"/>
        <v>5.5</v>
      </c>
    </row>
    <row r="94" spans="2:13" x14ac:dyDescent="0.3">
      <c r="B94" s="1">
        <v>10</v>
      </c>
      <c r="C94" s="2"/>
      <c r="D94" s="2"/>
      <c r="E94" s="2"/>
      <c r="F94" s="9"/>
      <c r="G94" s="9">
        <f t="shared" si="15"/>
        <v>1</v>
      </c>
      <c r="H94" s="6"/>
      <c r="I94" s="7"/>
      <c r="J94" s="6"/>
      <c r="K94" s="6"/>
      <c r="L94" s="34"/>
      <c r="M94" s="6"/>
    </row>
    <row r="95" spans="2:13" x14ac:dyDescent="0.3">
      <c r="B95" s="1">
        <v>14</v>
      </c>
      <c r="C95" s="2"/>
      <c r="D95" s="2"/>
      <c r="E95" s="2"/>
      <c r="F95" s="9"/>
      <c r="G95" s="9">
        <f t="shared" si="15"/>
        <v>1</v>
      </c>
      <c r="H95" s="6"/>
      <c r="I95" s="7"/>
      <c r="J95" s="6"/>
      <c r="K95" s="6"/>
      <c r="L95" s="34"/>
      <c r="M95" s="6"/>
    </row>
    <row r="96" spans="2:13" x14ac:dyDescent="0.3">
      <c r="B96" s="1">
        <v>28</v>
      </c>
      <c r="C96" s="2"/>
      <c r="D96" s="2"/>
      <c r="E96" s="2"/>
      <c r="F96" s="9"/>
      <c r="G96" s="9">
        <f t="shared" si="15"/>
        <v>1</v>
      </c>
      <c r="H96" s="6"/>
      <c r="I96" s="7"/>
      <c r="J96" s="6"/>
      <c r="K96" s="6"/>
      <c r="L96" s="34"/>
      <c r="M96" s="6"/>
    </row>
    <row r="97" spans="2:13" x14ac:dyDescent="0.3">
      <c r="B97" s="3">
        <v>50</v>
      </c>
      <c r="C97" s="2"/>
      <c r="D97" s="2"/>
      <c r="E97" s="2"/>
      <c r="F97" s="9"/>
      <c r="G97" s="9">
        <f t="shared" si="15"/>
        <v>1</v>
      </c>
      <c r="H97" s="6"/>
      <c r="I97" s="7"/>
      <c r="J97" s="6"/>
      <c r="K97" s="6"/>
      <c r="L97" s="34"/>
      <c r="M97" s="6"/>
    </row>
    <row r="98" spans="2:13" x14ac:dyDescent="0.3">
      <c r="B98" s="3">
        <v>51</v>
      </c>
      <c r="C98" s="2"/>
      <c r="D98" s="2"/>
      <c r="E98" s="2"/>
      <c r="F98" s="9"/>
      <c r="G98" s="9">
        <f t="shared" si="15"/>
        <v>1</v>
      </c>
      <c r="H98" s="6"/>
      <c r="I98" s="7"/>
      <c r="J98" s="6"/>
      <c r="K98" s="6"/>
      <c r="L98" s="34"/>
      <c r="M98" s="6"/>
    </row>
    <row r="99" spans="2:13" x14ac:dyDescent="0.3">
      <c r="B99" s="3">
        <v>63</v>
      </c>
      <c r="C99" s="2"/>
      <c r="D99" s="2"/>
      <c r="E99" s="2"/>
      <c r="F99" s="9"/>
      <c r="G99" s="9">
        <f t="shared" si="15"/>
        <v>1</v>
      </c>
      <c r="H99" s="6"/>
      <c r="I99" s="7"/>
      <c r="J99" s="6"/>
      <c r="K99" s="6"/>
      <c r="L99" s="34"/>
      <c r="M99" s="6"/>
    </row>
  </sheetData>
  <sortState ref="B17:F95">
    <sortCondition descending="1" ref="F16:F95"/>
  </sortState>
  <mergeCells count="9">
    <mergeCell ref="L17:M17"/>
    <mergeCell ref="K3:K4"/>
    <mergeCell ref="B18:B19"/>
    <mergeCell ref="G18:G19"/>
    <mergeCell ref="J18:J19"/>
    <mergeCell ref="K18:K19"/>
    <mergeCell ref="S2:U4"/>
    <mergeCell ref="S5:U6"/>
    <mergeCell ref="S7:U1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10</xdr:col>
                <xdr:colOff>30480</xdr:colOff>
                <xdr:row>4</xdr:row>
                <xdr:rowOff>38100</xdr:rowOff>
              </from>
              <to>
                <xdr:col>14</xdr:col>
                <xdr:colOff>594360</xdr:colOff>
                <xdr:row>6</xdr:row>
                <xdr:rowOff>114300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12</xdr:col>
                <xdr:colOff>175260</xdr:colOff>
                <xdr:row>10</xdr:row>
                <xdr:rowOff>7620</xdr:rowOff>
              </from>
              <to>
                <xdr:col>13</xdr:col>
                <xdr:colOff>495300</xdr:colOff>
                <xdr:row>12</xdr:row>
                <xdr:rowOff>38100</xdr:rowOff>
              </to>
            </anchor>
          </objectPr>
        </oleObject>
      </mc:Choice>
      <mc:Fallback>
        <oleObject progId="Equation.3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6"/>
  <sheetViews>
    <sheetView zoomScale="151" workbookViewId="0">
      <selection activeCell="E6" sqref="E6"/>
    </sheetView>
  </sheetViews>
  <sheetFormatPr defaultRowHeight="14.4" x14ac:dyDescent="0.3"/>
  <cols>
    <col min="4" max="6" width="11" style="7" customWidth="1"/>
    <col min="9" max="24" width="5.109375" style="7" customWidth="1"/>
  </cols>
  <sheetData>
    <row r="1" spans="2:25" s="6" customFormat="1" x14ac:dyDescent="0.3">
      <c r="D1" s="7"/>
      <c r="E1" s="7"/>
      <c r="F1" s="7"/>
      <c r="I1" s="47">
        <v>1</v>
      </c>
      <c r="J1" s="47">
        <v>2</v>
      </c>
      <c r="K1" s="47">
        <v>3</v>
      </c>
      <c r="L1" s="47">
        <v>4</v>
      </c>
      <c r="M1" s="47">
        <v>5</v>
      </c>
      <c r="N1" s="47">
        <v>6</v>
      </c>
      <c r="O1" s="47">
        <v>7</v>
      </c>
      <c r="P1" s="47">
        <v>8</v>
      </c>
      <c r="Q1" s="47">
        <v>9</v>
      </c>
      <c r="R1" s="47">
        <v>10</v>
      </c>
      <c r="S1" s="47">
        <v>11</v>
      </c>
      <c r="T1" s="47">
        <v>12</v>
      </c>
      <c r="U1" s="47">
        <v>13</v>
      </c>
      <c r="V1" s="47">
        <v>14</v>
      </c>
      <c r="W1" s="47">
        <v>15</v>
      </c>
      <c r="X1" s="47">
        <v>16</v>
      </c>
    </row>
    <row r="2" spans="2:25" s="6" customFormat="1" x14ac:dyDescent="0.3">
      <c r="D2" s="7"/>
      <c r="E2" s="7"/>
      <c r="F2" s="7"/>
      <c r="I2" s="48" t="s">
        <v>110</v>
      </c>
      <c r="J2" s="49">
        <v>6</v>
      </c>
      <c r="K2" s="50" t="s">
        <v>94</v>
      </c>
      <c r="L2" s="49">
        <v>16</v>
      </c>
      <c r="M2" s="46" t="s">
        <v>96</v>
      </c>
      <c r="N2" s="16">
        <v>26</v>
      </c>
      <c r="O2" s="49" t="s">
        <v>97</v>
      </c>
      <c r="P2" s="48">
        <v>36</v>
      </c>
      <c r="Q2" s="49">
        <v>41</v>
      </c>
      <c r="R2" s="52">
        <v>46</v>
      </c>
      <c r="S2" s="51">
        <v>51</v>
      </c>
      <c r="T2" s="3">
        <v>56</v>
      </c>
      <c r="U2" s="49">
        <v>61</v>
      </c>
      <c r="V2" s="49">
        <v>66</v>
      </c>
      <c r="W2" s="49" t="s">
        <v>104</v>
      </c>
      <c r="X2" s="3">
        <v>76</v>
      </c>
    </row>
    <row r="3" spans="2:25" s="6" customFormat="1" x14ac:dyDescent="0.3">
      <c r="D3" s="7"/>
      <c r="E3" s="7"/>
      <c r="F3" s="7"/>
      <c r="I3" s="49">
        <v>2</v>
      </c>
      <c r="J3" s="16">
        <v>7</v>
      </c>
      <c r="K3" s="16">
        <v>12</v>
      </c>
      <c r="L3" s="16">
        <v>17</v>
      </c>
      <c r="M3" s="45">
        <v>22</v>
      </c>
      <c r="N3" s="48">
        <v>27</v>
      </c>
      <c r="O3" s="16" t="s">
        <v>98</v>
      </c>
      <c r="P3" s="48">
        <v>37</v>
      </c>
      <c r="Q3" s="3">
        <v>42</v>
      </c>
      <c r="R3" s="3">
        <v>47</v>
      </c>
      <c r="S3" s="49" t="s">
        <v>101</v>
      </c>
      <c r="T3" s="52">
        <v>57</v>
      </c>
      <c r="U3" s="52">
        <v>62</v>
      </c>
      <c r="V3" s="49">
        <v>67</v>
      </c>
      <c r="W3" s="3">
        <v>72</v>
      </c>
      <c r="X3" s="52">
        <v>77</v>
      </c>
    </row>
    <row r="4" spans="2:25" s="6" customFormat="1" x14ac:dyDescent="0.3">
      <c r="B4" s="39" t="s">
        <v>50</v>
      </c>
      <c r="C4" s="7"/>
      <c r="D4" s="7"/>
      <c r="E4" s="7"/>
      <c r="F4" s="7"/>
      <c r="I4" s="48" t="s">
        <v>111</v>
      </c>
      <c r="J4" s="48" t="s">
        <v>92</v>
      </c>
      <c r="K4" s="16">
        <v>13</v>
      </c>
      <c r="L4" s="16">
        <v>18</v>
      </c>
      <c r="M4" s="9">
        <v>23</v>
      </c>
      <c r="N4" s="51">
        <v>28</v>
      </c>
      <c r="O4" s="48" t="s">
        <v>99</v>
      </c>
      <c r="P4" s="16">
        <v>38</v>
      </c>
      <c r="Q4" s="3">
        <v>43</v>
      </c>
      <c r="R4" s="52">
        <v>48</v>
      </c>
      <c r="S4" s="49">
        <v>53</v>
      </c>
      <c r="T4" s="49" t="s">
        <v>102</v>
      </c>
      <c r="U4" s="51">
        <v>63</v>
      </c>
      <c r="V4" s="3">
        <v>68</v>
      </c>
      <c r="W4" s="49" t="s">
        <v>105</v>
      </c>
      <c r="X4" s="49">
        <v>78</v>
      </c>
    </row>
    <row r="5" spans="2:25" s="6" customFormat="1" x14ac:dyDescent="0.3">
      <c r="B5" s="41" t="s">
        <v>52</v>
      </c>
      <c r="C5" s="41" t="s">
        <v>53</v>
      </c>
      <c r="D5" s="41" t="s">
        <v>51</v>
      </c>
      <c r="E5" s="41" t="s">
        <v>54</v>
      </c>
      <c r="F5" s="7"/>
      <c r="I5" s="16">
        <v>4</v>
      </c>
      <c r="J5" s="48" t="s">
        <v>93</v>
      </c>
      <c r="K5" s="16">
        <v>14</v>
      </c>
      <c r="L5" s="16">
        <v>19</v>
      </c>
      <c r="M5" s="45">
        <v>24</v>
      </c>
      <c r="N5" s="16">
        <v>29</v>
      </c>
      <c r="O5" s="16">
        <v>34</v>
      </c>
      <c r="P5" s="16" t="s">
        <v>100</v>
      </c>
      <c r="Q5" s="3">
        <v>44</v>
      </c>
      <c r="R5" s="3">
        <v>49</v>
      </c>
      <c r="S5" s="3">
        <v>54</v>
      </c>
      <c r="T5" s="3">
        <v>59</v>
      </c>
      <c r="U5" s="49" t="s">
        <v>103</v>
      </c>
      <c r="V5" s="3">
        <v>69</v>
      </c>
      <c r="W5" s="3">
        <v>74</v>
      </c>
      <c r="X5" s="3">
        <v>79</v>
      </c>
    </row>
    <row r="6" spans="2:25" s="6" customFormat="1" x14ac:dyDescent="0.3">
      <c r="B6" s="42">
        <v>2.5</v>
      </c>
      <c r="C6" s="42">
        <v>7.5</v>
      </c>
      <c r="D6" s="42">
        <v>5</v>
      </c>
      <c r="E6" s="16">
        <f>COUNTIFS($C$16:$C$89,"&gt;="&amp;B6,$C$16:$C$89,"&lt;"&amp;C6)</f>
        <v>1</v>
      </c>
      <c r="F6" s="7" t="s">
        <v>112</v>
      </c>
      <c r="I6" s="16">
        <v>5</v>
      </c>
      <c r="J6" s="51">
        <v>10</v>
      </c>
      <c r="K6" s="16">
        <v>15</v>
      </c>
      <c r="L6" s="48" t="s">
        <v>95</v>
      </c>
      <c r="M6" s="9">
        <v>25</v>
      </c>
      <c r="N6" s="16">
        <v>30</v>
      </c>
      <c r="O6" s="16">
        <v>35</v>
      </c>
      <c r="P6" s="16">
        <v>40</v>
      </c>
      <c r="Q6" s="3">
        <v>45</v>
      </c>
      <c r="R6" s="51">
        <v>50</v>
      </c>
      <c r="S6" s="3">
        <v>55</v>
      </c>
      <c r="T6" s="3">
        <v>60</v>
      </c>
      <c r="U6" s="3">
        <v>65</v>
      </c>
      <c r="V6" s="52">
        <v>70</v>
      </c>
      <c r="W6" s="3">
        <v>75</v>
      </c>
      <c r="X6" s="3" t="s">
        <v>106</v>
      </c>
    </row>
    <row r="7" spans="2:25" s="6" customFormat="1" x14ac:dyDescent="0.3">
      <c r="B7" s="42">
        <f>C6</f>
        <v>7.5</v>
      </c>
      <c r="C7" s="42">
        <f>B7+5</f>
        <v>12.5</v>
      </c>
      <c r="D7" s="42">
        <v>10</v>
      </c>
      <c r="E7" s="16">
        <f t="shared" ref="E7:E11" si="0">COUNTIFS($C$16:$C$89,"&gt;="&amp;B7,$C$16:$C$89,"&lt;"&amp;C7)</f>
        <v>1</v>
      </c>
      <c r="F7" s="7" t="s">
        <v>112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s="6" customFormat="1" x14ac:dyDescent="0.3">
      <c r="B8" s="42">
        <f>C7</f>
        <v>12.5</v>
      </c>
      <c r="C8" s="42">
        <f>B8+5</f>
        <v>17.5</v>
      </c>
      <c r="D8" s="42">
        <v>15</v>
      </c>
      <c r="E8" s="16">
        <f t="shared" si="0"/>
        <v>5</v>
      </c>
      <c r="F8" s="7" t="s">
        <v>112</v>
      </c>
      <c r="I8" s="53" t="s">
        <v>107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s="6" customFormat="1" x14ac:dyDescent="0.3">
      <c r="B9" s="42">
        <f>C8</f>
        <v>17.5</v>
      </c>
      <c r="C9" s="42">
        <f>B9+5</f>
        <v>22.5</v>
      </c>
      <c r="D9" s="42">
        <v>20</v>
      </c>
      <c r="E9" s="16">
        <f t="shared" si="0"/>
        <v>22</v>
      </c>
      <c r="F9" s="7" t="s">
        <v>113</v>
      </c>
      <c r="I9" s="54" t="s">
        <v>109</v>
      </c>
      <c r="J9" s="43"/>
      <c r="K9" s="43"/>
      <c r="L9" s="43"/>
      <c r="M9" s="43"/>
      <c r="N9" s="43"/>
      <c r="O9" s="43"/>
      <c r="P9" s="43"/>
      <c r="Q9" s="7"/>
      <c r="R9" s="7"/>
      <c r="S9" s="7"/>
      <c r="T9" s="7"/>
      <c r="U9" s="7"/>
      <c r="V9" s="7"/>
      <c r="W9" s="7"/>
      <c r="X9" s="7"/>
    </row>
    <row r="10" spans="2:25" x14ac:dyDescent="0.3">
      <c r="B10" s="42">
        <f>C9</f>
        <v>22.5</v>
      </c>
      <c r="C10" s="42">
        <f>B10+5</f>
        <v>27.5</v>
      </c>
      <c r="D10" s="42">
        <v>25</v>
      </c>
      <c r="E10" s="16">
        <f t="shared" si="0"/>
        <v>35</v>
      </c>
      <c r="F10" s="7" t="s">
        <v>115</v>
      </c>
      <c r="I10" s="55" t="s">
        <v>108</v>
      </c>
      <c r="Y10" s="6"/>
    </row>
    <row r="11" spans="2:25" x14ac:dyDescent="0.3">
      <c r="B11" s="42">
        <f>C10</f>
        <v>27.5</v>
      </c>
      <c r="C11" s="42">
        <f>B11+5</f>
        <v>32.5</v>
      </c>
      <c r="D11" s="42">
        <v>30</v>
      </c>
      <c r="E11" s="16">
        <f t="shared" si="0"/>
        <v>10</v>
      </c>
      <c r="F11" s="7" t="s">
        <v>114</v>
      </c>
      <c r="I11" s="56" t="s">
        <v>116</v>
      </c>
    </row>
    <row r="12" spans="2:25" x14ac:dyDescent="0.3">
      <c r="B12" s="40"/>
      <c r="C12" s="40"/>
      <c r="D12" s="40"/>
      <c r="E12" s="40">
        <f ca="1">SUM(E6:E12)</f>
        <v>0</v>
      </c>
    </row>
    <row r="14" spans="2:25" x14ac:dyDescent="0.3">
      <c r="B14" s="93" t="s">
        <v>0</v>
      </c>
      <c r="C14" s="11" t="s">
        <v>33</v>
      </c>
      <c r="D14" s="11"/>
      <c r="E14" s="9"/>
      <c r="F14" s="21"/>
    </row>
    <row r="15" spans="2:25" x14ac:dyDescent="0.3">
      <c r="B15" s="93"/>
      <c r="C15" s="24" t="s">
        <v>27</v>
      </c>
      <c r="D15" s="24" t="s">
        <v>3</v>
      </c>
      <c r="E15" s="9" t="s">
        <v>55</v>
      </c>
      <c r="F15" s="21"/>
    </row>
    <row r="16" spans="2:25" x14ac:dyDescent="0.3">
      <c r="B16" s="16">
        <v>1</v>
      </c>
      <c r="C16" s="9">
        <v>22.6</v>
      </c>
      <c r="D16" s="7">
        <v>18.5</v>
      </c>
      <c r="E16" s="43">
        <f t="shared" ref="E16:E47" si="1">LOOKUP(C16,$B$6:$B$11,$D$6:$D$11)</f>
        <v>25</v>
      </c>
      <c r="F16" s="43" t="s">
        <v>57</v>
      </c>
    </row>
    <row r="17" spans="2:6" x14ac:dyDescent="0.3">
      <c r="B17" s="16">
        <v>2</v>
      </c>
      <c r="C17" s="9">
        <v>27.2</v>
      </c>
      <c r="E17" s="7">
        <f t="shared" si="1"/>
        <v>25</v>
      </c>
      <c r="F17" s="7" t="s">
        <v>58</v>
      </c>
    </row>
    <row r="18" spans="2:6" x14ac:dyDescent="0.3">
      <c r="B18" s="16">
        <v>3</v>
      </c>
      <c r="C18" s="9">
        <v>21.45</v>
      </c>
      <c r="D18" s="7">
        <v>22.5</v>
      </c>
      <c r="E18" s="43">
        <f t="shared" si="1"/>
        <v>20</v>
      </c>
      <c r="F18" s="43" t="s">
        <v>57</v>
      </c>
    </row>
    <row r="19" spans="2:6" x14ac:dyDescent="0.3">
      <c r="B19" s="16">
        <v>4</v>
      </c>
      <c r="C19" s="9">
        <v>21.7</v>
      </c>
      <c r="E19" s="7">
        <f t="shared" si="1"/>
        <v>20</v>
      </c>
      <c r="F19" s="7" t="s">
        <v>58</v>
      </c>
    </row>
    <row r="20" spans="2:6" x14ac:dyDescent="0.3">
      <c r="B20" s="16">
        <v>5</v>
      </c>
      <c r="C20" s="9">
        <v>25.8</v>
      </c>
      <c r="E20" s="7">
        <f t="shared" si="1"/>
        <v>25</v>
      </c>
      <c r="F20" s="7" t="s">
        <v>59</v>
      </c>
    </row>
    <row r="21" spans="2:6" x14ac:dyDescent="0.3">
      <c r="B21" s="16">
        <v>6</v>
      </c>
      <c r="C21" s="9">
        <v>26.85</v>
      </c>
      <c r="E21" s="7">
        <f t="shared" si="1"/>
        <v>25</v>
      </c>
      <c r="F21" s="7" t="s">
        <v>60</v>
      </c>
    </row>
    <row r="22" spans="2:6" x14ac:dyDescent="0.3">
      <c r="B22" s="16">
        <v>7</v>
      </c>
      <c r="C22" s="9">
        <v>24.75</v>
      </c>
      <c r="E22" s="7">
        <f t="shared" si="1"/>
        <v>25</v>
      </c>
      <c r="F22" s="7" t="s">
        <v>61</v>
      </c>
    </row>
    <row r="23" spans="2:6" x14ac:dyDescent="0.3">
      <c r="B23" s="16">
        <v>8</v>
      </c>
      <c r="C23" s="9">
        <v>26.45</v>
      </c>
      <c r="D23" s="7">
        <v>23</v>
      </c>
      <c r="E23" s="44">
        <f t="shared" si="1"/>
        <v>25</v>
      </c>
      <c r="F23" s="44" t="s">
        <v>62</v>
      </c>
    </row>
    <row r="24" spans="2:6" x14ac:dyDescent="0.3">
      <c r="B24" s="16">
        <v>9</v>
      </c>
      <c r="C24" s="9">
        <v>14.3</v>
      </c>
      <c r="D24" s="7">
        <v>15.5</v>
      </c>
      <c r="E24" s="43">
        <f t="shared" si="1"/>
        <v>15</v>
      </c>
      <c r="F24" s="43" t="s">
        <v>57</v>
      </c>
    </row>
    <row r="25" spans="2:6" x14ac:dyDescent="0.3">
      <c r="B25" s="16">
        <v>11</v>
      </c>
      <c r="C25" s="9">
        <v>29.4</v>
      </c>
      <c r="D25" s="7">
        <v>23.5</v>
      </c>
      <c r="E25" s="43">
        <f t="shared" si="1"/>
        <v>30</v>
      </c>
      <c r="F25" s="43" t="s">
        <v>57</v>
      </c>
    </row>
    <row r="26" spans="2:6" x14ac:dyDescent="0.3">
      <c r="B26" s="16">
        <v>12</v>
      </c>
      <c r="C26" s="9">
        <v>22.15</v>
      </c>
      <c r="E26" s="7">
        <f t="shared" si="1"/>
        <v>20</v>
      </c>
      <c r="F26" s="7" t="s">
        <v>59</v>
      </c>
    </row>
    <row r="27" spans="2:6" x14ac:dyDescent="0.3">
      <c r="B27" s="16">
        <v>13</v>
      </c>
      <c r="C27" s="9">
        <v>20.5</v>
      </c>
      <c r="E27" s="7">
        <f t="shared" si="1"/>
        <v>20</v>
      </c>
      <c r="F27" s="7" t="s">
        <v>60</v>
      </c>
    </row>
    <row r="28" spans="2:6" x14ac:dyDescent="0.3">
      <c r="B28" s="16">
        <v>15</v>
      </c>
      <c r="C28" s="9">
        <v>25</v>
      </c>
      <c r="E28" s="7">
        <f t="shared" si="1"/>
        <v>25</v>
      </c>
      <c r="F28" s="7" t="s">
        <v>63</v>
      </c>
    </row>
    <row r="29" spans="2:6" x14ac:dyDescent="0.3">
      <c r="B29" s="16">
        <v>16</v>
      </c>
      <c r="C29" s="9">
        <v>28.35</v>
      </c>
      <c r="E29" s="7">
        <f t="shared" si="1"/>
        <v>30</v>
      </c>
      <c r="F29" s="7" t="s">
        <v>58</v>
      </c>
    </row>
    <row r="30" spans="2:6" x14ac:dyDescent="0.3">
      <c r="B30" s="16">
        <v>17</v>
      </c>
      <c r="C30" s="9">
        <v>20.75</v>
      </c>
      <c r="E30" s="7">
        <f t="shared" si="1"/>
        <v>20</v>
      </c>
      <c r="F30" s="7" t="s">
        <v>61</v>
      </c>
    </row>
    <row r="31" spans="2:6" x14ac:dyDescent="0.3">
      <c r="B31" s="16">
        <v>18</v>
      </c>
      <c r="C31" s="9">
        <v>24.7</v>
      </c>
      <c r="E31" s="7">
        <f t="shared" si="1"/>
        <v>25</v>
      </c>
      <c r="F31" s="7" t="s">
        <v>64</v>
      </c>
    </row>
    <row r="32" spans="2:6" x14ac:dyDescent="0.3">
      <c r="B32" s="16">
        <v>19</v>
      </c>
      <c r="C32" s="9">
        <v>25.2</v>
      </c>
      <c r="E32" s="7">
        <f t="shared" si="1"/>
        <v>25</v>
      </c>
      <c r="F32" s="7" t="s">
        <v>65</v>
      </c>
    </row>
    <row r="33" spans="2:6" x14ac:dyDescent="0.3">
      <c r="B33" s="16">
        <v>20</v>
      </c>
      <c r="C33" s="9">
        <v>4.05</v>
      </c>
      <c r="D33" s="7">
        <v>5.5</v>
      </c>
      <c r="E33" s="43">
        <f t="shared" si="1"/>
        <v>5</v>
      </c>
      <c r="F33" s="43" t="s">
        <v>56</v>
      </c>
    </row>
    <row r="34" spans="2:6" x14ac:dyDescent="0.3">
      <c r="B34" s="16">
        <v>21</v>
      </c>
      <c r="C34" s="9">
        <v>21.25</v>
      </c>
      <c r="D34" s="7">
        <v>22.5</v>
      </c>
      <c r="E34" s="43">
        <f t="shared" si="1"/>
        <v>20</v>
      </c>
      <c r="F34" s="43" t="s">
        <v>62</v>
      </c>
    </row>
    <row r="35" spans="2:6" x14ac:dyDescent="0.3">
      <c r="B35" s="16">
        <v>22</v>
      </c>
      <c r="C35" s="9">
        <v>21.95</v>
      </c>
      <c r="E35" s="7">
        <f t="shared" si="1"/>
        <v>20</v>
      </c>
      <c r="F35" s="7" t="s">
        <v>63</v>
      </c>
    </row>
    <row r="36" spans="2:6" x14ac:dyDescent="0.3">
      <c r="B36" s="16">
        <v>23</v>
      </c>
      <c r="C36" s="9">
        <v>22.75</v>
      </c>
      <c r="E36" s="7">
        <f t="shared" si="1"/>
        <v>25</v>
      </c>
      <c r="F36" s="7" t="s">
        <v>66</v>
      </c>
    </row>
    <row r="37" spans="2:6" x14ac:dyDescent="0.3">
      <c r="B37" s="16">
        <v>24</v>
      </c>
      <c r="C37" s="9">
        <v>14.65</v>
      </c>
      <c r="E37" s="7">
        <f t="shared" si="1"/>
        <v>15</v>
      </c>
      <c r="F37" s="7" t="s">
        <v>58</v>
      </c>
    </row>
    <row r="38" spans="2:6" x14ac:dyDescent="0.3">
      <c r="B38" s="16">
        <v>25</v>
      </c>
      <c r="C38" s="9">
        <v>20.05</v>
      </c>
      <c r="E38" s="7">
        <f t="shared" si="1"/>
        <v>20</v>
      </c>
      <c r="F38" s="7" t="s">
        <v>64</v>
      </c>
    </row>
    <row r="39" spans="2:6" x14ac:dyDescent="0.3">
      <c r="B39" s="16">
        <v>26</v>
      </c>
      <c r="C39" s="9">
        <v>20.100000000000001</v>
      </c>
      <c r="E39" s="7">
        <f t="shared" si="1"/>
        <v>20</v>
      </c>
      <c r="F39" s="7" t="s">
        <v>65</v>
      </c>
    </row>
    <row r="40" spans="2:6" x14ac:dyDescent="0.3">
      <c r="B40" s="16">
        <v>27</v>
      </c>
      <c r="C40" s="9">
        <v>22.6</v>
      </c>
      <c r="E40" s="7">
        <f t="shared" si="1"/>
        <v>25</v>
      </c>
      <c r="F40" s="7" t="s">
        <v>67</v>
      </c>
    </row>
    <row r="41" spans="2:6" x14ac:dyDescent="0.3">
      <c r="B41" s="16">
        <v>29</v>
      </c>
      <c r="C41" s="9">
        <v>17.350000000000001</v>
      </c>
      <c r="E41" s="7">
        <f t="shared" si="1"/>
        <v>15</v>
      </c>
      <c r="F41" s="7" t="s">
        <v>59</v>
      </c>
    </row>
    <row r="42" spans="2:6" x14ac:dyDescent="0.3">
      <c r="B42" s="16">
        <v>30</v>
      </c>
      <c r="C42" s="9">
        <v>24.5</v>
      </c>
      <c r="E42" s="7">
        <f t="shared" si="1"/>
        <v>25</v>
      </c>
      <c r="F42" s="7" t="s">
        <v>68</v>
      </c>
    </row>
    <row r="43" spans="2:6" x14ac:dyDescent="0.3">
      <c r="B43" s="16">
        <v>31</v>
      </c>
      <c r="C43" s="9">
        <v>26.9</v>
      </c>
      <c r="D43" s="7">
        <v>23</v>
      </c>
      <c r="E43" s="7">
        <f t="shared" si="1"/>
        <v>25</v>
      </c>
      <c r="F43" s="7" t="s">
        <v>69</v>
      </c>
    </row>
    <row r="44" spans="2:6" x14ac:dyDescent="0.3">
      <c r="B44" s="16">
        <v>32</v>
      </c>
      <c r="C44" s="9">
        <v>19.55</v>
      </c>
      <c r="D44" s="7">
        <v>20.5</v>
      </c>
      <c r="E44" s="7">
        <f t="shared" si="1"/>
        <v>20</v>
      </c>
      <c r="F44" s="7" t="s">
        <v>66</v>
      </c>
    </row>
    <row r="45" spans="2:6" x14ac:dyDescent="0.3">
      <c r="B45" s="16">
        <v>33</v>
      </c>
      <c r="C45" s="9">
        <v>8.15</v>
      </c>
      <c r="D45" s="7">
        <v>11.5</v>
      </c>
      <c r="E45" s="43">
        <f t="shared" si="1"/>
        <v>10</v>
      </c>
      <c r="F45" s="43" t="s">
        <v>56</v>
      </c>
    </row>
    <row r="46" spans="2:6" x14ac:dyDescent="0.3">
      <c r="B46" s="16">
        <v>34</v>
      </c>
      <c r="C46" s="9">
        <v>22.95</v>
      </c>
      <c r="E46" s="7">
        <f t="shared" si="1"/>
        <v>25</v>
      </c>
      <c r="F46" s="7" t="s">
        <v>70</v>
      </c>
    </row>
    <row r="47" spans="2:6" x14ac:dyDescent="0.3">
      <c r="B47" s="16">
        <v>35</v>
      </c>
      <c r="C47" s="9">
        <v>24.25</v>
      </c>
      <c r="E47" s="7">
        <f t="shared" si="1"/>
        <v>25</v>
      </c>
      <c r="F47" s="7" t="s">
        <v>71</v>
      </c>
    </row>
    <row r="48" spans="2:6" x14ac:dyDescent="0.3">
      <c r="B48" s="16">
        <v>36</v>
      </c>
      <c r="C48" s="9">
        <v>21.95</v>
      </c>
      <c r="E48" s="7">
        <f t="shared" ref="E48:E79" si="2">LOOKUP(C48,$B$6:$B$11,$D$6:$D$11)</f>
        <v>20</v>
      </c>
      <c r="F48" s="7" t="s">
        <v>67</v>
      </c>
    </row>
    <row r="49" spans="2:6" x14ac:dyDescent="0.3">
      <c r="B49" s="16">
        <v>37</v>
      </c>
      <c r="C49" s="9">
        <v>22.6</v>
      </c>
      <c r="E49" s="7">
        <f t="shared" si="2"/>
        <v>25</v>
      </c>
      <c r="F49" s="7" t="s">
        <v>72</v>
      </c>
    </row>
    <row r="50" spans="2:6" x14ac:dyDescent="0.3">
      <c r="B50" s="16">
        <v>38</v>
      </c>
      <c r="C50" s="9">
        <v>23.3</v>
      </c>
      <c r="E50" s="7">
        <f t="shared" si="2"/>
        <v>25</v>
      </c>
      <c r="F50" s="7" t="s">
        <v>73</v>
      </c>
    </row>
    <row r="51" spans="2:6" x14ac:dyDescent="0.3">
      <c r="B51" s="16">
        <v>39</v>
      </c>
      <c r="C51" s="9">
        <v>24.9</v>
      </c>
      <c r="D51" s="7">
        <v>22</v>
      </c>
      <c r="E51" s="7">
        <f t="shared" si="2"/>
        <v>25</v>
      </c>
      <c r="F51" s="7" t="s">
        <v>74</v>
      </c>
    </row>
    <row r="52" spans="2:6" x14ac:dyDescent="0.3">
      <c r="B52" s="16">
        <v>40</v>
      </c>
      <c r="C52" s="9">
        <v>21.85</v>
      </c>
      <c r="E52" s="7">
        <f t="shared" si="2"/>
        <v>20</v>
      </c>
      <c r="F52" s="7" t="s">
        <v>68</v>
      </c>
    </row>
    <row r="53" spans="2:6" x14ac:dyDescent="0.3">
      <c r="B53" s="3">
        <v>41</v>
      </c>
      <c r="C53" s="9">
        <v>28.5</v>
      </c>
      <c r="E53" s="7">
        <f t="shared" si="2"/>
        <v>30</v>
      </c>
      <c r="F53" s="7" t="s">
        <v>59</v>
      </c>
    </row>
    <row r="54" spans="2:6" x14ac:dyDescent="0.3">
      <c r="B54" s="3">
        <v>42</v>
      </c>
      <c r="C54" s="9">
        <v>21.4</v>
      </c>
      <c r="E54" s="7">
        <f t="shared" si="2"/>
        <v>20</v>
      </c>
      <c r="F54" s="7" t="s">
        <v>69</v>
      </c>
    </row>
    <row r="55" spans="2:6" x14ac:dyDescent="0.3">
      <c r="B55" s="3">
        <v>43</v>
      </c>
      <c r="C55" s="9">
        <v>19.05</v>
      </c>
      <c r="E55" s="7">
        <f t="shared" si="2"/>
        <v>20</v>
      </c>
      <c r="F55" s="7" t="s">
        <v>70</v>
      </c>
    </row>
    <row r="56" spans="2:6" x14ac:dyDescent="0.3">
      <c r="B56" s="3">
        <v>44</v>
      </c>
      <c r="C56" s="9">
        <v>24.75</v>
      </c>
      <c r="E56" s="7">
        <f t="shared" si="2"/>
        <v>25</v>
      </c>
      <c r="F56" s="7" t="s">
        <v>75</v>
      </c>
    </row>
    <row r="57" spans="2:6" x14ac:dyDescent="0.3">
      <c r="B57" s="3">
        <v>45</v>
      </c>
      <c r="C57" s="9">
        <v>25.85</v>
      </c>
      <c r="E57" s="7">
        <f t="shared" si="2"/>
        <v>25</v>
      </c>
      <c r="F57" s="7" t="s">
        <v>76</v>
      </c>
    </row>
    <row r="58" spans="2:6" x14ac:dyDescent="0.3">
      <c r="B58" s="3">
        <v>46</v>
      </c>
      <c r="C58" s="9">
        <v>25.2</v>
      </c>
      <c r="E58" s="7">
        <f t="shared" si="2"/>
        <v>25</v>
      </c>
      <c r="F58" s="7" t="s">
        <v>77</v>
      </c>
    </row>
    <row r="59" spans="2:6" x14ac:dyDescent="0.3">
      <c r="B59" s="3">
        <v>47</v>
      </c>
      <c r="C59" s="9">
        <v>20.399999999999999</v>
      </c>
      <c r="E59" s="7">
        <f t="shared" si="2"/>
        <v>20</v>
      </c>
      <c r="F59" s="7" t="s">
        <v>71</v>
      </c>
    </row>
    <row r="60" spans="2:6" x14ac:dyDescent="0.3">
      <c r="B60" s="3">
        <v>48</v>
      </c>
      <c r="C60" s="9">
        <v>21.4</v>
      </c>
      <c r="E60" s="7">
        <f t="shared" si="2"/>
        <v>20</v>
      </c>
      <c r="F60" s="7" t="s">
        <v>72</v>
      </c>
    </row>
    <row r="61" spans="2:6" x14ac:dyDescent="0.3">
      <c r="B61" s="3">
        <v>49</v>
      </c>
      <c r="C61" s="9">
        <v>24.25</v>
      </c>
      <c r="E61" s="7">
        <f t="shared" si="2"/>
        <v>25</v>
      </c>
      <c r="F61" s="7" t="s">
        <v>78</v>
      </c>
    </row>
    <row r="62" spans="2:6" x14ac:dyDescent="0.3">
      <c r="B62" s="3">
        <v>52</v>
      </c>
      <c r="C62" s="9">
        <v>26.9</v>
      </c>
      <c r="D62" s="7">
        <v>22</v>
      </c>
      <c r="E62" s="7">
        <f t="shared" si="2"/>
        <v>25</v>
      </c>
      <c r="F62" s="7" t="s">
        <v>80</v>
      </c>
    </row>
    <row r="63" spans="2:6" x14ac:dyDescent="0.3">
      <c r="B63" s="3">
        <v>53</v>
      </c>
      <c r="C63" s="9">
        <v>28.75</v>
      </c>
      <c r="E63" s="7">
        <f t="shared" si="2"/>
        <v>30</v>
      </c>
      <c r="F63" s="7" t="s">
        <v>60</v>
      </c>
    </row>
    <row r="64" spans="2:6" x14ac:dyDescent="0.3">
      <c r="B64" s="3">
        <v>54</v>
      </c>
      <c r="C64" s="9">
        <v>23.6</v>
      </c>
      <c r="E64" s="7">
        <f t="shared" si="2"/>
        <v>25</v>
      </c>
      <c r="F64" s="7" t="s">
        <v>85</v>
      </c>
    </row>
    <row r="65" spans="2:6" x14ac:dyDescent="0.3">
      <c r="B65" s="3">
        <v>55</v>
      </c>
      <c r="C65" s="9">
        <v>26.5</v>
      </c>
      <c r="E65" s="7">
        <f t="shared" si="2"/>
        <v>25</v>
      </c>
      <c r="F65" s="7" t="s">
        <v>86</v>
      </c>
    </row>
    <row r="66" spans="2:6" x14ac:dyDescent="0.3">
      <c r="B66" s="3">
        <v>56</v>
      </c>
      <c r="C66" s="9">
        <v>14.05</v>
      </c>
      <c r="E66" s="7">
        <f t="shared" si="2"/>
        <v>15</v>
      </c>
      <c r="F66" s="7" t="s">
        <v>60</v>
      </c>
    </row>
    <row r="67" spans="2:6" x14ac:dyDescent="0.3">
      <c r="B67" s="3">
        <v>57</v>
      </c>
      <c r="C67" s="9">
        <v>22.8</v>
      </c>
      <c r="E67" s="7">
        <f t="shared" si="2"/>
        <v>25</v>
      </c>
      <c r="F67" s="7" t="s">
        <v>87</v>
      </c>
    </row>
    <row r="68" spans="2:6" x14ac:dyDescent="0.3">
      <c r="B68" s="3">
        <v>58</v>
      </c>
      <c r="C68" s="9">
        <v>28.15</v>
      </c>
      <c r="D68" s="7">
        <v>23.5</v>
      </c>
      <c r="E68" s="7">
        <f t="shared" si="2"/>
        <v>30</v>
      </c>
      <c r="F68" s="7" t="s">
        <v>61</v>
      </c>
    </row>
    <row r="69" spans="2:6" x14ac:dyDescent="0.3">
      <c r="B69" s="3">
        <v>59</v>
      </c>
      <c r="C69" s="9">
        <v>21</v>
      </c>
      <c r="E69" s="7">
        <f t="shared" si="2"/>
        <v>20</v>
      </c>
      <c r="F69" s="7" t="s">
        <v>73</v>
      </c>
    </row>
    <row r="70" spans="2:6" x14ac:dyDescent="0.3">
      <c r="B70" s="3">
        <v>60</v>
      </c>
      <c r="C70" s="9">
        <v>25.55</v>
      </c>
      <c r="E70" s="7">
        <f t="shared" si="2"/>
        <v>25</v>
      </c>
      <c r="F70" s="7" t="s">
        <v>81</v>
      </c>
    </row>
    <row r="71" spans="2:6" x14ac:dyDescent="0.3">
      <c r="B71" s="3">
        <v>61</v>
      </c>
      <c r="C71" s="9">
        <v>22.7</v>
      </c>
      <c r="E71" s="7">
        <f t="shared" si="2"/>
        <v>25</v>
      </c>
      <c r="F71" s="7" t="s">
        <v>88</v>
      </c>
    </row>
    <row r="72" spans="2:6" x14ac:dyDescent="0.3">
      <c r="B72" s="3">
        <v>62</v>
      </c>
      <c r="C72" s="9">
        <v>28.15</v>
      </c>
      <c r="E72" s="7">
        <f t="shared" si="2"/>
        <v>30</v>
      </c>
      <c r="F72" s="7" t="s">
        <v>62</v>
      </c>
    </row>
    <row r="73" spans="2:6" x14ac:dyDescent="0.3">
      <c r="B73" s="3">
        <v>64</v>
      </c>
      <c r="C73" s="9">
        <v>28</v>
      </c>
      <c r="D73" s="7">
        <v>23.3</v>
      </c>
      <c r="E73" s="7">
        <f t="shared" si="2"/>
        <v>30</v>
      </c>
      <c r="F73" s="7" t="s">
        <v>63</v>
      </c>
    </row>
    <row r="74" spans="2:6" x14ac:dyDescent="0.3">
      <c r="B74" s="3">
        <v>65</v>
      </c>
      <c r="C74" s="9">
        <v>23.75</v>
      </c>
      <c r="E74" s="7">
        <f t="shared" si="2"/>
        <v>25</v>
      </c>
      <c r="F74" s="7" t="s">
        <v>89</v>
      </c>
    </row>
    <row r="75" spans="2:6" x14ac:dyDescent="0.3">
      <c r="B75" s="3">
        <v>66</v>
      </c>
      <c r="C75" s="9">
        <v>28.95</v>
      </c>
      <c r="E75" s="7">
        <f t="shared" si="2"/>
        <v>30</v>
      </c>
      <c r="F75" s="7" t="s">
        <v>64</v>
      </c>
    </row>
    <row r="76" spans="2:6" x14ac:dyDescent="0.3">
      <c r="B76" s="3">
        <v>67</v>
      </c>
      <c r="C76" s="9">
        <v>27.2</v>
      </c>
      <c r="E76" s="7">
        <f t="shared" si="2"/>
        <v>25</v>
      </c>
      <c r="F76" s="7" t="s">
        <v>82</v>
      </c>
    </row>
    <row r="77" spans="2:6" x14ac:dyDescent="0.3">
      <c r="B77" s="3">
        <v>68</v>
      </c>
      <c r="C77" s="9">
        <v>19.3</v>
      </c>
      <c r="E77" s="7">
        <f t="shared" si="2"/>
        <v>20</v>
      </c>
      <c r="F77" s="7" t="s">
        <v>74</v>
      </c>
    </row>
    <row r="78" spans="2:6" x14ac:dyDescent="0.3">
      <c r="B78" s="3">
        <v>69</v>
      </c>
      <c r="C78" s="9">
        <v>16.25</v>
      </c>
      <c r="E78" s="7">
        <f t="shared" si="2"/>
        <v>15</v>
      </c>
      <c r="F78" s="7" t="s">
        <v>61</v>
      </c>
    </row>
    <row r="79" spans="2:6" x14ac:dyDescent="0.3">
      <c r="B79" s="3">
        <v>70</v>
      </c>
      <c r="C79" s="9">
        <v>23.7</v>
      </c>
      <c r="E79" s="7">
        <f t="shared" si="2"/>
        <v>25</v>
      </c>
      <c r="F79" s="7" t="s">
        <v>79</v>
      </c>
    </row>
    <row r="80" spans="2:6" x14ac:dyDescent="0.3">
      <c r="B80" s="3">
        <v>71</v>
      </c>
      <c r="C80" s="9">
        <v>28.65</v>
      </c>
      <c r="D80" s="7">
        <v>25.5</v>
      </c>
      <c r="E80" s="7">
        <f t="shared" ref="E80:E89" si="3">LOOKUP(C80,$B$6:$B$11,$D$6:$D$11)</f>
        <v>30</v>
      </c>
      <c r="F80" s="7" t="s">
        <v>65</v>
      </c>
    </row>
    <row r="81" spans="2:6" x14ac:dyDescent="0.3">
      <c r="B81" s="3">
        <v>72</v>
      </c>
      <c r="C81" s="9">
        <v>20.45</v>
      </c>
      <c r="E81" s="7">
        <f t="shared" si="3"/>
        <v>20</v>
      </c>
      <c r="F81" s="7" t="s">
        <v>75</v>
      </c>
    </row>
    <row r="82" spans="2:6" x14ac:dyDescent="0.3">
      <c r="B82" s="3">
        <v>73</v>
      </c>
      <c r="C82" s="9">
        <v>27.1</v>
      </c>
      <c r="D82" s="7">
        <v>22.5</v>
      </c>
      <c r="E82" s="7">
        <f t="shared" si="3"/>
        <v>25</v>
      </c>
      <c r="F82" s="7" t="s">
        <v>90</v>
      </c>
    </row>
    <row r="83" spans="2:6" x14ac:dyDescent="0.3">
      <c r="B83" s="3">
        <v>74</v>
      </c>
      <c r="C83" s="9">
        <v>24</v>
      </c>
      <c r="E83" s="7">
        <f t="shared" si="3"/>
        <v>25</v>
      </c>
      <c r="F83" s="7" t="s">
        <v>91</v>
      </c>
    </row>
    <row r="84" spans="2:6" x14ac:dyDescent="0.3">
      <c r="B84" s="3">
        <v>75</v>
      </c>
      <c r="C84" s="9">
        <v>23.8</v>
      </c>
      <c r="E84" s="7">
        <f t="shared" si="3"/>
        <v>25</v>
      </c>
      <c r="F84" s="7" t="s">
        <v>83</v>
      </c>
    </row>
    <row r="85" spans="2:6" x14ac:dyDescent="0.3">
      <c r="B85" s="3">
        <v>76</v>
      </c>
      <c r="C85" s="9">
        <v>22.2</v>
      </c>
      <c r="E85" s="7">
        <f t="shared" si="3"/>
        <v>20</v>
      </c>
      <c r="F85" s="7" t="s">
        <v>76</v>
      </c>
    </row>
    <row r="86" spans="2:6" x14ac:dyDescent="0.3">
      <c r="B86" s="3">
        <v>77</v>
      </c>
      <c r="C86" s="9">
        <v>17.5</v>
      </c>
      <c r="E86" s="7">
        <f t="shared" si="3"/>
        <v>20</v>
      </c>
      <c r="F86" s="7" t="s">
        <v>77</v>
      </c>
    </row>
    <row r="87" spans="2:6" x14ac:dyDescent="0.3">
      <c r="B87" s="3">
        <v>78</v>
      </c>
      <c r="C87" s="9">
        <v>29.75</v>
      </c>
      <c r="E87" s="7">
        <f t="shared" si="3"/>
        <v>30</v>
      </c>
      <c r="F87" s="7" t="s">
        <v>66</v>
      </c>
    </row>
    <row r="88" spans="2:6" x14ac:dyDescent="0.3">
      <c r="B88" s="3">
        <v>79</v>
      </c>
      <c r="C88" s="9">
        <v>18.600000000000001</v>
      </c>
      <c r="E88" s="7">
        <f t="shared" si="3"/>
        <v>20</v>
      </c>
      <c r="F88" s="7" t="s">
        <v>78</v>
      </c>
    </row>
    <row r="89" spans="2:6" x14ac:dyDescent="0.3">
      <c r="B89" s="3">
        <v>80</v>
      </c>
      <c r="C89" s="9">
        <v>24.35</v>
      </c>
      <c r="D89" s="7">
        <v>22</v>
      </c>
      <c r="E89" s="7">
        <f t="shared" si="3"/>
        <v>25</v>
      </c>
      <c r="F89" s="7" t="s">
        <v>84</v>
      </c>
    </row>
    <row r="91" spans="2:6" x14ac:dyDescent="0.3">
      <c r="B91" s="16">
        <v>10</v>
      </c>
      <c r="C91" s="9"/>
      <c r="D91" s="21"/>
    </row>
    <row r="92" spans="2:6" x14ac:dyDescent="0.3">
      <c r="B92" s="16">
        <v>14</v>
      </c>
      <c r="C92" s="9"/>
      <c r="D92" s="21"/>
    </row>
    <row r="93" spans="2:6" x14ac:dyDescent="0.3">
      <c r="B93" s="16">
        <v>28</v>
      </c>
      <c r="C93" s="9"/>
      <c r="D93" s="21"/>
    </row>
    <row r="94" spans="2:6" x14ac:dyDescent="0.3">
      <c r="B94" s="3">
        <v>50</v>
      </c>
      <c r="C94" s="9"/>
      <c r="D94" s="21"/>
    </row>
    <row r="95" spans="2:6" x14ac:dyDescent="0.3">
      <c r="B95" s="3">
        <v>51</v>
      </c>
      <c r="C95" s="9"/>
      <c r="D95" s="21"/>
    </row>
    <row r="96" spans="2:6" x14ac:dyDescent="0.3">
      <c r="B96" s="3">
        <v>63</v>
      </c>
      <c r="C96" s="9"/>
      <c r="D96" s="21"/>
    </row>
  </sheetData>
  <autoFilter ref="B14:F89"/>
  <sortState ref="J4:M77">
    <sortCondition ref="J4:J77"/>
  </sortState>
  <mergeCells count="1">
    <mergeCell ref="B14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123_plotEc</vt:lpstr>
      <vt:lpstr>123_plotEc_dist_diametros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2025-10-10T07:15:38Z</dcterms:created>
  <dcterms:modified xsi:type="dcterms:W3CDTF">2025-10-15T10:36:14Z</dcterms:modified>
</cp:coreProperties>
</file>