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LG_Backup\Susana\Aulas\2022-23_ForestModels\Data\"/>
    </mc:Choice>
  </mc:AlternateContent>
  <bookViews>
    <workbookView xWindow="0" yWindow="0" windowWidth="23040" windowHeight="8904" activeTab="1"/>
  </bookViews>
  <sheets>
    <sheet name="StandTableProjection" sheetId="1" r:id="rId1"/>
    <sheet name="TotalStemAnalysis_HeightGrowth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44" i="2" l="1"/>
  <c r="E3" i="2"/>
  <c r="Y21" i="2"/>
  <c r="I21" i="2"/>
  <c r="I31" i="1"/>
  <c r="N31" i="1"/>
  <c r="M31" i="1"/>
  <c r="K31" i="1"/>
  <c r="G37" i="1"/>
  <c r="H37" i="1"/>
  <c r="G32" i="1"/>
  <c r="F31" i="1"/>
  <c r="C41" i="1"/>
  <c r="C40" i="1"/>
  <c r="E37" i="1"/>
  <c r="E32" i="1"/>
  <c r="E33" i="1"/>
  <c r="E34" i="1"/>
  <c r="E35" i="1"/>
  <c r="E36" i="1"/>
  <c r="E31" i="1"/>
  <c r="AF14" i="2" l="1"/>
  <c r="AF13" i="2" s="1"/>
  <c r="AF12" i="2" s="1"/>
  <c r="AF11" i="2" s="1"/>
  <c r="AF10" i="2" s="1"/>
  <c r="AF9" i="2" s="1"/>
  <c r="AF19" i="2"/>
  <c r="AF18" i="2" s="1"/>
  <c r="AF28" i="2"/>
  <c r="AF27" i="2" s="1"/>
  <c r="AF26" i="2" s="1"/>
  <c r="AF25" i="2" s="1"/>
  <c r="AF32" i="2"/>
  <c r="AF31" i="2" s="1"/>
  <c r="AF30" i="2" s="1"/>
  <c r="AF43" i="2"/>
  <c r="K21" i="2"/>
  <c r="AF41" i="2" s="1"/>
  <c r="AF40" i="2" s="1"/>
  <c r="AF39" i="2" s="1"/>
  <c r="AF38" i="2" s="1"/>
  <c r="M21" i="2"/>
  <c r="AF36" i="2" s="1"/>
  <c r="AF35" i="2" s="1"/>
  <c r="AF34" i="2" s="1"/>
  <c r="O21" i="2"/>
  <c r="Q21" i="2"/>
  <c r="S21" i="2"/>
  <c r="AF23" i="2" s="1"/>
  <c r="AF22" i="2" s="1"/>
  <c r="AF21" i="2" s="1"/>
  <c r="U21" i="2"/>
  <c r="W21" i="2"/>
  <c r="AF16" i="2" s="1"/>
  <c r="G21" i="2"/>
  <c r="AF47" i="2" s="1"/>
  <c r="AF46" i="2" s="1"/>
  <c r="E12" i="2" l="1"/>
  <c r="E5" i="2"/>
  <c r="E6" i="2"/>
  <c r="E7" i="2"/>
  <c r="E8" i="2"/>
  <c r="E9" i="2"/>
  <c r="E10" i="2"/>
  <c r="E11" i="2"/>
  <c r="E4" i="2"/>
  <c r="K32" i="1" l="1"/>
  <c r="K33" i="1"/>
  <c r="K34" i="1"/>
  <c r="K35" i="1"/>
  <c r="K36" i="1"/>
  <c r="K37" i="1"/>
  <c r="K38" i="1"/>
  <c r="K39" i="1"/>
  <c r="L31" i="1"/>
  <c r="L51" i="1"/>
  <c r="L52" i="1"/>
  <c r="L53" i="1"/>
  <c r="L54" i="1"/>
  <c r="L55" i="1"/>
  <c r="L56" i="1"/>
  <c r="L57" i="1"/>
  <c r="L58" i="1"/>
  <c r="L50" i="1"/>
  <c r="K51" i="1"/>
  <c r="K52" i="1"/>
  <c r="K53" i="1"/>
  <c r="K54" i="1"/>
  <c r="K55" i="1"/>
  <c r="K56" i="1"/>
  <c r="K57" i="1"/>
  <c r="K58" i="1"/>
  <c r="K50" i="1"/>
  <c r="M10" i="1" l="1"/>
  <c r="M11" i="1"/>
  <c r="M12" i="1"/>
  <c r="M13" i="1"/>
  <c r="M14" i="1"/>
  <c r="M15" i="1"/>
  <c r="M16" i="1"/>
  <c r="M9" i="1"/>
  <c r="K16" i="1" l="1"/>
  <c r="J16" i="1"/>
  <c r="L10" i="1"/>
  <c r="L11" i="1"/>
  <c r="L12" i="1"/>
  <c r="L13" i="1"/>
  <c r="L14" i="1"/>
  <c r="L15" i="1"/>
  <c r="L9" i="1"/>
  <c r="L16" i="1" l="1"/>
  <c r="O16" i="1" l="1"/>
  <c r="N16" i="1"/>
  <c r="M58" i="1" l="1"/>
  <c r="M50" i="1"/>
  <c r="J52" i="1"/>
  <c r="J53" i="1"/>
  <c r="N53" i="1"/>
  <c r="J54" i="1"/>
  <c r="M54" i="1" s="1"/>
  <c r="J55" i="1"/>
  <c r="M55" i="1"/>
  <c r="J56" i="1"/>
  <c r="M56" i="1"/>
  <c r="J57" i="1"/>
  <c r="J58" i="1"/>
  <c r="N58" i="1"/>
  <c r="M51" i="1"/>
  <c r="J51" i="1"/>
  <c r="N51" i="1"/>
  <c r="G58" i="1"/>
  <c r="F58" i="1" s="1"/>
  <c r="I58" i="1" s="1"/>
  <c r="H53" i="1"/>
  <c r="G53" i="1" s="1"/>
  <c r="H54" i="1"/>
  <c r="G54" i="1" s="1"/>
  <c r="I55" i="1" s="1"/>
  <c r="H55" i="1"/>
  <c r="G55" i="1" s="1"/>
  <c r="I56" i="1" s="1"/>
  <c r="H56" i="1"/>
  <c r="G56" i="1" s="1"/>
  <c r="E51" i="1"/>
  <c r="H51" i="1" s="1"/>
  <c r="G51" i="1" s="1"/>
  <c r="I52" i="1" s="1"/>
  <c r="E52" i="1"/>
  <c r="H52" i="1" s="1"/>
  <c r="G52" i="1" s="1"/>
  <c r="I53" i="1" s="1"/>
  <c r="E53" i="1"/>
  <c r="E54" i="1"/>
  <c r="E55" i="1"/>
  <c r="E56" i="1"/>
  <c r="E57" i="1"/>
  <c r="G57" i="1" s="1"/>
  <c r="F57" i="1" s="1"/>
  <c r="I57" i="1" s="1"/>
  <c r="E50" i="1"/>
  <c r="H50" i="1" s="1"/>
  <c r="G50" i="1" s="1"/>
  <c r="I51" i="1" s="1"/>
  <c r="L36" i="1"/>
  <c r="J32" i="1"/>
  <c r="L32" i="1" s="1"/>
  <c r="M32" i="1" s="1"/>
  <c r="J33" i="1"/>
  <c r="L33" i="1" s="1"/>
  <c r="M33" i="1" s="1"/>
  <c r="J34" i="1"/>
  <c r="J35" i="1"/>
  <c r="L35" i="1" s="1"/>
  <c r="M35" i="1" s="1"/>
  <c r="J36" i="1"/>
  <c r="J37" i="1"/>
  <c r="J38" i="1"/>
  <c r="J39" i="1"/>
  <c r="J31" i="1"/>
  <c r="F32" i="1"/>
  <c r="G33" i="1"/>
  <c r="F33" i="1" s="1"/>
  <c r="G34" i="1"/>
  <c r="F34" i="1" s="1"/>
  <c r="G35" i="1"/>
  <c r="F35" i="1" s="1"/>
  <c r="G36" i="1"/>
  <c r="G31" i="1"/>
  <c r="I33" i="1" l="1"/>
  <c r="I35" i="1"/>
  <c r="N35" i="1" s="1"/>
  <c r="I34" i="1"/>
  <c r="N56" i="1"/>
  <c r="M53" i="1"/>
  <c r="L38" i="1"/>
  <c r="L37" i="1"/>
  <c r="M37" i="1" s="1"/>
  <c r="N33" i="1"/>
  <c r="M52" i="1"/>
  <c r="M59" i="1" s="1"/>
  <c r="N54" i="1"/>
  <c r="M57" i="1"/>
  <c r="N55" i="1"/>
  <c r="M38" i="1"/>
  <c r="N36" i="1"/>
  <c r="I38" i="1"/>
  <c r="I39" i="1"/>
  <c r="I37" i="1"/>
  <c r="F36" i="1"/>
  <c r="I36" i="1" s="1"/>
  <c r="I54" i="1"/>
  <c r="I59" i="1" s="1"/>
  <c r="M36" i="1"/>
  <c r="L39" i="1"/>
  <c r="I32" i="1"/>
  <c r="N32" i="1" s="1"/>
  <c r="L34" i="1"/>
  <c r="M34" i="1" s="1"/>
  <c r="I40" i="1" l="1"/>
  <c r="N37" i="1"/>
  <c r="N52" i="1"/>
  <c r="N59" i="1" s="1"/>
  <c r="N57" i="1"/>
  <c r="N38" i="1"/>
  <c r="M39" i="1"/>
  <c r="M40" i="1" s="1"/>
  <c r="N39" i="1"/>
  <c r="N34" i="1"/>
  <c r="N40" i="1" l="1"/>
  <c r="N15" i="1" l="1"/>
  <c r="N13" i="1"/>
  <c r="N14" i="1"/>
  <c r="K10" i="1"/>
  <c r="K11" i="1"/>
  <c r="K12" i="1"/>
  <c r="K13" i="1"/>
  <c r="K14" i="1"/>
  <c r="K15" i="1"/>
  <c r="K9" i="1"/>
  <c r="I11" i="1"/>
  <c r="H11" i="1" s="1"/>
  <c r="I15" i="1"/>
  <c r="H15" i="1" s="1"/>
  <c r="G10" i="1"/>
  <c r="I10" i="1" s="1"/>
  <c r="G11" i="1"/>
  <c r="G12" i="1"/>
  <c r="I12" i="1" s="1"/>
  <c r="G13" i="1"/>
  <c r="I13" i="1" s="1"/>
  <c r="G14" i="1"/>
  <c r="I14" i="1" s="1"/>
  <c r="G15" i="1"/>
  <c r="G9" i="1"/>
  <c r="I9" i="1" s="1"/>
  <c r="N12" i="1" l="1"/>
  <c r="H10" i="1"/>
  <c r="J11" i="1"/>
  <c r="O14" i="1"/>
  <c r="H9" i="1"/>
  <c r="J9" i="1" s="1"/>
  <c r="J18" i="1" s="1"/>
  <c r="J10" i="1"/>
  <c r="J15" i="1"/>
  <c r="O15" i="1" s="1"/>
  <c r="H14" i="1"/>
  <c r="H13" i="1"/>
  <c r="J14" i="1"/>
  <c r="H12" i="1"/>
  <c r="J13" i="1"/>
  <c r="O13" i="1" s="1"/>
  <c r="N10" i="1"/>
  <c r="O10" i="1"/>
  <c r="N9" i="1"/>
  <c r="J12" i="1"/>
  <c r="O12" i="1" s="1"/>
  <c r="F46" i="1"/>
  <c r="F25" i="1"/>
  <c r="F4" i="1"/>
  <c r="C59" i="1"/>
  <c r="E18" i="1"/>
  <c r="C17" i="1"/>
  <c r="B17" i="1"/>
  <c r="A17" i="1" s="1"/>
  <c r="C16" i="1"/>
  <c r="B16" i="1"/>
  <c r="A16" i="1" s="1"/>
  <c r="C15" i="1"/>
  <c r="B15" i="1"/>
  <c r="C14" i="1"/>
  <c r="B14" i="1"/>
  <c r="C13" i="1"/>
  <c r="B13" i="1"/>
  <c r="A13" i="1" s="1"/>
  <c r="C12" i="1"/>
  <c r="B12" i="1"/>
  <c r="A12" i="1" s="1"/>
  <c r="C11" i="1"/>
  <c r="B11" i="1"/>
  <c r="C10" i="1"/>
  <c r="B10" i="1"/>
  <c r="C9" i="1"/>
  <c r="B9" i="1"/>
  <c r="A9" i="1" s="1"/>
  <c r="O9" i="1" l="1"/>
  <c r="A11" i="1"/>
  <c r="A15" i="1"/>
  <c r="N11" i="1"/>
  <c r="O11" i="1"/>
  <c r="A10" i="1"/>
  <c r="A14" i="1"/>
  <c r="N18" i="1"/>
  <c r="O18" i="1" l="1"/>
</calcChain>
</file>

<file path=xl/sharedStrings.xml><?xml version="1.0" encoding="utf-8"?>
<sst xmlns="http://schemas.openxmlformats.org/spreadsheetml/2006/main" count="109" uniqueCount="77">
  <si>
    <t>diameter class lower limit</t>
  </si>
  <si>
    <t>diameter class j    (5 cm)</t>
  </si>
  <si>
    <t>diameter class upper limit</t>
  </si>
  <si>
    <t>ingrowth</t>
  </si>
  <si>
    <t>Total</t>
  </si>
  <si>
    <t>diameter interval</t>
  </si>
  <si>
    <t>[ 2.5 - 7.5 [</t>
  </si>
  <si>
    <t>[ 7.5 - 12.5 [</t>
  </si>
  <si>
    <t>[ 12.5 - 17.5 [</t>
  </si>
  <si>
    <t>[ 17.5 - 22.5 [</t>
  </si>
  <si>
    <t>[ 22.5 - 27.5 [</t>
  </si>
  <si>
    <t>[ 27.5 - 32.5 [</t>
  </si>
  <si>
    <t>[ 32.5 - 37.5 [</t>
  </si>
  <si>
    <t>dbh class</t>
  </si>
  <si>
    <t>[5 - 7[</t>
  </si>
  <si>
    <t>[7 - 9[</t>
  </si>
  <si>
    <t>[9 - 11[</t>
  </si>
  <si>
    <t>[11 - 13[</t>
  </si>
  <si>
    <t>[13 - 15[</t>
  </si>
  <si>
    <t>[15 - 17[</t>
  </si>
  <si>
    <t>[17 - 19[</t>
  </si>
  <si>
    <t>[19 - 21[</t>
  </si>
  <si>
    <t>[21 - 23[</t>
  </si>
  <si>
    <t>Class_range=</t>
  </si>
  <si>
    <t xml:space="preserve">inventory year= </t>
  </si>
  <si>
    <t>predictions for=</t>
  </si>
  <si>
    <t>increment nr yrs=</t>
  </si>
  <si>
    <r>
      <t>Nj</t>
    </r>
    <r>
      <rPr>
        <b/>
        <vertAlign val="subscript"/>
        <sz val="10"/>
        <rFont val="Arial"/>
        <family val="2"/>
      </rPr>
      <t>1996</t>
    </r>
    <r>
      <rPr>
        <b/>
        <sz val="10"/>
        <rFont val="Arial"/>
        <family val="2"/>
      </rPr>
      <t xml:space="preserve">        after mortality</t>
    </r>
  </si>
  <si>
    <r>
      <t>d increment id</t>
    </r>
    <r>
      <rPr>
        <b/>
        <vertAlign val="subscript"/>
        <sz val="10"/>
        <rFont val="Arial"/>
        <family val="2"/>
      </rPr>
      <t>5</t>
    </r>
    <r>
      <rPr>
        <b/>
        <sz val="10"/>
        <rFont val="Arial"/>
        <family val="2"/>
      </rPr>
      <t xml:space="preserve"> (cm)</t>
    </r>
  </si>
  <si>
    <r>
      <t xml:space="preserve">dbh </t>
    </r>
    <r>
      <rPr>
        <b/>
        <sz val="8"/>
        <color rgb="FF0070C0"/>
        <rFont val="Arial"/>
        <family val="2"/>
      </rPr>
      <t>(diameter of the average tree)</t>
    </r>
  </si>
  <si>
    <r>
      <t xml:space="preserve">d_class </t>
    </r>
    <r>
      <rPr>
        <b/>
        <sz val="8"/>
        <color rgb="FF0070C0"/>
        <rFont val="Calibri"/>
        <family val="2"/>
        <scheme val="minor"/>
      </rPr>
      <t>(diameter of the average tree)</t>
    </r>
  </si>
  <si>
    <r>
      <t>N_current 2020</t>
    </r>
    <r>
      <rPr>
        <b/>
        <sz val="8"/>
        <color theme="1"/>
        <rFont val="Calibri"/>
        <family val="2"/>
        <scheme val="minor"/>
      </rPr>
      <t xml:space="preserve"> (after mortality)</t>
    </r>
  </si>
  <si>
    <r>
      <rPr>
        <b/>
        <sz val="11"/>
        <rFont val="Calibri"/>
        <family val="2"/>
        <scheme val="minor"/>
      </rPr>
      <t>N_current  2019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(after mortality)</t>
    </r>
  </si>
  <si>
    <t>d_inc (5yr)</t>
  </si>
  <si>
    <t>d_inc (10yr)</t>
  </si>
  <si>
    <t>Tree height with a height-diameter curve:</t>
  </si>
  <si>
    <t>Total volume with a volume equation:</t>
  </si>
  <si>
    <t>GI</t>
  </si>
  <si>
    <t>Stay</t>
  </si>
  <si>
    <t>Move 1 class</t>
  </si>
  <si>
    <t>Nj2001        after mortality</t>
  </si>
  <si>
    <t>diameter of avg tree</t>
  </si>
  <si>
    <t>height of avg tree</t>
  </si>
  <si>
    <t>volume of avg tree</t>
  </si>
  <si>
    <t>Volume d_class 1996</t>
  </si>
  <si>
    <t>Volume d_class 2001</t>
  </si>
  <si>
    <t>Nj2025        after mortality</t>
  </si>
  <si>
    <t>Volume d_class 2020</t>
  </si>
  <si>
    <t>Volume d_class 2025</t>
  </si>
  <si>
    <t>Move 2 classes</t>
  </si>
  <si>
    <t>[ 37.5 - 42.5 [</t>
  </si>
  <si>
    <t>[ 42.5 - 47.5 [</t>
  </si>
  <si>
    <t>Move 2 class</t>
  </si>
  <si>
    <t>Nj2029        after mortality</t>
  </si>
  <si>
    <t>Volume d_class 2019</t>
  </si>
  <si>
    <t>Volume d_class 2029</t>
  </si>
  <si>
    <t>height from the soil (m)</t>
  </si>
  <si>
    <t>Number of rings</t>
  </si>
  <si>
    <t>age (yrs)</t>
  </si>
  <si>
    <t>nr rings</t>
  </si>
  <si>
    <t>Total tree height:</t>
  </si>
  <si>
    <t>age</t>
  </si>
  <si>
    <t>D1</t>
  </si>
  <si>
    <t>D2</t>
  </si>
  <si>
    <t>D3</t>
  </si>
  <si>
    <t>D4</t>
  </si>
  <si>
    <t>D5</t>
  </si>
  <si>
    <t>D6</t>
  </si>
  <si>
    <t>D7</t>
  </si>
  <si>
    <t>D10</t>
  </si>
  <si>
    <t>D9</t>
  </si>
  <si>
    <t>D8</t>
  </si>
  <si>
    <t>Disc</t>
  </si>
  <si>
    <t>disk height</t>
  </si>
  <si>
    <t>increment between disks</t>
  </si>
  <si>
    <t>height</t>
  </si>
  <si>
    <t>annual increment between disks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</si>
</sst>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"/>
    <numFmt numFmtId="166" formatCode="0.0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b/>
      <sz val="8"/>
      <color rgb="FF0070C0"/>
      <name val="Arial"/>
      <family val="2"/>
    </font>
    <font>
      <b/>
      <sz val="8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0"/>
      <color rgb="FF0070C0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0" fillId="0" borderId="1" xfId="0" applyBorder="1" applyAlignment="1">
      <alignment wrapText="1"/>
    </xf>
    <xf numFmtId="0" fontId="2" fillId="0" borderId="5" xfId="0" applyFont="1" applyBorder="1" applyAlignment="1">
      <alignment horizontal="center"/>
    </xf>
    <xf numFmtId="0" fontId="2" fillId="0" borderId="3" xfId="0" applyFont="1" applyBorder="1" applyAlignment="1">
      <alignment wrapText="1"/>
    </xf>
    <xf numFmtId="0" fontId="2" fillId="2" borderId="5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/>
    <xf numFmtId="0" fontId="2" fillId="0" borderId="5" xfId="0" applyFont="1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5" xfId="0" applyFont="1" applyBorder="1"/>
    <xf numFmtId="2" fontId="2" fillId="0" borderId="5" xfId="0" applyNumberFormat="1" applyFont="1" applyBorder="1" applyAlignment="1">
      <alignment horizontal="center"/>
    </xf>
    <xf numFmtId="0" fontId="0" fillId="0" borderId="0" xfId="0" applyFont="1"/>
    <xf numFmtId="0" fontId="2" fillId="0" borderId="0" xfId="0" applyFont="1"/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0" fillId="3" borderId="6" xfId="0" applyFill="1" applyBorder="1"/>
    <xf numFmtId="0" fontId="0" fillId="3" borderId="7" xfId="0" applyFill="1" applyBorder="1"/>
    <xf numFmtId="0" fontId="3" fillId="3" borderId="7" xfId="0" applyFont="1" applyFill="1" applyBorder="1" applyAlignment="1">
      <alignment horizontal="center"/>
    </xf>
    <xf numFmtId="0" fontId="0" fillId="3" borderId="8" xfId="0" applyFill="1" applyBorder="1"/>
    <xf numFmtId="0" fontId="0" fillId="3" borderId="9" xfId="0" applyFill="1" applyBorder="1"/>
    <xf numFmtId="0" fontId="0" fillId="3" borderId="0" xfId="0" applyFill="1" applyBorder="1"/>
    <xf numFmtId="0" fontId="0" fillId="3" borderId="1" xfId="0" applyFill="1" applyBorder="1"/>
    <xf numFmtId="0" fontId="3" fillId="3" borderId="0" xfId="0" applyFont="1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0" borderId="0" xfId="0" applyFill="1"/>
    <xf numFmtId="0" fontId="3" fillId="3" borderId="0" xfId="0" applyFont="1" applyFill="1" applyBorder="1" applyAlignment="1">
      <alignment horizontal="left"/>
    </xf>
    <xf numFmtId="0" fontId="0" fillId="3" borderId="7" xfId="0" applyFill="1" applyBorder="1" applyAlignment="1">
      <alignment horizontal="left"/>
    </xf>
    <xf numFmtId="0" fontId="12" fillId="0" borderId="5" xfId="0" applyFont="1" applyBorder="1"/>
    <xf numFmtId="0" fontId="12" fillId="0" borderId="5" xfId="0" applyFont="1" applyBorder="1" applyAlignment="1">
      <alignment horizontal="center"/>
    </xf>
    <xf numFmtId="1" fontId="12" fillId="0" borderId="5" xfId="0" applyNumberFormat="1" applyFont="1" applyBorder="1" applyAlignment="1">
      <alignment horizontal="center"/>
    </xf>
    <xf numFmtId="166" fontId="0" fillId="0" borderId="0" xfId="0" applyNumberFormat="1"/>
    <xf numFmtId="2" fontId="0" fillId="0" borderId="0" xfId="0" applyNumberFormat="1"/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center"/>
    </xf>
    <xf numFmtId="2" fontId="12" fillId="0" borderId="5" xfId="0" applyNumberFormat="1" applyFont="1" applyBorder="1" applyAlignment="1">
      <alignment horizontal="center"/>
    </xf>
    <xf numFmtId="0" fontId="12" fillId="0" borderId="5" xfId="0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166" fontId="12" fillId="0" borderId="5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5" xfId="0" applyFont="1" applyFill="1" applyBorder="1" applyAlignment="1">
      <alignment horizontal="center"/>
    </xf>
    <xf numFmtId="164" fontId="12" fillId="0" borderId="5" xfId="0" applyNumberFormat="1" applyFont="1" applyBorder="1" applyAlignment="1">
      <alignment horizontal="center" vertical="center"/>
    </xf>
    <xf numFmtId="0" fontId="0" fillId="0" borderId="3" xfId="0" applyBorder="1"/>
    <xf numFmtId="0" fontId="12" fillId="0" borderId="3" xfId="0" applyFont="1" applyBorder="1" applyAlignment="1">
      <alignment horizontal="center"/>
    </xf>
    <xf numFmtId="0" fontId="12" fillId="0" borderId="3" xfId="0" applyFont="1" applyBorder="1"/>
    <xf numFmtId="1" fontId="12" fillId="0" borderId="13" xfId="0" applyNumberFormat="1" applyFont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2" fontId="13" fillId="0" borderId="5" xfId="0" applyNumberFormat="1" applyFont="1" applyFill="1" applyBorder="1" applyAlignment="1">
      <alignment horizontal="center"/>
    </xf>
    <xf numFmtId="1" fontId="12" fillId="2" borderId="5" xfId="0" applyNumberFormat="1" applyFont="1" applyFill="1" applyBorder="1" applyAlignment="1">
      <alignment horizontal="center"/>
    </xf>
    <xf numFmtId="1" fontId="12" fillId="2" borderId="13" xfId="0" applyNumberFormat="1" applyFont="1" applyFill="1" applyBorder="1" applyAlignment="1">
      <alignment horizontal="center"/>
    </xf>
    <xf numFmtId="165" fontId="12" fillId="0" borderId="5" xfId="0" applyNumberFormat="1" applyFont="1" applyBorder="1" applyAlignment="1">
      <alignment horizontal="center" vertical="center"/>
    </xf>
    <xf numFmtId="0" fontId="14" fillId="0" borderId="5" xfId="0" applyFont="1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right"/>
    </xf>
    <xf numFmtId="0" fontId="0" fillId="5" borderId="0" xfId="0" applyFill="1"/>
    <xf numFmtId="0" fontId="0" fillId="6" borderId="0" xfId="0" applyFill="1"/>
    <xf numFmtId="0" fontId="14" fillId="5" borderId="0" xfId="0" applyFont="1" applyFill="1"/>
    <xf numFmtId="0" fontId="14" fillId="6" borderId="0" xfId="0" applyFont="1" applyFill="1"/>
    <xf numFmtId="0" fontId="0" fillId="4" borderId="0" xfId="0" applyFill="1"/>
    <xf numFmtId="0" fontId="0" fillId="7" borderId="0" xfId="0" applyFill="1"/>
    <xf numFmtId="0" fontId="0" fillId="2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16" fillId="0" borderId="0" xfId="0" applyFont="1"/>
    <xf numFmtId="0" fontId="15" fillId="0" borderId="0" xfId="0" applyFont="1"/>
    <xf numFmtId="0" fontId="0" fillId="3" borderId="0" xfId="0" applyFill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2" fillId="13" borderId="5" xfId="0" applyFont="1" applyFill="1" applyBorder="1" applyAlignment="1">
      <alignment horizontal="center"/>
    </xf>
    <xf numFmtId="0" fontId="12" fillId="13" borderId="3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2" fontId="11" fillId="2" borderId="5" xfId="0" applyNumberFormat="1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3" borderId="0" xfId="0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7" borderId="0" xfId="0" applyFill="1" applyAlignment="1">
      <alignment horizontal="center"/>
    </xf>
    <xf numFmtId="166" fontId="0" fillId="4" borderId="0" xfId="0" applyNumberFormat="1" applyFill="1" applyAlignment="1">
      <alignment horizontal="center"/>
    </xf>
    <xf numFmtId="166" fontId="0" fillId="2" borderId="0" xfId="0" applyNumberFormat="1" applyFill="1" applyAlignment="1">
      <alignment horizontal="center"/>
    </xf>
    <xf numFmtId="0" fontId="0" fillId="8" borderId="0" xfId="0" applyFill="1" applyAlignment="1">
      <alignment horizontal="center"/>
    </xf>
    <xf numFmtId="166" fontId="0" fillId="9" borderId="0" xfId="0" applyNumberFormat="1" applyFill="1" applyAlignment="1">
      <alignment horizontal="center"/>
    </xf>
    <xf numFmtId="166" fontId="0" fillId="10" borderId="0" xfId="0" applyNumberFormat="1" applyFill="1" applyAlignment="1">
      <alignment horizontal="center"/>
    </xf>
    <xf numFmtId="0" fontId="1" fillId="0" borderId="0" xfId="0" applyFont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166" fontId="0" fillId="6" borderId="5" xfId="0" applyNumberFormat="1" applyFill="1" applyBorder="1" applyAlignment="1">
      <alignment horizontal="center"/>
    </xf>
    <xf numFmtId="166" fontId="0" fillId="5" borderId="5" xfId="0" applyNumberFormat="1" applyFill="1" applyBorder="1" applyAlignment="1">
      <alignment horizontal="center"/>
    </xf>
    <xf numFmtId="166" fontId="0" fillId="7" borderId="5" xfId="0" applyNumberFormat="1" applyFill="1" applyBorder="1" applyAlignment="1">
      <alignment horizontal="center"/>
    </xf>
    <xf numFmtId="166" fontId="0" fillId="4" borderId="5" xfId="0" applyNumberFormat="1" applyFill="1" applyBorder="1" applyAlignment="1">
      <alignment horizontal="center"/>
    </xf>
    <xf numFmtId="166" fontId="0" fillId="14" borderId="5" xfId="0" applyNumberFormat="1" applyFill="1" applyBorder="1" applyAlignment="1">
      <alignment horizontal="center"/>
    </xf>
    <xf numFmtId="166" fontId="0" fillId="8" borderId="5" xfId="0" applyNumberFormat="1" applyFill="1" applyBorder="1" applyAlignment="1">
      <alignment horizontal="center"/>
    </xf>
    <xf numFmtId="166" fontId="0" fillId="9" borderId="5" xfId="0" applyNumberFormat="1" applyFill="1" applyBorder="1" applyAlignment="1">
      <alignment horizontal="center"/>
    </xf>
    <xf numFmtId="166" fontId="0" fillId="15" borderId="5" xfId="0" applyNumberFormat="1" applyFill="1" applyBorder="1" applyAlignment="1">
      <alignment horizontal="center"/>
    </xf>
    <xf numFmtId="166" fontId="0" fillId="11" borderId="5" xfId="0" applyNumberFormat="1" applyFill="1" applyBorder="1" applyAlignment="1">
      <alignment horizontal="center"/>
    </xf>
    <xf numFmtId="166" fontId="0" fillId="12" borderId="5" xfId="0" applyNumberForma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Diameter distributions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StandTableProjection!$E$6</c:f>
              <c:strCache>
                <c:ptCount val="1"/>
                <c:pt idx="0">
                  <c:v>Nj1996        after mortality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StandTableProjection!$K$9:$K$16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</c:numCache>
            </c:numRef>
          </c:cat>
          <c:val>
            <c:numRef>
              <c:f>StandTableProjection!$E$9:$E$16</c:f>
              <c:numCache>
                <c:formatCode>General</c:formatCode>
                <c:ptCount val="8"/>
                <c:pt idx="0">
                  <c:v>102</c:v>
                </c:pt>
                <c:pt idx="1">
                  <c:v>59</c:v>
                </c:pt>
                <c:pt idx="2">
                  <c:v>53</c:v>
                </c:pt>
                <c:pt idx="3">
                  <c:v>59</c:v>
                </c:pt>
                <c:pt idx="4">
                  <c:v>58</c:v>
                </c:pt>
                <c:pt idx="5">
                  <c:v>22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9-4073-94C3-CD7B9A348E22}"/>
            </c:ext>
          </c:extLst>
        </c:ser>
        <c:ser>
          <c:idx val="1"/>
          <c:order val="1"/>
          <c:tx>
            <c:strRef>
              <c:f>StandTableProjection!$J$6</c:f>
              <c:strCache>
                <c:ptCount val="1"/>
                <c:pt idx="0">
                  <c:v>Nj2001        after mortality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StandTableProjection!$K$9:$K$16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</c:numCache>
            </c:numRef>
          </c:cat>
          <c:val>
            <c:numRef>
              <c:f>StandTableProjection!$J$9:$J$16</c:f>
              <c:numCache>
                <c:formatCode>0</c:formatCode>
                <c:ptCount val="8"/>
                <c:pt idx="0">
                  <c:v>124.48</c:v>
                </c:pt>
                <c:pt idx="1">
                  <c:v>91.679999999999993</c:v>
                </c:pt>
                <c:pt idx="2">
                  <c:v>57.03</c:v>
                </c:pt>
                <c:pt idx="3">
                  <c:v>54.38</c:v>
                </c:pt>
                <c:pt idx="4">
                  <c:v>58.769999999999996</c:v>
                </c:pt>
                <c:pt idx="5">
                  <c:v>49.5</c:v>
                </c:pt>
                <c:pt idx="6">
                  <c:v>17.38</c:v>
                </c:pt>
                <c:pt idx="7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9-4073-94C3-CD7B9A348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-13"/>
        <c:axId val="235144912"/>
        <c:axId val="235151568"/>
      </c:barChart>
      <c:catAx>
        <c:axId val="235144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diameter classes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151568"/>
        <c:crosses val="autoZero"/>
        <c:auto val="1"/>
        <c:lblAlgn val="ctr"/>
        <c:lblOffset val="100"/>
        <c:noMultiLvlLbl val="0"/>
      </c:catAx>
      <c:valAx>
        <c:axId val="23515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trees ha-1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144912"/>
        <c:crosses val="autoZero"/>
        <c:crossBetween val="between"/>
      </c:valAx>
      <c:spPr>
        <a:noFill/>
        <a:ln w="3175"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Stand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StandTableProjection!$N$6</c:f>
              <c:strCache>
                <c:ptCount val="1"/>
                <c:pt idx="0">
                  <c:v>Volume d_class 1996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StandTableProjection!$K$9:$K$16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</c:numCache>
            </c:numRef>
          </c:xVal>
          <c:yVal>
            <c:numRef>
              <c:f>StandTableProjection!$N$9:$N$16</c:f>
              <c:numCache>
                <c:formatCode>0.000</c:formatCode>
                <c:ptCount val="8"/>
                <c:pt idx="0">
                  <c:v>0.71307200543259674</c:v>
                </c:pt>
                <c:pt idx="1">
                  <c:v>2.7704054611535929</c:v>
                </c:pt>
                <c:pt idx="2">
                  <c:v>7.350473284226144</c:v>
                </c:pt>
                <c:pt idx="3">
                  <c:v>17.338822486640812</c:v>
                </c:pt>
                <c:pt idx="4">
                  <c:v>30.1816803722628</c:v>
                </c:pt>
                <c:pt idx="5">
                  <c:v>18.12184289337317</c:v>
                </c:pt>
                <c:pt idx="6">
                  <c:v>1.2079972277134818</c:v>
                </c:pt>
                <c:pt idx="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6D-4EC2-9A69-0251DBEAC690}"/>
            </c:ext>
          </c:extLst>
        </c:ser>
        <c:ser>
          <c:idx val="1"/>
          <c:order val="1"/>
          <c:tx>
            <c:strRef>
              <c:f>StandTableProjection!$O$6</c:f>
              <c:strCache>
                <c:ptCount val="1"/>
                <c:pt idx="0">
                  <c:v>Volume d_class 2001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StandTableProjection!$K$9:$K$16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</c:numCache>
            </c:numRef>
          </c:xVal>
          <c:yVal>
            <c:numRef>
              <c:f>StandTableProjection!$O$9:$O$16</c:f>
              <c:numCache>
                <c:formatCode>0.000</c:formatCode>
                <c:ptCount val="8"/>
                <c:pt idx="0">
                  <c:v>0.87022748270832984</c:v>
                </c:pt>
                <c:pt idx="1">
                  <c:v>4.3049283504840909</c:v>
                </c:pt>
                <c:pt idx="2">
                  <c:v>7.9093866301776794</c:v>
                </c:pt>
                <c:pt idx="3">
                  <c:v>15.981104522432668</c:v>
                </c:pt>
                <c:pt idx="4">
                  <c:v>30.582368197894564</c:v>
                </c:pt>
                <c:pt idx="5">
                  <c:v>40.774146510089636</c:v>
                </c:pt>
                <c:pt idx="6">
                  <c:v>20.994991817660313</c:v>
                </c:pt>
                <c:pt idx="7">
                  <c:v>1.3075198017189973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6D-4EC2-9A69-0251DBEAC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144912"/>
        <c:axId val="235151568"/>
      </c:scatterChart>
      <c:valAx>
        <c:axId val="235144912"/>
        <c:scaling>
          <c:orientation val="minMax"/>
          <c:max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diameter classes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151568"/>
        <c:crosses val="autoZero"/>
        <c:crossBetween val="midCat"/>
        <c:majorUnit val="5"/>
      </c:valAx>
      <c:valAx>
        <c:axId val="23515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Vvolume m3 ha-1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144912"/>
        <c:crosses val="autoZero"/>
        <c:crossBetween val="midCat"/>
      </c:valAx>
      <c:spPr>
        <a:noFill/>
        <a:ln w="3175"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Tree</a:t>
            </a:r>
            <a:r>
              <a:rPr lang="en-US" baseline="0"/>
              <a:t> heigh evolution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TotalStemAnalysis_HeightGrowth!$AI$9:$AI$48</c:f>
              <c:numCache>
                <c:formatCode>General</c:formatCode>
                <c:ptCount val="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TotalStemAnalysis_HeightGrowth!$AJ$9:$AJ$48</c:f>
              <c:numCache>
                <c:formatCode>General</c:formatCode>
                <c:ptCount val="40"/>
                <c:pt idx="1">
                  <c:v>0.4375</c:v>
                </c:pt>
                <c:pt idx="2">
                  <c:v>1.0125000000000002</c:v>
                </c:pt>
                <c:pt idx="3">
                  <c:v>1.8</c:v>
                </c:pt>
                <c:pt idx="4">
                  <c:v>2.8</c:v>
                </c:pt>
                <c:pt idx="5">
                  <c:v>3.55</c:v>
                </c:pt>
                <c:pt idx="6">
                  <c:v>4.05</c:v>
                </c:pt>
                <c:pt idx="7">
                  <c:v>4.55</c:v>
                </c:pt>
                <c:pt idx="8">
                  <c:v>5.05</c:v>
                </c:pt>
                <c:pt idx="9">
                  <c:v>5.6333333333333329</c:v>
                </c:pt>
                <c:pt idx="10">
                  <c:v>6.3</c:v>
                </c:pt>
                <c:pt idx="11">
                  <c:v>6.9666666666666668</c:v>
                </c:pt>
                <c:pt idx="12">
                  <c:v>7.6333333333333329</c:v>
                </c:pt>
                <c:pt idx="13">
                  <c:v>8.3000000000000007</c:v>
                </c:pt>
                <c:pt idx="14">
                  <c:v>8.9666666666666686</c:v>
                </c:pt>
                <c:pt idx="15">
                  <c:v>9.5500000000000007</c:v>
                </c:pt>
                <c:pt idx="16">
                  <c:v>10.050000000000001</c:v>
                </c:pt>
                <c:pt idx="17">
                  <c:v>10.55</c:v>
                </c:pt>
                <c:pt idx="18">
                  <c:v>11.05</c:v>
                </c:pt>
                <c:pt idx="19">
                  <c:v>11.633333333333335</c:v>
                </c:pt>
                <c:pt idx="20">
                  <c:v>12.3</c:v>
                </c:pt>
                <c:pt idx="21">
                  <c:v>12.966666666666667</c:v>
                </c:pt>
                <c:pt idx="22">
                  <c:v>13.475000000000001</c:v>
                </c:pt>
                <c:pt idx="23">
                  <c:v>13.825000000000001</c:v>
                </c:pt>
                <c:pt idx="24">
                  <c:v>14.5</c:v>
                </c:pt>
                <c:pt idx="25">
                  <c:v>14.693</c:v>
                </c:pt>
                <c:pt idx="26">
                  <c:v>15.078999999999999</c:v>
                </c:pt>
                <c:pt idx="27">
                  <c:v>15.464999999999998</c:v>
                </c:pt>
                <c:pt idx="28">
                  <c:v>15.850999999999997</c:v>
                </c:pt>
                <c:pt idx="29">
                  <c:v>16.236999999999998</c:v>
                </c:pt>
                <c:pt idx="30">
                  <c:v>16.622999999999998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9C-4A9F-ABF3-3FE1FEF5B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049280"/>
        <c:axId val="422050944"/>
      </c:scatterChart>
      <c:valAx>
        <c:axId val="42204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050944"/>
        <c:crosses val="autoZero"/>
        <c:crossBetween val="midCat"/>
      </c:valAx>
      <c:valAx>
        <c:axId val="422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tree height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049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2" Type="http://schemas.openxmlformats.org/officeDocument/2006/relationships/image" Target="../media/image5.jpeg"/><Relationship Id="rId16" Type="http://schemas.openxmlformats.org/officeDocument/2006/relationships/chart" Target="../charts/chart3.xml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26</xdr:row>
          <xdr:rowOff>38100</xdr:rowOff>
        </xdr:from>
        <xdr:to>
          <xdr:col>20</xdr:col>
          <xdr:colOff>556260</xdr:colOff>
          <xdr:row>29</xdr:row>
          <xdr:rowOff>60960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37608CD-3C7D-4226-9FD9-3F34B24A90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21</xdr:row>
          <xdr:rowOff>167640</xdr:rowOff>
        </xdr:from>
        <xdr:to>
          <xdr:col>20</xdr:col>
          <xdr:colOff>60960</xdr:colOff>
          <xdr:row>24</xdr:row>
          <xdr:rowOff>106680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13039BA9-5AF4-4DFE-9D9E-08005D37E2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 editAs="oneCell">
    <xdr:from>
      <xdr:col>13</xdr:col>
      <xdr:colOff>381000</xdr:colOff>
      <xdr:row>0</xdr:row>
      <xdr:rowOff>15240</xdr:rowOff>
    </xdr:from>
    <xdr:to>
      <xdr:col>17</xdr:col>
      <xdr:colOff>601980</xdr:colOff>
      <xdr:row>3</xdr:row>
      <xdr:rowOff>140590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4757" t="84709" r="4285"/>
        <a:stretch/>
      </xdr:blipFill>
      <xdr:spPr>
        <a:xfrm>
          <a:off x="8839200" y="15240"/>
          <a:ext cx="2659380" cy="673990"/>
        </a:xfrm>
        <a:prstGeom prst="rect">
          <a:avLst/>
        </a:prstGeom>
      </xdr:spPr>
    </xdr:pic>
    <xdr:clientData/>
  </xdr:twoCellAnchor>
  <xdr:twoCellAnchor>
    <xdr:from>
      <xdr:col>15</xdr:col>
      <xdr:colOff>525780</xdr:colOff>
      <xdr:row>4</xdr:row>
      <xdr:rowOff>144780</xdr:rowOff>
    </xdr:from>
    <xdr:to>
      <xdr:col>20</xdr:col>
      <xdr:colOff>327660</xdr:colOff>
      <xdr:row>18</xdr:row>
      <xdr:rowOff>160020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396240</xdr:colOff>
      <xdr:row>4</xdr:row>
      <xdr:rowOff>137160</xdr:rowOff>
    </xdr:from>
    <xdr:to>
      <xdr:col>25</xdr:col>
      <xdr:colOff>198120</xdr:colOff>
      <xdr:row>18</xdr:row>
      <xdr:rowOff>152400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246529</xdr:colOff>
      <xdr:row>13</xdr:row>
      <xdr:rowOff>105167</xdr:rowOff>
    </xdr:from>
    <xdr:to>
      <xdr:col>5</xdr:col>
      <xdr:colOff>45139</xdr:colOff>
      <xdr:row>14</xdr:row>
      <xdr:rowOff>172596</xdr:rowOff>
    </xdr:to>
    <xdr:pic>
      <xdr:nvPicPr>
        <xdr:cNvPr id="4" name="Picture 3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14" r="68420" b="65248"/>
        <a:stretch/>
      </xdr:blipFill>
      <xdr:spPr bwMode="auto">
        <a:xfrm>
          <a:off x="2084294" y="2802049"/>
          <a:ext cx="515472" cy="246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375511</xdr:colOff>
      <xdr:row>13</xdr:row>
      <xdr:rowOff>0</xdr:rowOff>
    </xdr:from>
    <xdr:to>
      <xdr:col>7</xdr:col>
      <xdr:colOff>403412</xdr:colOff>
      <xdr:row>14</xdr:row>
      <xdr:rowOff>112059</xdr:rowOff>
    </xdr:to>
    <xdr:pic>
      <xdr:nvPicPr>
        <xdr:cNvPr id="5" name="Picture 4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274" r="74650" b="47714"/>
        <a:stretch/>
      </xdr:blipFill>
      <xdr:spPr bwMode="auto">
        <a:xfrm>
          <a:off x="2825864" y="2696882"/>
          <a:ext cx="864607" cy="291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223995</xdr:colOff>
      <xdr:row>18</xdr:row>
      <xdr:rowOff>43612</xdr:rowOff>
    </xdr:from>
    <xdr:to>
      <xdr:col>6</xdr:col>
      <xdr:colOff>186766</xdr:colOff>
      <xdr:row>19</xdr:row>
      <xdr:rowOff>15202</xdr:rowOff>
    </xdr:to>
    <xdr:pic>
      <xdr:nvPicPr>
        <xdr:cNvPr id="6" name="Picture 5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2674348" y="3636965"/>
          <a:ext cx="38112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405523</xdr:colOff>
      <xdr:row>12</xdr:row>
      <xdr:rowOff>177703</xdr:rowOff>
    </xdr:from>
    <xdr:to>
      <xdr:col>10</xdr:col>
      <xdr:colOff>101992</xdr:colOff>
      <xdr:row>14</xdr:row>
      <xdr:rowOff>134469</xdr:rowOff>
    </xdr:to>
    <xdr:pic>
      <xdr:nvPicPr>
        <xdr:cNvPr id="7" name="Picture 6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274" r="71547" b="46531"/>
        <a:stretch/>
      </xdr:blipFill>
      <xdr:spPr bwMode="auto">
        <a:xfrm>
          <a:off x="3692582" y="2695291"/>
          <a:ext cx="966468" cy="315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20040</xdr:colOff>
      <xdr:row>12</xdr:row>
      <xdr:rowOff>165751</xdr:rowOff>
    </xdr:from>
    <xdr:to>
      <xdr:col>12</xdr:col>
      <xdr:colOff>134860</xdr:colOff>
      <xdr:row>14</xdr:row>
      <xdr:rowOff>122517</xdr:rowOff>
    </xdr:to>
    <xdr:pic>
      <xdr:nvPicPr>
        <xdr:cNvPr id="10" name="Picture 9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274" r="71547" b="46531"/>
        <a:stretch/>
      </xdr:blipFill>
      <xdr:spPr bwMode="auto">
        <a:xfrm>
          <a:off x="4577099" y="2683339"/>
          <a:ext cx="966468" cy="315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15557</xdr:colOff>
      <xdr:row>13</xdr:row>
      <xdr:rowOff>0</xdr:rowOff>
    </xdr:from>
    <xdr:to>
      <xdr:col>14</xdr:col>
      <xdr:colOff>130378</xdr:colOff>
      <xdr:row>14</xdr:row>
      <xdr:rowOff>74705</xdr:rowOff>
    </xdr:to>
    <xdr:pic>
      <xdr:nvPicPr>
        <xdr:cNvPr id="11" name="Picture 10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274" r="71547" b="46531"/>
        <a:stretch/>
      </xdr:blipFill>
      <xdr:spPr bwMode="auto">
        <a:xfrm>
          <a:off x="5424263" y="2696882"/>
          <a:ext cx="966468" cy="25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421959</xdr:colOff>
      <xdr:row>13</xdr:row>
      <xdr:rowOff>2989</xdr:rowOff>
    </xdr:from>
    <xdr:to>
      <xdr:col>16</xdr:col>
      <xdr:colOff>110957</xdr:colOff>
      <xdr:row>14</xdr:row>
      <xdr:rowOff>77694</xdr:rowOff>
    </xdr:to>
    <xdr:pic>
      <xdr:nvPicPr>
        <xdr:cNvPr id="12" name="Picture 11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274" r="71547" b="46531"/>
        <a:stretch/>
      </xdr:blipFill>
      <xdr:spPr bwMode="auto">
        <a:xfrm>
          <a:off x="6256488" y="2699871"/>
          <a:ext cx="966468" cy="25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402535</xdr:colOff>
      <xdr:row>12</xdr:row>
      <xdr:rowOff>164353</xdr:rowOff>
    </xdr:from>
    <xdr:to>
      <xdr:col>18</xdr:col>
      <xdr:colOff>91531</xdr:colOff>
      <xdr:row>14</xdr:row>
      <xdr:rowOff>50799</xdr:rowOff>
    </xdr:to>
    <xdr:pic>
      <xdr:nvPicPr>
        <xdr:cNvPr id="13" name="Picture 12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274" r="71547" b="46531"/>
        <a:stretch/>
      </xdr:blipFill>
      <xdr:spPr bwMode="auto">
        <a:xfrm>
          <a:off x="7088711" y="2681941"/>
          <a:ext cx="966468" cy="24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420464</xdr:colOff>
      <xdr:row>12</xdr:row>
      <xdr:rowOff>167341</xdr:rowOff>
    </xdr:from>
    <xdr:to>
      <xdr:col>20</xdr:col>
      <xdr:colOff>109463</xdr:colOff>
      <xdr:row>14</xdr:row>
      <xdr:rowOff>53787</xdr:rowOff>
    </xdr:to>
    <xdr:pic>
      <xdr:nvPicPr>
        <xdr:cNvPr id="14" name="Picture 13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274" r="71547" b="46531"/>
        <a:stretch/>
      </xdr:blipFill>
      <xdr:spPr bwMode="auto">
        <a:xfrm>
          <a:off x="7958288" y="2684929"/>
          <a:ext cx="966468" cy="24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415982</xdr:colOff>
      <xdr:row>13</xdr:row>
      <xdr:rowOff>1</xdr:rowOff>
    </xdr:from>
    <xdr:to>
      <xdr:col>22</xdr:col>
      <xdr:colOff>112450</xdr:colOff>
      <xdr:row>14</xdr:row>
      <xdr:rowOff>26894</xdr:rowOff>
    </xdr:to>
    <xdr:pic>
      <xdr:nvPicPr>
        <xdr:cNvPr id="15" name="Picture 14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274" r="71547" b="46531"/>
        <a:stretch/>
      </xdr:blipFill>
      <xdr:spPr bwMode="auto">
        <a:xfrm>
          <a:off x="8805453" y="2696883"/>
          <a:ext cx="966468" cy="206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30499</xdr:colOff>
      <xdr:row>13</xdr:row>
      <xdr:rowOff>22412</xdr:rowOff>
    </xdr:from>
    <xdr:to>
      <xdr:col>24</xdr:col>
      <xdr:colOff>160263</xdr:colOff>
      <xdr:row>14</xdr:row>
      <xdr:rowOff>14941</xdr:rowOff>
    </xdr:to>
    <xdr:pic>
      <xdr:nvPicPr>
        <xdr:cNvPr id="16" name="Picture 15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274" r="71547" b="46531"/>
        <a:stretch/>
      </xdr:blipFill>
      <xdr:spPr bwMode="auto">
        <a:xfrm>
          <a:off x="9689970" y="2719294"/>
          <a:ext cx="966468" cy="171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3604</xdr:colOff>
      <xdr:row>13</xdr:row>
      <xdr:rowOff>44824</xdr:rowOff>
    </xdr:from>
    <xdr:to>
      <xdr:col>26</xdr:col>
      <xdr:colOff>49934</xdr:colOff>
      <xdr:row>13</xdr:row>
      <xdr:rowOff>164714</xdr:rowOff>
    </xdr:to>
    <xdr:pic>
      <xdr:nvPicPr>
        <xdr:cNvPr id="17" name="Picture 16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" t="36274" r="71547" b="46531"/>
        <a:stretch/>
      </xdr:blipFill>
      <xdr:spPr bwMode="auto">
        <a:xfrm flipV="1">
          <a:off x="10499780" y="2741706"/>
          <a:ext cx="825631" cy="119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224118</xdr:colOff>
      <xdr:row>18</xdr:row>
      <xdr:rowOff>22411</xdr:rowOff>
    </xdr:from>
    <xdr:to>
      <xdr:col>8</xdr:col>
      <xdr:colOff>186888</xdr:colOff>
      <xdr:row>18</xdr:row>
      <xdr:rowOff>173295</xdr:rowOff>
    </xdr:to>
    <xdr:pic>
      <xdr:nvPicPr>
        <xdr:cNvPr id="18" name="Picture 17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3511177" y="3615764"/>
          <a:ext cx="38112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234578</xdr:colOff>
      <xdr:row>18</xdr:row>
      <xdr:rowOff>25399</xdr:rowOff>
    </xdr:from>
    <xdr:to>
      <xdr:col>10</xdr:col>
      <xdr:colOff>189878</xdr:colOff>
      <xdr:row>18</xdr:row>
      <xdr:rowOff>176283</xdr:rowOff>
    </xdr:to>
    <xdr:pic>
      <xdr:nvPicPr>
        <xdr:cNvPr id="19" name="Picture 18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4365813" y="3618752"/>
          <a:ext cx="38112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230096</xdr:colOff>
      <xdr:row>18</xdr:row>
      <xdr:rowOff>13447</xdr:rowOff>
    </xdr:from>
    <xdr:to>
      <xdr:col>12</xdr:col>
      <xdr:colOff>185394</xdr:colOff>
      <xdr:row>18</xdr:row>
      <xdr:rowOff>164331</xdr:rowOff>
    </xdr:to>
    <xdr:pic>
      <xdr:nvPicPr>
        <xdr:cNvPr id="20" name="Picture 19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5212978" y="3606800"/>
          <a:ext cx="38112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240555</xdr:colOff>
      <xdr:row>18</xdr:row>
      <xdr:rowOff>23905</xdr:rowOff>
    </xdr:from>
    <xdr:to>
      <xdr:col>14</xdr:col>
      <xdr:colOff>195854</xdr:colOff>
      <xdr:row>18</xdr:row>
      <xdr:rowOff>174789</xdr:rowOff>
    </xdr:to>
    <xdr:pic>
      <xdr:nvPicPr>
        <xdr:cNvPr id="21" name="Picture 20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6075084" y="3617258"/>
          <a:ext cx="38112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236073</xdr:colOff>
      <xdr:row>18</xdr:row>
      <xdr:rowOff>19423</xdr:rowOff>
    </xdr:from>
    <xdr:to>
      <xdr:col>16</xdr:col>
      <xdr:colOff>171825</xdr:colOff>
      <xdr:row>18</xdr:row>
      <xdr:rowOff>162568</xdr:rowOff>
    </xdr:to>
    <xdr:pic>
      <xdr:nvPicPr>
        <xdr:cNvPr id="22" name="Picture 21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6922249" y="3612776"/>
          <a:ext cx="361576" cy="14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231589</xdr:colOff>
      <xdr:row>18</xdr:row>
      <xdr:rowOff>29881</xdr:rowOff>
    </xdr:from>
    <xdr:to>
      <xdr:col>18</xdr:col>
      <xdr:colOff>183173</xdr:colOff>
      <xdr:row>19</xdr:row>
      <xdr:rowOff>0</xdr:rowOff>
    </xdr:to>
    <xdr:pic>
      <xdr:nvPicPr>
        <xdr:cNvPr id="23" name="Picture 22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7769413" y="3623234"/>
          <a:ext cx="377407" cy="149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262966</xdr:colOff>
      <xdr:row>18</xdr:row>
      <xdr:rowOff>23906</xdr:rowOff>
    </xdr:from>
    <xdr:to>
      <xdr:col>20</xdr:col>
      <xdr:colOff>127002</xdr:colOff>
      <xdr:row>18</xdr:row>
      <xdr:rowOff>138659</xdr:rowOff>
    </xdr:to>
    <xdr:pic>
      <xdr:nvPicPr>
        <xdr:cNvPr id="24" name="Picture 23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8652437" y="3617259"/>
          <a:ext cx="289858" cy="11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273424</xdr:colOff>
      <xdr:row>18</xdr:row>
      <xdr:rowOff>34364</xdr:rowOff>
    </xdr:from>
    <xdr:to>
      <xdr:col>22</xdr:col>
      <xdr:colOff>127000</xdr:colOff>
      <xdr:row>18</xdr:row>
      <xdr:rowOff>142019</xdr:rowOff>
    </xdr:to>
    <xdr:pic>
      <xdr:nvPicPr>
        <xdr:cNvPr id="25" name="Picture 24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9514542" y="3627717"/>
          <a:ext cx="271929" cy="107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291352</xdr:colOff>
      <xdr:row>18</xdr:row>
      <xdr:rowOff>52293</xdr:rowOff>
    </xdr:from>
    <xdr:to>
      <xdr:col>24</xdr:col>
      <xdr:colOff>119530</xdr:colOff>
      <xdr:row>18</xdr:row>
      <xdr:rowOff>149892</xdr:rowOff>
    </xdr:to>
    <xdr:pic>
      <xdr:nvPicPr>
        <xdr:cNvPr id="26" name="Picture 25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0369176" y="3645646"/>
          <a:ext cx="246529" cy="97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296857</xdr:colOff>
      <xdr:row>47</xdr:row>
      <xdr:rowOff>23795</xdr:rowOff>
    </xdr:from>
    <xdr:to>
      <xdr:col>28</xdr:col>
      <xdr:colOff>386518</xdr:colOff>
      <xdr:row>47</xdr:row>
      <xdr:rowOff>174679</xdr:rowOff>
    </xdr:to>
    <xdr:pic>
      <xdr:nvPicPr>
        <xdr:cNvPr id="28" name="Picture 27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1999573" y="9055500"/>
          <a:ext cx="38403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327963</xdr:colOff>
      <xdr:row>36</xdr:row>
      <xdr:rowOff>23905</xdr:rowOff>
    </xdr:from>
    <xdr:to>
      <xdr:col>28</xdr:col>
      <xdr:colOff>387144</xdr:colOff>
      <xdr:row>36</xdr:row>
      <xdr:rowOff>174789</xdr:rowOff>
    </xdr:to>
    <xdr:pic>
      <xdr:nvPicPr>
        <xdr:cNvPr id="29" name="Picture 28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2030679" y="7026284"/>
          <a:ext cx="38403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307439</xdr:colOff>
      <xdr:row>41</xdr:row>
      <xdr:rowOff>8413</xdr:rowOff>
    </xdr:from>
    <xdr:to>
      <xdr:col>28</xdr:col>
      <xdr:colOff>389480</xdr:colOff>
      <xdr:row>41</xdr:row>
      <xdr:rowOff>164487</xdr:rowOff>
    </xdr:to>
    <xdr:pic>
      <xdr:nvPicPr>
        <xdr:cNvPr id="30" name="Picture 29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2010155" y="7933213"/>
          <a:ext cx="384033" cy="15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302407</xdr:colOff>
      <xdr:row>44</xdr:row>
      <xdr:rowOff>23514</xdr:rowOff>
    </xdr:from>
    <xdr:to>
      <xdr:col>28</xdr:col>
      <xdr:colOff>384448</xdr:colOff>
      <xdr:row>44</xdr:row>
      <xdr:rowOff>174398</xdr:rowOff>
    </xdr:to>
    <xdr:pic>
      <xdr:nvPicPr>
        <xdr:cNvPr id="31" name="Picture 30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2005123" y="8501767"/>
          <a:ext cx="38403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321830</xdr:colOff>
      <xdr:row>32</xdr:row>
      <xdr:rowOff>4481</xdr:rowOff>
    </xdr:from>
    <xdr:to>
      <xdr:col>28</xdr:col>
      <xdr:colOff>388631</xdr:colOff>
      <xdr:row>32</xdr:row>
      <xdr:rowOff>155365</xdr:rowOff>
    </xdr:to>
    <xdr:pic>
      <xdr:nvPicPr>
        <xdr:cNvPr id="32" name="Picture 31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2024546" y="6268923"/>
          <a:ext cx="38403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316247</xdr:colOff>
      <xdr:row>28</xdr:row>
      <xdr:rowOff>6368</xdr:rowOff>
    </xdr:from>
    <xdr:to>
      <xdr:col>28</xdr:col>
      <xdr:colOff>383048</xdr:colOff>
      <xdr:row>28</xdr:row>
      <xdr:rowOff>157252</xdr:rowOff>
    </xdr:to>
    <xdr:pic>
      <xdr:nvPicPr>
        <xdr:cNvPr id="33" name="Picture 32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2018963" y="5532873"/>
          <a:ext cx="38403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288802</xdr:colOff>
      <xdr:row>23</xdr:row>
      <xdr:rowOff>17378</xdr:rowOff>
    </xdr:from>
    <xdr:to>
      <xdr:col>28</xdr:col>
      <xdr:colOff>386083</xdr:colOff>
      <xdr:row>23</xdr:row>
      <xdr:rowOff>168262</xdr:rowOff>
    </xdr:to>
    <xdr:pic>
      <xdr:nvPicPr>
        <xdr:cNvPr id="34" name="Picture 33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1991518" y="4621462"/>
          <a:ext cx="384033" cy="150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290689</xdr:colOff>
      <xdr:row>19</xdr:row>
      <xdr:rowOff>25400</xdr:rowOff>
    </xdr:from>
    <xdr:to>
      <xdr:col>28</xdr:col>
      <xdr:colOff>387970</xdr:colOff>
      <xdr:row>19</xdr:row>
      <xdr:rowOff>181474</xdr:rowOff>
    </xdr:to>
    <xdr:pic>
      <xdr:nvPicPr>
        <xdr:cNvPr id="35" name="Picture 34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1993405" y="3891547"/>
          <a:ext cx="384033" cy="15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29882</xdr:colOff>
      <xdr:row>16</xdr:row>
      <xdr:rowOff>37353</xdr:rowOff>
    </xdr:from>
    <xdr:to>
      <xdr:col>28</xdr:col>
      <xdr:colOff>301811</xdr:colOff>
      <xdr:row>16</xdr:row>
      <xdr:rowOff>145008</xdr:rowOff>
    </xdr:to>
    <xdr:pic>
      <xdr:nvPicPr>
        <xdr:cNvPr id="36" name="Picture 35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1758706" y="3272118"/>
          <a:ext cx="271929" cy="107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2988</xdr:colOff>
      <xdr:row>14</xdr:row>
      <xdr:rowOff>17930</xdr:rowOff>
    </xdr:from>
    <xdr:to>
      <xdr:col>28</xdr:col>
      <xdr:colOff>274917</xdr:colOff>
      <xdr:row>14</xdr:row>
      <xdr:rowOff>125585</xdr:rowOff>
    </xdr:to>
    <xdr:pic>
      <xdr:nvPicPr>
        <xdr:cNvPr id="37" name="Picture 36" descr="Tree log Vectors &amp; Illustrations for Free Download | Freepi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76" t="84084" r="43602" b="3513"/>
        <a:stretch/>
      </xdr:blipFill>
      <xdr:spPr bwMode="auto">
        <a:xfrm>
          <a:off x="11731812" y="2894106"/>
          <a:ext cx="271929" cy="107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171823</xdr:colOff>
      <xdr:row>0</xdr:row>
      <xdr:rowOff>507253</xdr:rowOff>
    </xdr:from>
    <xdr:to>
      <xdr:col>43</xdr:col>
      <xdr:colOff>455705</xdr:colOff>
      <xdr:row>16</xdr:row>
      <xdr:rowOff>15688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w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9"/>
  <sheetViews>
    <sheetView topLeftCell="A25" zoomScale="160" zoomScaleNormal="160" workbookViewId="0">
      <selection activeCell="A38" sqref="A38:A39"/>
    </sheetView>
  </sheetViews>
  <sheetFormatPr defaultRowHeight="14.4" x14ac:dyDescent="0.3"/>
  <cols>
    <col min="1" max="1" width="11.88671875" bestFit="1" customWidth="1"/>
    <col min="3" max="3" width="9.33203125" customWidth="1"/>
    <col min="4" max="4" width="9.5546875" customWidth="1"/>
    <col min="6" max="6" width="10.44140625" customWidth="1"/>
    <col min="13" max="13" width="11" bestFit="1" customWidth="1"/>
  </cols>
  <sheetData>
    <row r="1" spans="1:15" x14ac:dyDescent="0.3">
      <c r="E1" s="18" t="s">
        <v>23</v>
      </c>
      <c r="F1" s="12">
        <v>5</v>
      </c>
    </row>
    <row r="2" spans="1:15" x14ac:dyDescent="0.3">
      <c r="E2" s="18" t="s">
        <v>24</v>
      </c>
      <c r="F2" s="12">
        <v>1996</v>
      </c>
      <c r="L2">
        <v>0.64212000000000002</v>
      </c>
      <c r="M2">
        <v>5.126E-5</v>
      </c>
    </row>
    <row r="3" spans="1:15" x14ac:dyDescent="0.3">
      <c r="E3" s="18" t="s">
        <v>26</v>
      </c>
      <c r="F3" s="12">
        <v>5</v>
      </c>
      <c r="L3">
        <v>1.874E-2</v>
      </c>
      <c r="M3">
        <v>2.0507</v>
      </c>
    </row>
    <row r="4" spans="1:15" x14ac:dyDescent="0.3">
      <c r="E4" s="18" t="s">
        <v>25</v>
      </c>
      <c r="F4" s="12">
        <f>F2+F3</f>
        <v>2001</v>
      </c>
      <c r="M4">
        <v>0.84279999999999999</v>
      </c>
    </row>
    <row r="5" spans="1:15" x14ac:dyDescent="0.3">
      <c r="E5" s="11"/>
    </row>
    <row r="6" spans="1:15" ht="21" customHeight="1" x14ac:dyDescent="0.3">
      <c r="A6" s="83" t="s">
        <v>5</v>
      </c>
      <c r="B6" s="89" t="s">
        <v>0</v>
      </c>
      <c r="C6" s="92" t="s">
        <v>2</v>
      </c>
      <c r="D6" s="90" t="s">
        <v>1</v>
      </c>
      <c r="E6" s="97" t="s">
        <v>27</v>
      </c>
      <c r="F6" s="90" t="s">
        <v>28</v>
      </c>
      <c r="G6" s="94" t="s">
        <v>37</v>
      </c>
      <c r="H6" s="94" t="s">
        <v>38</v>
      </c>
      <c r="I6" s="93" t="s">
        <v>39</v>
      </c>
      <c r="J6" s="95" t="s">
        <v>40</v>
      </c>
      <c r="K6" s="96" t="s">
        <v>41</v>
      </c>
      <c r="L6" s="96" t="s">
        <v>42</v>
      </c>
      <c r="M6" s="96" t="s">
        <v>43</v>
      </c>
      <c r="N6" s="93" t="s">
        <v>44</v>
      </c>
      <c r="O6" s="93" t="s">
        <v>45</v>
      </c>
    </row>
    <row r="7" spans="1:15" ht="21" customHeight="1" x14ac:dyDescent="0.3">
      <c r="A7" s="83"/>
      <c r="B7" s="89"/>
      <c r="C7" s="92"/>
      <c r="D7" s="91"/>
      <c r="E7" s="98"/>
      <c r="F7" s="91"/>
      <c r="G7" s="94"/>
      <c r="H7" s="94"/>
      <c r="I7" s="93"/>
      <c r="J7" s="95"/>
      <c r="K7" s="96"/>
      <c r="L7" s="96"/>
      <c r="M7" s="96"/>
      <c r="N7" s="93"/>
      <c r="O7" s="93"/>
    </row>
    <row r="8" spans="1:15" x14ac:dyDescent="0.3">
      <c r="B8" s="1"/>
      <c r="C8" s="3"/>
      <c r="D8" s="2" t="s">
        <v>3</v>
      </c>
      <c r="E8" s="4">
        <v>100</v>
      </c>
      <c r="F8" s="2"/>
      <c r="G8" s="33"/>
      <c r="H8" s="33"/>
      <c r="I8" s="34">
        <v>100</v>
      </c>
      <c r="J8" s="33"/>
      <c r="K8" s="38"/>
      <c r="L8" s="38"/>
      <c r="M8" s="38"/>
      <c r="N8" s="9"/>
      <c r="O8" s="9"/>
    </row>
    <row r="9" spans="1:15" x14ac:dyDescent="0.3">
      <c r="A9" s="13" t="str">
        <f>CONCATENATE("[ ",B9," - ",B10," [")</f>
        <v>[ 2.5 - 7.5 [</v>
      </c>
      <c r="B9" s="2">
        <f>D9-2.5</f>
        <v>2.5</v>
      </c>
      <c r="C9" s="2">
        <f t="shared" ref="C9:C17" si="0">D9+2.4</f>
        <v>7.4</v>
      </c>
      <c r="D9" s="2">
        <v>5</v>
      </c>
      <c r="E9" s="4">
        <v>102</v>
      </c>
      <c r="F9" s="14">
        <v>3.8</v>
      </c>
      <c r="G9" s="34">
        <f>F9/$F$3</f>
        <v>0.76</v>
      </c>
      <c r="H9" s="35">
        <f>E9-I9</f>
        <v>24.480000000000004</v>
      </c>
      <c r="I9" s="35">
        <f>G9*E9</f>
        <v>77.52</v>
      </c>
      <c r="J9" s="35">
        <f>I8+H9</f>
        <v>124.48</v>
      </c>
      <c r="K9" s="41">
        <f>D9</f>
        <v>5</v>
      </c>
      <c r="L9" s="51">
        <f>K9/($L$2+$L$3*K9)</f>
        <v>6.7951401157891871</v>
      </c>
      <c r="M9" s="61">
        <f>$M$2*K9^$M$3*L9^$M$4</f>
        <v>6.9909020140450657E-3</v>
      </c>
      <c r="N9" s="43">
        <f>M9*E9</f>
        <v>0.71307200543259674</v>
      </c>
      <c r="O9" s="43">
        <f>M9*J9</f>
        <v>0.87022748270832984</v>
      </c>
    </row>
    <row r="10" spans="1:15" x14ac:dyDescent="0.3">
      <c r="A10" s="13" t="str">
        <f t="shared" ref="A10:A16" si="1">CONCATENATE("[ ",B10," - ",B11," [")</f>
        <v>[ 7.5 - 12.5 [</v>
      </c>
      <c r="B10" s="2">
        <f t="shared" ref="B10:B17" si="2">D10-2.5</f>
        <v>7.5</v>
      </c>
      <c r="C10" s="2">
        <f t="shared" si="0"/>
        <v>12.4</v>
      </c>
      <c r="D10" s="2">
        <v>10</v>
      </c>
      <c r="E10" s="4">
        <v>59</v>
      </c>
      <c r="F10" s="14">
        <v>3.8</v>
      </c>
      <c r="G10" s="34">
        <f t="shared" ref="G10:G15" si="3">F10/$F$3</f>
        <v>0.76</v>
      </c>
      <c r="H10" s="35">
        <f t="shared" ref="H10:H15" si="4">E10-I10</f>
        <v>14.159999999999997</v>
      </c>
      <c r="I10" s="35">
        <f t="shared" ref="I10:I15" si="5">G10*E10</f>
        <v>44.84</v>
      </c>
      <c r="J10" s="35">
        <f t="shared" ref="J10:J15" si="6">I9+H10</f>
        <v>91.679999999999993</v>
      </c>
      <c r="K10" s="41">
        <f t="shared" ref="K10:K15" si="7">D10</f>
        <v>10</v>
      </c>
      <c r="L10" s="51">
        <f t="shared" ref="L10:L16" si="8">K10/($L$2+$L$3*K10)</f>
        <v>12.055164432442858</v>
      </c>
      <c r="M10" s="61">
        <f t="shared" ref="M10:M16" si="9">$M$2*K10^$M$3*L10^$M$4</f>
        <v>4.695602476531513E-2</v>
      </c>
      <c r="N10" s="43">
        <f t="shared" ref="N10:N15" si="10">M10*E10</f>
        <v>2.7704054611535929</v>
      </c>
      <c r="O10" s="43">
        <f t="shared" ref="O10:O15" si="11">M10*J10</f>
        <v>4.3049283504840909</v>
      </c>
    </row>
    <row r="11" spans="1:15" x14ac:dyDescent="0.3">
      <c r="A11" s="13" t="str">
        <f t="shared" si="1"/>
        <v>[ 12.5 - 17.5 [</v>
      </c>
      <c r="B11" s="2">
        <f t="shared" si="2"/>
        <v>12.5</v>
      </c>
      <c r="C11" s="2">
        <f t="shared" si="0"/>
        <v>17.399999999999999</v>
      </c>
      <c r="D11" s="2">
        <v>15</v>
      </c>
      <c r="E11" s="4">
        <v>53</v>
      </c>
      <c r="F11" s="14">
        <v>3.85</v>
      </c>
      <c r="G11" s="34">
        <f t="shared" si="3"/>
        <v>0.77</v>
      </c>
      <c r="H11" s="35">
        <f t="shared" si="4"/>
        <v>12.189999999999998</v>
      </c>
      <c r="I11" s="35">
        <f t="shared" si="5"/>
        <v>40.81</v>
      </c>
      <c r="J11" s="35">
        <f t="shared" si="6"/>
        <v>57.03</v>
      </c>
      <c r="K11" s="41">
        <f t="shared" si="7"/>
        <v>15</v>
      </c>
      <c r="L11" s="51">
        <f t="shared" si="8"/>
        <v>16.247481640345747</v>
      </c>
      <c r="M11" s="61">
        <f t="shared" si="9"/>
        <v>0.13868817517407819</v>
      </c>
      <c r="N11" s="43">
        <f t="shared" si="10"/>
        <v>7.350473284226144</v>
      </c>
      <c r="O11" s="43">
        <f t="shared" si="11"/>
        <v>7.9093866301776794</v>
      </c>
    </row>
    <row r="12" spans="1:15" x14ac:dyDescent="0.3">
      <c r="A12" s="13" t="str">
        <f t="shared" si="1"/>
        <v>[ 17.5 - 22.5 [</v>
      </c>
      <c r="B12" s="2">
        <f t="shared" si="2"/>
        <v>17.5</v>
      </c>
      <c r="C12" s="2">
        <f t="shared" si="0"/>
        <v>22.4</v>
      </c>
      <c r="D12" s="2">
        <v>20</v>
      </c>
      <c r="E12" s="4">
        <v>59</v>
      </c>
      <c r="F12" s="14">
        <v>3.85</v>
      </c>
      <c r="G12" s="34">
        <f t="shared" si="3"/>
        <v>0.77</v>
      </c>
      <c r="H12" s="35">
        <f t="shared" si="4"/>
        <v>13.57</v>
      </c>
      <c r="I12" s="35">
        <f t="shared" si="5"/>
        <v>45.43</v>
      </c>
      <c r="J12" s="35">
        <f t="shared" si="6"/>
        <v>54.38</v>
      </c>
      <c r="K12" s="41">
        <f t="shared" si="7"/>
        <v>20</v>
      </c>
      <c r="L12" s="51">
        <f t="shared" si="8"/>
        <v>19.667230460606536</v>
      </c>
      <c r="M12" s="61">
        <f t="shared" si="9"/>
        <v>0.29387834723120021</v>
      </c>
      <c r="N12" s="43">
        <f t="shared" si="10"/>
        <v>17.338822486640812</v>
      </c>
      <c r="O12" s="43">
        <f t="shared" si="11"/>
        <v>15.981104522432668</v>
      </c>
    </row>
    <row r="13" spans="1:15" x14ac:dyDescent="0.3">
      <c r="A13" s="13" t="str">
        <f t="shared" si="1"/>
        <v>[ 22.5 - 27.5 [</v>
      </c>
      <c r="B13" s="2">
        <f t="shared" si="2"/>
        <v>22.5</v>
      </c>
      <c r="C13" s="2">
        <f t="shared" si="0"/>
        <v>27.4</v>
      </c>
      <c r="D13" s="2">
        <v>25</v>
      </c>
      <c r="E13" s="4">
        <v>58</v>
      </c>
      <c r="F13" s="14">
        <v>3.85</v>
      </c>
      <c r="G13" s="34">
        <f t="shared" si="3"/>
        <v>0.77</v>
      </c>
      <c r="H13" s="35">
        <f t="shared" si="4"/>
        <v>13.339999999999996</v>
      </c>
      <c r="I13" s="35">
        <f t="shared" si="5"/>
        <v>44.660000000000004</v>
      </c>
      <c r="J13" s="35">
        <f t="shared" si="6"/>
        <v>58.769999999999996</v>
      </c>
      <c r="K13" s="41">
        <f t="shared" si="7"/>
        <v>25</v>
      </c>
      <c r="L13" s="51">
        <f t="shared" si="8"/>
        <v>22.509949397633754</v>
      </c>
      <c r="M13" s="61">
        <f t="shared" si="9"/>
        <v>0.52037379952177243</v>
      </c>
      <c r="N13" s="43">
        <f t="shared" si="10"/>
        <v>30.1816803722628</v>
      </c>
      <c r="O13" s="43">
        <f t="shared" si="11"/>
        <v>30.582368197894564</v>
      </c>
    </row>
    <row r="14" spans="1:15" x14ac:dyDescent="0.3">
      <c r="A14" s="13" t="str">
        <f t="shared" si="1"/>
        <v>[ 27.5 - 32.5 [</v>
      </c>
      <c r="B14" s="2">
        <f t="shared" si="2"/>
        <v>27.5</v>
      </c>
      <c r="C14" s="2">
        <f t="shared" si="0"/>
        <v>32.4</v>
      </c>
      <c r="D14" s="2">
        <v>30</v>
      </c>
      <c r="E14" s="4">
        <v>22</v>
      </c>
      <c r="F14" s="14">
        <v>3.9000000000000004</v>
      </c>
      <c r="G14" s="34">
        <f t="shared" si="3"/>
        <v>0.78</v>
      </c>
      <c r="H14" s="35">
        <f t="shared" si="4"/>
        <v>4.84</v>
      </c>
      <c r="I14" s="35">
        <f t="shared" si="5"/>
        <v>17.16</v>
      </c>
      <c r="J14" s="35">
        <f t="shared" si="6"/>
        <v>49.5</v>
      </c>
      <c r="K14" s="41">
        <f t="shared" si="7"/>
        <v>30</v>
      </c>
      <c r="L14" s="51">
        <f t="shared" si="8"/>
        <v>24.910322837783976</v>
      </c>
      <c r="M14" s="61">
        <f t="shared" si="9"/>
        <v>0.82372013151696233</v>
      </c>
      <c r="N14" s="43">
        <f t="shared" si="10"/>
        <v>18.12184289337317</v>
      </c>
      <c r="O14" s="43">
        <f t="shared" si="11"/>
        <v>40.774146510089636</v>
      </c>
    </row>
    <row r="15" spans="1:15" x14ac:dyDescent="0.3">
      <c r="A15" s="13" t="str">
        <f t="shared" si="1"/>
        <v>[ 32.5 - 37.5 [</v>
      </c>
      <c r="B15" s="2">
        <f t="shared" si="2"/>
        <v>32.5</v>
      </c>
      <c r="C15" s="2">
        <f t="shared" si="0"/>
        <v>37.4</v>
      </c>
      <c r="D15" s="2">
        <v>35</v>
      </c>
      <c r="E15" s="4">
        <v>1</v>
      </c>
      <c r="F15" s="14">
        <v>3.9000000000000004</v>
      </c>
      <c r="G15" s="34">
        <f t="shared" si="3"/>
        <v>0.78</v>
      </c>
      <c r="H15" s="35">
        <f t="shared" si="4"/>
        <v>0.21999999999999997</v>
      </c>
      <c r="I15" s="35">
        <f t="shared" si="5"/>
        <v>0.78</v>
      </c>
      <c r="J15" s="35">
        <f t="shared" si="6"/>
        <v>17.38</v>
      </c>
      <c r="K15" s="44">
        <f t="shared" si="7"/>
        <v>35</v>
      </c>
      <c r="L15" s="51">
        <f t="shared" si="8"/>
        <v>26.964145390671941</v>
      </c>
      <c r="M15" s="61">
        <f t="shared" si="9"/>
        <v>1.2079972277134818</v>
      </c>
      <c r="N15" s="43">
        <f t="shared" si="10"/>
        <v>1.2079972277134818</v>
      </c>
      <c r="O15" s="43">
        <f t="shared" si="11"/>
        <v>20.994991817660313</v>
      </c>
    </row>
    <row r="16" spans="1:15" x14ac:dyDescent="0.3">
      <c r="A16" s="13" t="str">
        <f t="shared" si="1"/>
        <v>[ 37.5 - 42.5 [</v>
      </c>
      <c r="B16" s="2">
        <f t="shared" si="2"/>
        <v>37.5</v>
      </c>
      <c r="C16" s="2">
        <f t="shared" si="0"/>
        <v>42.4</v>
      </c>
      <c r="D16" s="2">
        <v>40</v>
      </c>
      <c r="E16" s="4">
        <v>0</v>
      </c>
      <c r="F16" s="2"/>
      <c r="G16" s="33"/>
      <c r="H16" s="34"/>
      <c r="I16" s="33"/>
      <c r="J16" s="35">
        <f>I15+H16</f>
        <v>0.78</v>
      </c>
      <c r="K16" s="44">
        <f t="shared" ref="K16" si="12">D16</f>
        <v>40</v>
      </c>
      <c r="L16" s="51">
        <f t="shared" si="8"/>
        <v>28.74141350271606</v>
      </c>
      <c r="M16" s="61">
        <f t="shared" si="9"/>
        <v>1.6763074381012786</v>
      </c>
      <c r="N16" s="43">
        <f t="shared" ref="N16" si="13">M16*E16</f>
        <v>0</v>
      </c>
      <c r="O16" s="43">
        <f t="shared" ref="O16" si="14">M16*J16</f>
        <v>1.3075198017189973</v>
      </c>
    </row>
    <row r="17" spans="1:21" x14ac:dyDescent="0.3">
      <c r="A17" s="13" t="str">
        <f>CONCATENATE("[ ",B17," - ",B18," [")</f>
        <v>[ 42.5 -  [</v>
      </c>
      <c r="B17" s="2">
        <f t="shared" si="2"/>
        <v>42.5</v>
      </c>
      <c r="C17" s="2">
        <f t="shared" si="0"/>
        <v>47.4</v>
      </c>
      <c r="D17" s="2">
        <v>45</v>
      </c>
      <c r="E17" s="4"/>
      <c r="F17" s="2"/>
      <c r="G17" s="33"/>
      <c r="H17" s="34"/>
      <c r="I17" s="33"/>
      <c r="J17" s="33"/>
      <c r="K17" s="9"/>
      <c r="L17" s="6"/>
      <c r="M17" s="39"/>
      <c r="N17" s="9"/>
      <c r="O17" s="9"/>
      <c r="Q17" s="30"/>
      <c r="R17" s="30"/>
      <c r="S17" s="30"/>
      <c r="T17" s="30"/>
    </row>
    <row r="18" spans="1:21" x14ac:dyDescent="0.3">
      <c r="A18" s="15"/>
      <c r="B18" s="16"/>
      <c r="C18" s="2"/>
      <c r="D18" s="2" t="s">
        <v>4</v>
      </c>
      <c r="E18" s="4">
        <f>SUM(E9:E16)</f>
        <v>354</v>
      </c>
      <c r="F18" s="2"/>
      <c r="G18" s="33"/>
      <c r="H18" s="33"/>
      <c r="I18" s="33"/>
      <c r="J18" s="35">
        <f>SUM(J9:J17)</f>
        <v>453.99999999999994</v>
      </c>
      <c r="K18" s="35"/>
      <c r="L18" s="35"/>
      <c r="M18" s="35"/>
      <c r="N18" s="35">
        <f t="shared" ref="N18:O18" si="15">SUM(N9:N17)</f>
        <v>77.684293730802594</v>
      </c>
      <c r="O18" s="35">
        <f t="shared" si="15"/>
        <v>122.72467331316628</v>
      </c>
      <c r="Q18" s="30"/>
      <c r="R18" s="30"/>
      <c r="S18" s="30"/>
      <c r="T18" s="30"/>
    </row>
    <row r="19" spans="1:21" x14ac:dyDescent="0.3">
      <c r="Q19" s="30"/>
      <c r="R19" s="30"/>
      <c r="S19" s="30"/>
      <c r="T19" s="30"/>
    </row>
    <row r="20" spans="1:21" x14ac:dyDescent="0.3">
      <c r="Q20" s="30"/>
      <c r="R20" s="30"/>
      <c r="S20" s="30"/>
      <c r="T20" s="30"/>
    </row>
    <row r="21" spans="1:21" x14ac:dyDescent="0.3">
      <c r="Q21" s="19"/>
      <c r="R21" s="32"/>
      <c r="S21" s="21" t="s">
        <v>35</v>
      </c>
      <c r="T21" s="20"/>
      <c r="U21" s="22"/>
    </row>
    <row r="22" spans="1:21" x14ac:dyDescent="0.3">
      <c r="E22" s="18" t="s">
        <v>23</v>
      </c>
      <c r="F22" s="12">
        <v>5</v>
      </c>
      <c r="L22">
        <v>1.0643</v>
      </c>
      <c r="M22">
        <v>0.752</v>
      </c>
      <c r="Q22" s="23"/>
      <c r="R22" s="24"/>
      <c r="S22" s="24"/>
      <c r="T22" s="24"/>
      <c r="U22" s="25"/>
    </row>
    <row r="23" spans="1:21" x14ac:dyDescent="0.3">
      <c r="E23" s="18" t="s">
        <v>24</v>
      </c>
      <c r="F23" s="12">
        <v>2020</v>
      </c>
      <c r="L23">
        <v>2.2200000000000001E-2</v>
      </c>
      <c r="M23">
        <v>2.0706000000000002</v>
      </c>
      <c r="Q23" s="23"/>
      <c r="R23" s="24"/>
      <c r="S23" s="24"/>
      <c r="T23" s="24"/>
      <c r="U23" s="25"/>
    </row>
    <row r="24" spans="1:21" x14ac:dyDescent="0.3">
      <c r="E24" s="18" t="s">
        <v>26</v>
      </c>
      <c r="F24" s="12">
        <v>5</v>
      </c>
      <c r="M24">
        <v>0.80310000000000004</v>
      </c>
      <c r="Q24" s="23"/>
      <c r="R24" s="24"/>
      <c r="S24" s="26"/>
      <c r="T24" s="24"/>
      <c r="U24" s="25"/>
    </row>
    <row r="25" spans="1:21" x14ac:dyDescent="0.3">
      <c r="E25" s="18" t="s">
        <v>25</v>
      </c>
      <c r="F25" s="12">
        <f>F23+F24</f>
        <v>2025</v>
      </c>
      <c r="Q25" s="23"/>
      <c r="R25" s="24"/>
      <c r="S25" s="26"/>
      <c r="T25" s="24"/>
      <c r="U25" s="25"/>
    </row>
    <row r="26" spans="1:21" x14ac:dyDescent="0.3">
      <c r="E26" s="11"/>
      <c r="Q26" s="23"/>
      <c r="R26" s="31" t="s">
        <v>36</v>
      </c>
      <c r="S26" s="24"/>
      <c r="T26" s="24"/>
      <c r="U26" s="25"/>
    </row>
    <row r="27" spans="1:21" ht="14.4" customHeight="1" x14ac:dyDescent="0.3">
      <c r="B27" s="86" t="s">
        <v>30</v>
      </c>
      <c r="C27" s="86" t="s">
        <v>31</v>
      </c>
      <c r="D27" s="86" t="s">
        <v>33</v>
      </c>
      <c r="E27" s="94" t="s">
        <v>37</v>
      </c>
      <c r="F27" s="94" t="s">
        <v>38</v>
      </c>
      <c r="G27" s="93" t="s">
        <v>39</v>
      </c>
      <c r="H27" s="93" t="s">
        <v>49</v>
      </c>
      <c r="I27" s="95" t="s">
        <v>46</v>
      </c>
      <c r="J27" s="96" t="s">
        <v>41</v>
      </c>
      <c r="K27" s="96" t="s">
        <v>42</v>
      </c>
      <c r="L27" s="96" t="s">
        <v>43</v>
      </c>
      <c r="M27" s="93" t="s">
        <v>47</v>
      </c>
      <c r="N27" s="93" t="s">
        <v>48</v>
      </c>
      <c r="Q27" s="23"/>
      <c r="R27" s="24"/>
      <c r="S27" s="24"/>
      <c r="T27" s="24"/>
      <c r="U27" s="25"/>
    </row>
    <row r="28" spans="1:21" x14ac:dyDescent="0.3">
      <c r="B28" s="87"/>
      <c r="C28" s="87"/>
      <c r="D28" s="87"/>
      <c r="E28" s="94"/>
      <c r="F28" s="94"/>
      <c r="G28" s="93"/>
      <c r="H28" s="93"/>
      <c r="I28" s="95"/>
      <c r="J28" s="96"/>
      <c r="K28" s="96"/>
      <c r="L28" s="96"/>
      <c r="M28" s="93"/>
      <c r="N28" s="93"/>
      <c r="Q28" s="23"/>
      <c r="R28" s="24"/>
      <c r="S28" s="24"/>
      <c r="T28" s="24"/>
      <c r="U28" s="25"/>
    </row>
    <row r="29" spans="1:21" x14ac:dyDescent="0.3">
      <c r="B29" s="88"/>
      <c r="C29" s="88"/>
      <c r="D29" s="88"/>
      <c r="E29" s="94"/>
      <c r="F29" s="94"/>
      <c r="G29" s="93"/>
      <c r="H29" s="93"/>
      <c r="I29" s="95"/>
      <c r="J29" s="96"/>
      <c r="K29" s="96"/>
      <c r="L29" s="96"/>
      <c r="M29" s="93"/>
      <c r="N29" s="93"/>
      <c r="Q29" s="23"/>
      <c r="R29" s="24"/>
      <c r="S29" s="24"/>
      <c r="T29" s="24"/>
      <c r="U29" s="25"/>
    </row>
    <row r="30" spans="1:21" x14ac:dyDescent="0.3">
      <c r="B30" s="8" t="s">
        <v>3</v>
      </c>
      <c r="C30" s="8">
        <v>30</v>
      </c>
      <c r="D30" s="8"/>
      <c r="E30" s="52"/>
      <c r="F30" s="53"/>
      <c r="G30" s="53">
        <v>30</v>
      </c>
      <c r="H30" s="82">
        <v>0</v>
      </c>
      <c r="I30" s="53"/>
      <c r="J30" s="54"/>
      <c r="K30" s="54"/>
      <c r="L30" s="54"/>
      <c r="Q30" s="27"/>
      <c r="R30" s="28"/>
      <c r="S30" s="28"/>
      <c r="T30" s="28"/>
      <c r="U30" s="29"/>
    </row>
    <row r="31" spans="1:21" x14ac:dyDescent="0.3">
      <c r="A31" s="9" t="s">
        <v>6</v>
      </c>
      <c r="B31" s="5">
        <v>5</v>
      </c>
      <c r="C31" s="5">
        <v>380</v>
      </c>
      <c r="D31" s="6">
        <v>1.723684210526315</v>
      </c>
      <c r="E31" s="40">
        <f>D31/$F$22</f>
        <v>0.34473684210526301</v>
      </c>
      <c r="F31" s="34">
        <f>C31-G31</f>
        <v>249.00000000000006</v>
      </c>
      <c r="G31" s="34">
        <f>E31*C31</f>
        <v>130.99999999999994</v>
      </c>
      <c r="H31" s="81">
        <v>0</v>
      </c>
      <c r="I31" s="34">
        <f>F31+G30</f>
        <v>279.00000000000006</v>
      </c>
      <c r="J31" s="34">
        <f>B31</f>
        <v>5</v>
      </c>
      <c r="K31" s="42">
        <f>J31/($L$22+$L$23*J31)</f>
        <v>4.2542329617969878</v>
      </c>
      <c r="L31" s="42">
        <f t="shared" ref="L31:L39" si="16">$M$22*(J31/100)^$M$23*K31^$M$24</f>
        <v>4.8675620005135881E-3</v>
      </c>
      <c r="M31" s="40">
        <f>L31*C31</f>
        <v>1.8496735601951635</v>
      </c>
      <c r="N31" s="40">
        <f>L31*I31</f>
        <v>1.3580497981432913</v>
      </c>
    </row>
    <row r="32" spans="1:21" x14ac:dyDescent="0.3">
      <c r="A32" s="9" t="s">
        <v>7</v>
      </c>
      <c r="B32" s="5">
        <v>10</v>
      </c>
      <c r="C32" s="5">
        <v>300</v>
      </c>
      <c r="D32" s="6">
        <v>2.0000000000000004</v>
      </c>
      <c r="E32" s="40">
        <f t="shared" ref="E32:E36" si="17">D32/$F$22</f>
        <v>0.40000000000000008</v>
      </c>
      <c r="F32" s="34">
        <f t="shared" ref="F32:F35" si="18">C32-G32</f>
        <v>179.99999999999997</v>
      </c>
      <c r="G32" s="34">
        <f>E32*C32</f>
        <v>120.00000000000003</v>
      </c>
      <c r="H32" s="81">
        <v>0</v>
      </c>
      <c r="I32" s="34">
        <f>F32+G31+H30</f>
        <v>310.99999999999989</v>
      </c>
      <c r="J32" s="34">
        <f t="shared" ref="J32:J39" si="19">B32</f>
        <v>10</v>
      </c>
      <c r="K32" s="42">
        <f t="shared" ref="K32:K39" si="20">J32/($L$22+$L$23*J32)</f>
        <v>7.7742361812951879</v>
      </c>
      <c r="L32" s="42">
        <f t="shared" si="16"/>
        <v>3.3182191382660424E-2</v>
      </c>
      <c r="M32" s="40">
        <f t="shared" ref="M32:M39" si="21">L32*C32</f>
        <v>9.9546574147981275</v>
      </c>
      <c r="N32" s="40">
        <f t="shared" ref="N32:N39" si="22">L32*I32</f>
        <v>10.319661520007388</v>
      </c>
    </row>
    <row r="33" spans="1:14" x14ac:dyDescent="0.3">
      <c r="A33" s="9" t="s">
        <v>8</v>
      </c>
      <c r="B33" s="5">
        <v>15</v>
      </c>
      <c r="C33" s="5">
        <v>340</v>
      </c>
      <c r="D33" s="6">
        <v>3.0882352941176459</v>
      </c>
      <c r="E33" s="40">
        <f t="shared" si="17"/>
        <v>0.61764705882352922</v>
      </c>
      <c r="F33" s="34">
        <f t="shared" si="18"/>
        <v>130.00000000000006</v>
      </c>
      <c r="G33" s="34">
        <f t="shared" ref="G33:G36" si="23">E33*C33</f>
        <v>209.99999999999994</v>
      </c>
      <c r="H33" s="81">
        <v>0</v>
      </c>
      <c r="I33" s="34">
        <f t="shared" ref="I33:I39" si="24">F33+G32+H31</f>
        <v>250.00000000000009</v>
      </c>
      <c r="J33" s="34">
        <f t="shared" si="19"/>
        <v>15</v>
      </c>
      <c r="K33" s="42">
        <f t="shared" si="20"/>
        <v>10.734988907178129</v>
      </c>
      <c r="L33" s="42">
        <f t="shared" si="16"/>
        <v>9.9556396010943196E-2</v>
      </c>
      <c r="M33" s="40">
        <f t="shared" si="21"/>
        <v>33.849174643720687</v>
      </c>
      <c r="N33" s="40">
        <f t="shared" si="22"/>
        <v>24.889099002735808</v>
      </c>
    </row>
    <row r="34" spans="1:14" x14ac:dyDescent="0.3">
      <c r="A34" s="9" t="s">
        <v>9</v>
      </c>
      <c r="B34" s="5">
        <v>20</v>
      </c>
      <c r="C34" s="5">
        <v>190</v>
      </c>
      <c r="D34" s="6">
        <v>3.5526315789473699</v>
      </c>
      <c r="E34" s="40">
        <f t="shared" si="17"/>
        <v>0.71052631578947401</v>
      </c>
      <c r="F34" s="34">
        <f t="shared" si="18"/>
        <v>54.999999999999943</v>
      </c>
      <c r="G34" s="34">
        <f t="shared" si="23"/>
        <v>135.00000000000006</v>
      </c>
      <c r="H34" s="81">
        <v>0</v>
      </c>
      <c r="I34" s="34">
        <f t="shared" si="24"/>
        <v>264.99999999999989</v>
      </c>
      <c r="J34" s="34">
        <f t="shared" si="19"/>
        <v>20</v>
      </c>
      <c r="K34" s="42">
        <f t="shared" si="20"/>
        <v>13.259961546111516</v>
      </c>
      <c r="L34" s="42">
        <f t="shared" si="16"/>
        <v>0.21401501421332017</v>
      </c>
      <c r="M34" s="40">
        <f t="shared" si="21"/>
        <v>40.662852700530834</v>
      </c>
      <c r="N34" s="40">
        <f t="shared" si="22"/>
        <v>56.71397876652982</v>
      </c>
    </row>
    <row r="35" spans="1:14" x14ac:dyDescent="0.3">
      <c r="A35" s="9" t="s">
        <v>10</v>
      </c>
      <c r="B35" s="5">
        <v>25</v>
      </c>
      <c r="C35" s="5">
        <v>390</v>
      </c>
      <c r="D35" s="6">
        <v>3.6025641025641022</v>
      </c>
      <c r="E35" s="40">
        <f t="shared" si="17"/>
        <v>0.7205128205128204</v>
      </c>
      <c r="F35" s="34">
        <f t="shared" si="18"/>
        <v>109.00000000000006</v>
      </c>
      <c r="G35" s="34">
        <f t="shared" si="23"/>
        <v>280.99999999999994</v>
      </c>
      <c r="H35" s="81">
        <v>0</v>
      </c>
      <c r="I35" s="34">
        <f t="shared" si="24"/>
        <v>244.00000000000011</v>
      </c>
      <c r="J35" s="34">
        <f t="shared" si="19"/>
        <v>25</v>
      </c>
      <c r="K35" s="42">
        <f t="shared" si="20"/>
        <v>15.438769838819244</v>
      </c>
      <c r="L35" s="42">
        <f t="shared" si="16"/>
        <v>0.3838550655283377</v>
      </c>
      <c r="M35" s="40">
        <f t="shared" si="21"/>
        <v>149.7034755560517</v>
      </c>
      <c r="N35" s="40">
        <f t="shared" si="22"/>
        <v>93.66063598891445</v>
      </c>
    </row>
    <row r="36" spans="1:14" x14ac:dyDescent="0.3">
      <c r="A36" s="9" t="s">
        <v>11</v>
      </c>
      <c r="B36" s="5">
        <v>30</v>
      </c>
      <c r="C36" s="5">
        <v>210</v>
      </c>
      <c r="D36" s="6">
        <v>4.8333333333333375</v>
      </c>
      <c r="E36" s="40">
        <f t="shared" si="17"/>
        <v>0.96666666666666745</v>
      </c>
      <c r="F36" s="34">
        <f>C36-G36</f>
        <v>6.9999999999998295</v>
      </c>
      <c r="G36" s="34">
        <f t="shared" si="23"/>
        <v>203.00000000000017</v>
      </c>
      <c r="H36" s="81">
        <v>0</v>
      </c>
      <c r="I36" s="34">
        <f t="shared" si="24"/>
        <v>287.99999999999977</v>
      </c>
      <c r="J36" s="34">
        <f t="shared" si="19"/>
        <v>30</v>
      </c>
      <c r="K36" s="42">
        <f t="shared" si="20"/>
        <v>17.338033866959485</v>
      </c>
      <c r="L36" s="42">
        <f t="shared" si="16"/>
        <v>0.61459056340119056</v>
      </c>
      <c r="M36" s="40">
        <f t="shared" si="21"/>
        <v>129.06401831425001</v>
      </c>
      <c r="N36" s="40">
        <f t="shared" si="22"/>
        <v>177.00208225954273</v>
      </c>
    </row>
    <row r="37" spans="1:14" x14ac:dyDescent="0.3">
      <c r="A37" s="45" t="s">
        <v>12</v>
      </c>
      <c r="B37" s="46">
        <v>35</v>
      </c>
      <c r="C37" s="46">
        <v>80</v>
      </c>
      <c r="D37" s="47">
        <v>5.4374999999999929</v>
      </c>
      <c r="E37" s="40">
        <f>D37/$F$22</f>
        <v>1.0874999999999986</v>
      </c>
      <c r="F37" s="81">
        <v>0</v>
      </c>
      <c r="G37" s="34">
        <f>C37-H37</f>
        <v>73.000000000000114</v>
      </c>
      <c r="H37" s="34">
        <f>(E37-1)*C37</f>
        <v>6.9999999999998863</v>
      </c>
      <c r="I37" s="34">
        <f t="shared" si="24"/>
        <v>203.00000000000017</v>
      </c>
      <c r="J37" s="34">
        <f t="shared" si="19"/>
        <v>35</v>
      </c>
      <c r="K37" s="42">
        <f t="shared" si="20"/>
        <v>19.008309346657253</v>
      </c>
      <c r="L37" s="42">
        <f t="shared" si="16"/>
        <v>0.91050985544052121</v>
      </c>
      <c r="M37" s="40">
        <f t="shared" si="21"/>
        <v>72.840788435241691</v>
      </c>
      <c r="N37" s="40">
        <f t="shared" si="22"/>
        <v>184.83350065442596</v>
      </c>
    </row>
    <row r="38" spans="1:14" x14ac:dyDescent="0.3">
      <c r="A38" s="33" t="s">
        <v>50</v>
      </c>
      <c r="B38" s="50">
        <v>40</v>
      </c>
      <c r="C38" s="9"/>
      <c r="D38" s="5"/>
      <c r="E38" s="9"/>
      <c r="F38" s="33"/>
      <c r="G38" s="33"/>
      <c r="H38" s="33"/>
      <c r="I38" s="34">
        <f t="shared" si="24"/>
        <v>73.000000000000114</v>
      </c>
      <c r="J38" s="34">
        <f t="shared" si="19"/>
        <v>40</v>
      </c>
      <c r="K38" s="42">
        <f t="shared" si="20"/>
        <v>20.488654407621777</v>
      </c>
      <c r="L38" s="42">
        <f t="shared" si="16"/>
        <v>1.27502793486969</v>
      </c>
      <c r="M38" s="40">
        <f t="shared" si="21"/>
        <v>0</v>
      </c>
      <c r="N38" s="40">
        <f t="shared" si="22"/>
        <v>93.077039245487512</v>
      </c>
    </row>
    <row r="39" spans="1:14" x14ac:dyDescent="0.3">
      <c r="A39" s="33" t="s">
        <v>51</v>
      </c>
      <c r="B39" s="50">
        <v>45</v>
      </c>
      <c r="C39" s="9"/>
      <c r="D39" s="9"/>
      <c r="E39" s="9"/>
      <c r="F39" s="33"/>
      <c r="G39" s="33"/>
      <c r="H39" s="33"/>
      <c r="I39" s="34">
        <f t="shared" si="24"/>
        <v>6.9999999999998863</v>
      </c>
      <c r="J39" s="34">
        <f t="shared" si="19"/>
        <v>45</v>
      </c>
      <c r="K39" s="42">
        <f t="shared" si="20"/>
        <v>21.809722289536182</v>
      </c>
      <c r="L39" s="42">
        <f t="shared" si="16"/>
        <v>1.7109195762731109</v>
      </c>
      <c r="M39" s="40">
        <f t="shared" si="21"/>
        <v>0</v>
      </c>
      <c r="N39" s="40">
        <f t="shared" si="22"/>
        <v>11.976437033911582</v>
      </c>
    </row>
    <row r="40" spans="1:14" x14ac:dyDescent="0.3">
      <c r="C40" s="5">
        <f>SUM(C31:C37)</f>
        <v>1890</v>
      </c>
      <c r="D40" s="9"/>
      <c r="E40" s="9"/>
      <c r="F40" s="9"/>
      <c r="G40" s="9"/>
      <c r="H40" s="9"/>
      <c r="I40" s="34">
        <f>SUM(I31:I39)</f>
        <v>1920</v>
      </c>
      <c r="J40" s="5"/>
      <c r="K40" s="5"/>
      <c r="L40" s="6"/>
      <c r="M40" s="40">
        <f>SUM(M31:M39)</f>
        <v>437.9246406247882</v>
      </c>
      <c r="N40" s="40">
        <f t="shared" ref="N40" si="25">SUM(N31:N39)</f>
        <v>653.83048426969856</v>
      </c>
    </row>
    <row r="41" spans="1:14" x14ac:dyDescent="0.3">
      <c r="C41" s="7">
        <f>C40+C30</f>
        <v>1920</v>
      </c>
      <c r="I41" s="7"/>
      <c r="J41" s="7"/>
      <c r="K41" s="7"/>
      <c r="L41" s="7"/>
      <c r="M41" s="7"/>
      <c r="N41" s="7"/>
    </row>
    <row r="42" spans="1:14" x14ac:dyDescent="0.3">
      <c r="C42" s="7"/>
      <c r="I42" s="7"/>
      <c r="J42" s="7"/>
      <c r="K42" s="7"/>
      <c r="L42" s="7"/>
      <c r="M42" s="7"/>
      <c r="N42" s="7"/>
    </row>
    <row r="43" spans="1:14" x14ac:dyDescent="0.3">
      <c r="E43" s="18" t="s">
        <v>23</v>
      </c>
      <c r="F43" s="12">
        <v>2</v>
      </c>
    </row>
    <row r="44" spans="1:14" x14ac:dyDescent="0.3">
      <c r="E44" s="18" t="s">
        <v>24</v>
      </c>
      <c r="F44" s="12">
        <v>2019</v>
      </c>
    </row>
    <row r="45" spans="1:14" x14ac:dyDescent="0.3">
      <c r="E45" s="18" t="s">
        <v>26</v>
      </c>
      <c r="F45" s="12">
        <v>10</v>
      </c>
    </row>
    <row r="46" spans="1:14" x14ac:dyDescent="0.3">
      <c r="E46" s="18" t="s">
        <v>25</v>
      </c>
      <c r="F46" s="12">
        <f>F44+F45</f>
        <v>2029</v>
      </c>
    </row>
    <row r="47" spans="1:14" x14ac:dyDescent="0.3">
      <c r="E47" s="18"/>
    </row>
    <row r="48" spans="1:14" x14ac:dyDescent="0.3">
      <c r="A48" s="84" t="s">
        <v>13</v>
      </c>
      <c r="B48" s="85" t="s">
        <v>29</v>
      </c>
      <c r="C48" s="85" t="s">
        <v>32</v>
      </c>
      <c r="D48" s="83" t="s">
        <v>34</v>
      </c>
      <c r="E48" s="94" t="s">
        <v>37</v>
      </c>
      <c r="F48" s="94" t="s">
        <v>38</v>
      </c>
      <c r="G48" s="93" t="s">
        <v>39</v>
      </c>
      <c r="H48" s="93" t="s">
        <v>52</v>
      </c>
      <c r="I48" s="95" t="s">
        <v>53</v>
      </c>
      <c r="J48" s="96" t="s">
        <v>41</v>
      </c>
      <c r="K48" s="96" t="s">
        <v>42</v>
      </c>
      <c r="L48" s="96" t="s">
        <v>43</v>
      </c>
      <c r="M48" s="93" t="s">
        <v>54</v>
      </c>
      <c r="N48" s="93" t="s">
        <v>55</v>
      </c>
    </row>
    <row r="49" spans="1:14" ht="26.4" customHeight="1" x14ac:dyDescent="0.3">
      <c r="A49" s="84"/>
      <c r="B49" s="85"/>
      <c r="C49" s="83"/>
      <c r="D49" s="83"/>
      <c r="E49" s="94"/>
      <c r="F49" s="94"/>
      <c r="G49" s="93"/>
      <c r="H49" s="93"/>
      <c r="I49" s="95"/>
      <c r="J49" s="96"/>
      <c r="K49" s="96"/>
      <c r="L49" s="96"/>
      <c r="M49" s="93"/>
      <c r="N49" s="93"/>
    </row>
    <row r="50" spans="1:14" x14ac:dyDescent="0.3">
      <c r="A50" s="9" t="s">
        <v>14</v>
      </c>
      <c r="B50" s="5">
        <v>6</v>
      </c>
      <c r="C50" s="5">
        <v>313</v>
      </c>
      <c r="D50" s="5">
        <v>2.2000000000000002</v>
      </c>
      <c r="E50" s="34">
        <f>D50/$F$43</f>
        <v>1.1000000000000001</v>
      </c>
      <c r="F50" s="59">
        <v>0</v>
      </c>
      <c r="G50" s="35">
        <f>C50-H50</f>
        <v>281.7</v>
      </c>
      <c r="H50" s="55">
        <f t="shared" ref="H50:H56" si="26">(E50-1)*C50</f>
        <v>31.300000000000029</v>
      </c>
      <c r="I50" s="34">
        <v>0</v>
      </c>
      <c r="J50" s="49">
        <v>6</v>
      </c>
      <c r="K50" s="42">
        <f>J50/($L$2+$L$3*J50)</f>
        <v>7.9516539440203564</v>
      </c>
      <c r="L50" s="42">
        <f>$M$2*J50^$M$3*K50^$M$4</f>
        <v>1.1599490881388206E-2</v>
      </c>
      <c r="M50" s="40">
        <f>L50*C50</f>
        <v>3.6306406458745086</v>
      </c>
      <c r="N50" s="9"/>
    </row>
    <row r="51" spans="1:14" x14ac:dyDescent="0.3">
      <c r="A51" s="9" t="s">
        <v>15</v>
      </c>
      <c r="B51" s="5">
        <v>8</v>
      </c>
      <c r="C51" s="5">
        <v>229</v>
      </c>
      <c r="D51" s="5">
        <v>2.2999999999999998</v>
      </c>
      <c r="E51" s="34">
        <f t="shared" ref="E51:E57" si="27">D51/$F$43</f>
        <v>1.1499999999999999</v>
      </c>
      <c r="F51" s="59">
        <v>0</v>
      </c>
      <c r="G51" s="35">
        <f t="shared" ref="G51:G56" si="28">C51-H51</f>
        <v>194.65000000000003</v>
      </c>
      <c r="H51" s="55">
        <f t="shared" si="26"/>
        <v>34.34999999999998</v>
      </c>
      <c r="I51" s="35">
        <f>F51+G50</f>
        <v>281.7</v>
      </c>
      <c r="J51" s="34">
        <f>B51</f>
        <v>8</v>
      </c>
      <c r="K51" s="42">
        <f t="shared" ref="K51:K58" si="29">J51/($L$2+$L$3*J51)</f>
        <v>10.100499974748748</v>
      </c>
      <c r="L51" s="42">
        <f t="shared" ref="L51:L58" si="30">$M$2*J51^$M$3*K51^$M$4</f>
        <v>2.5597963212987761E-2</v>
      </c>
      <c r="M51" s="40">
        <f>L51*C51</f>
        <v>5.8619335757741968</v>
      </c>
      <c r="N51" s="40">
        <f>L51*I51</f>
        <v>7.2109462370986517</v>
      </c>
    </row>
    <row r="52" spans="1:14" x14ac:dyDescent="0.3">
      <c r="A52" s="9" t="s">
        <v>16</v>
      </c>
      <c r="B52" s="5">
        <v>10</v>
      </c>
      <c r="C52" s="5">
        <v>134</v>
      </c>
      <c r="D52" s="5">
        <v>2.4</v>
      </c>
      <c r="E52" s="34">
        <f t="shared" si="27"/>
        <v>1.2</v>
      </c>
      <c r="F52" s="59">
        <v>0</v>
      </c>
      <c r="G52" s="35">
        <f t="shared" si="28"/>
        <v>107.2</v>
      </c>
      <c r="H52" s="55">
        <f t="shared" si="26"/>
        <v>26.799999999999994</v>
      </c>
      <c r="I52" s="35">
        <f>F52+G51+H50</f>
        <v>225.95000000000007</v>
      </c>
      <c r="J52" s="34">
        <f t="shared" ref="J52:J58" si="31">B52</f>
        <v>10</v>
      </c>
      <c r="K52" s="42">
        <f t="shared" si="29"/>
        <v>12.055164432442858</v>
      </c>
      <c r="L52" s="42">
        <f t="shared" si="30"/>
        <v>4.695602476531513E-2</v>
      </c>
      <c r="M52" s="40">
        <f>L52*C52</f>
        <v>6.2921073185522278</v>
      </c>
      <c r="N52" s="40">
        <f t="shared" ref="N52:N58" si="32">L52*I52</f>
        <v>10.609713795722957</v>
      </c>
    </row>
    <row r="53" spans="1:14" x14ac:dyDescent="0.3">
      <c r="A53" s="9" t="s">
        <v>17</v>
      </c>
      <c r="B53" s="5">
        <v>12</v>
      </c>
      <c r="C53" s="5">
        <v>70</v>
      </c>
      <c r="D53" s="5">
        <v>2.2000000000000002</v>
      </c>
      <c r="E53" s="34">
        <f t="shared" si="27"/>
        <v>1.1000000000000001</v>
      </c>
      <c r="F53" s="59">
        <v>0</v>
      </c>
      <c r="G53" s="35">
        <f t="shared" si="28"/>
        <v>62.999999999999993</v>
      </c>
      <c r="H53" s="55">
        <f t="shared" si="26"/>
        <v>7.0000000000000062</v>
      </c>
      <c r="I53" s="35">
        <f t="shared" ref="I53:I56" si="33">F53+G52+H51</f>
        <v>141.54999999999998</v>
      </c>
      <c r="J53" s="34">
        <f t="shared" si="31"/>
        <v>12</v>
      </c>
      <c r="K53" s="42">
        <f t="shared" si="29"/>
        <v>13.84083044982699</v>
      </c>
      <c r="L53" s="42">
        <f t="shared" si="30"/>
        <v>7.6670278699028552E-2</v>
      </c>
      <c r="M53" s="40">
        <f>L53*C53</f>
        <v>5.366919508931999</v>
      </c>
      <c r="N53" s="40">
        <f t="shared" si="32"/>
        <v>10.852677949847489</v>
      </c>
    </row>
    <row r="54" spans="1:14" x14ac:dyDescent="0.3">
      <c r="A54" s="9" t="s">
        <v>18</v>
      </c>
      <c r="B54" s="5">
        <v>14</v>
      </c>
      <c r="C54" s="5">
        <v>34</v>
      </c>
      <c r="D54" s="5">
        <v>2.4</v>
      </c>
      <c r="E54" s="34">
        <f t="shared" si="27"/>
        <v>1.2</v>
      </c>
      <c r="F54" s="59">
        <v>0</v>
      </c>
      <c r="G54" s="35">
        <f t="shared" si="28"/>
        <v>27.200000000000003</v>
      </c>
      <c r="H54" s="55">
        <f t="shared" si="26"/>
        <v>6.7999999999999989</v>
      </c>
      <c r="I54" s="35">
        <f t="shared" si="33"/>
        <v>89.799999999999983</v>
      </c>
      <c r="J54" s="34">
        <f t="shared" si="31"/>
        <v>14</v>
      </c>
      <c r="K54" s="42">
        <f t="shared" si="29"/>
        <v>15.478506987440298</v>
      </c>
      <c r="L54" s="42">
        <f t="shared" si="30"/>
        <v>0.11557050813183578</v>
      </c>
      <c r="M54" s="40">
        <f>L54*C54</f>
        <v>3.9293972764824163</v>
      </c>
      <c r="N54" s="40">
        <f t="shared" si="32"/>
        <v>10.378231630238851</v>
      </c>
    </row>
    <row r="55" spans="1:14" x14ac:dyDescent="0.3">
      <c r="A55" s="9" t="s">
        <v>19</v>
      </c>
      <c r="B55" s="5">
        <v>16</v>
      </c>
      <c r="C55" s="5">
        <v>10</v>
      </c>
      <c r="D55" s="5">
        <v>2.6</v>
      </c>
      <c r="E55" s="34">
        <f t="shared" si="27"/>
        <v>1.3</v>
      </c>
      <c r="F55" s="59">
        <v>0</v>
      </c>
      <c r="G55" s="35">
        <f t="shared" si="28"/>
        <v>7</v>
      </c>
      <c r="H55" s="55">
        <f t="shared" si="26"/>
        <v>3.0000000000000004</v>
      </c>
      <c r="I55" s="35">
        <f t="shared" si="33"/>
        <v>34.20000000000001</v>
      </c>
      <c r="J55" s="34">
        <f t="shared" si="31"/>
        <v>16</v>
      </c>
      <c r="K55" s="42">
        <f t="shared" si="29"/>
        <v>16.985859272155931</v>
      </c>
      <c r="L55" s="42">
        <f t="shared" si="30"/>
        <v>0.16435586769609448</v>
      </c>
      <c r="M55" s="40">
        <f t="shared" ref="M55:M57" si="34">L55*C55</f>
        <v>1.6435586769609447</v>
      </c>
      <c r="N55" s="40">
        <f t="shared" si="32"/>
        <v>5.6209706752064328</v>
      </c>
    </row>
    <row r="56" spans="1:14" x14ac:dyDescent="0.3">
      <c r="A56" s="9" t="s">
        <v>20</v>
      </c>
      <c r="B56" s="5">
        <v>18</v>
      </c>
      <c r="C56" s="5">
        <v>9</v>
      </c>
      <c r="D56" s="5">
        <v>2.1</v>
      </c>
      <c r="E56" s="34">
        <f t="shared" si="27"/>
        <v>1.05</v>
      </c>
      <c r="F56" s="59">
        <v>0</v>
      </c>
      <c r="G56" s="35">
        <f t="shared" si="28"/>
        <v>8.5499999999999989</v>
      </c>
      <c r="H56" s="60">
        <f t="shared" si="26"/>
        <v>0.4500000000000004</v>
      </c>
      <c r="I56" s="35">
        <f t="shared" si="33"/>
        <v>13.799999999999999</v>
      </c>
      <c r="J56" s="34">
        <f t="shared" si="31"/>
        <v>18</v>
      </c>
      <c r="K56" s="42">
        <f t="shared" si="29"/>
        <v>18.37784856652781</v>
      </c>
      <c r="L56" s="42">
        <f t="shared" si="30"/>
        <v>0.2236214580265555</v>
      </c>
      <c r="M56" s="40">
        <f t="shared" si="34"/>
        <v>2.0125931222389997</v>
      </c>
      <c r="N56" s="40">
        <f t="shared" si="32"/>
        <v>3.0859761207664658</v>
      </c>
    </row>
    <row r="57" spans="1:14" x14ac:dyDescent="0.3">
      <c r="A57" s="10" t="s">
        <v>21</v>
      </c>
      <c r="B57" s="5">
        <v>20</v>
      </c>
      <c r="C57" s="5">
        <v>6</v>
      </c>
      <c r="D57" s="5">
        <v>1.8</v>
      </c>
      <c r="E57" s="34">
        <f t="shared" si="27"/>
        <v>0.9</v>
      </c>
      <c r="F57" s="35">
        <f>C57-G57</f>
        <v>0.59999999999999964</v>
      </c>
      <c r="G57" s="35">
        <f>E57*C57</f>
        <v>5.4</v>
      </c>
      <c r="H57" s="60">
        <v>0</v>
      </c>
      <c r="I57" s="35">
        <f>F57+G56+H55</f>
        <v>12.149999999999999</v>
      </c>
      <c r="J57" s="34">
        <f t="shared" si="31"/>
        <v>20</v>
      </c>
      <c r="K57" s="42">
        <f t="shared" si="29"/>
        <v>19.667230460606536</v>
      </c>
      <c r="L57" s="42">
        <f t="shared" si="30"/>
        <v>0.29387834723120021</v>
      </c>
      <c r="M57" s="40">
        <f t="shared" si="34"/>
        <v>1.7632700833872013</v>
      </c>
      <c r="N57" s="40">
        <f t="shared" si="32"/>
        <v>3.5706219188590822</v>
      </c>
    </row>
    <row r="58" spans="1:14" x14ac:dyDescent="0.3">
      <c r="A58" s="9" t="s">
        <v>22</v>
      </c>
      <c r="B58" s="5">
        <v>22</v>
      </c>
      <c r="C58" s="5">
        <v>0</v>
      </c>
      <c r="D58" s="9"/>
      <c r="E58" s="34"/>
      <c r="F58" s="35">
        <f>C58-G58</f>
        <v>0</v>
      </c>
      <c r="G58" s="35">
        <f>E58*C58</f>
        <v>0</v>
      </c>
      <c r="H58" s="60">
        <v>0</v>
      </c>
      <c r="I58" s="35">
        <f>F58+G57+H56</f>
        <v>5.8500000000000005</v>
      </c>
      <c r="J58" s="34">
        <f t="shared" si="31"/>
        <v>22</v>
      </c>
      <c r="K58" s="42">
        <f t="shared" si="29"/>
        <v>20.864946889226101</v>
      </c>
      <c r="L58" s="42">
        <f t="shared" si="30"/>
        <v>0.3755689500300034</v>
      </c>
      <c r="M58" s="40">
        <f>L58*C58</f>
        <v>0</v>
      </c>
      <c r="N58" s="40">
        <f t="shared" si="32"/>
        <v>2.1970783576755202</v>
      </c>
    </row>
    <row r="59" spans="1:14" x14ac:dyDescent="0.3">
      <c r="B59" s="9"/>
      <c r="C59" s="56">
        <f>SUM(C50:C58)</f>
        <v>805</v>
      </c>
      <c r="D59" s="56"/>
      <c r="E59" s="56"/>
      <c r="F59" s="56"/>
      <c r="G59" s="56"/>
      <c r="H59" s="56"/>
      <c r="I59" s="57">
        <f>SUM(I50:I58)</f>
        <v>805</v>
      </c>
      <c r="J59" s="57"/>
      <c r="K59" s="57"/>
      <c r="L59" s="57"/>
      <c r="M59" s="58">
        <f>SUM(M50:M58)</f>
        <v>30.500420208202492</v>
      </c>
      <c r="N59" s="58">
        <f>SUM(N50:N58)</f>
        <v>53.526216685415449</v>
      </c>
    </row>
  </sheetData>
  <mergeCells count="42">
    <mergeCell ref="J48:J49"/>
    <mergeCell ref="K48:K49"/>
    <mergeCell ref="L48:L49"/>
    <mergeCell ref="M48:M49"/>
    <mergeCell ref="N48:N49"/>
    <mergeCell ref="E48:E49"/>
    <mergeCell ref="F48:F49"/>
    <mergeCell ref="G48:G49"/>
    <mergeCell ref="I48:I49"/>
    <mergeCell ref="H48:H49"/>
    <mergeCell ref="K27:K29"/>
    <mergeCell ref="L27:L29"/>
    <mergeCell ref="M27:M29"/>
    <mergeCell ref="N27:N29"/>
    <mergeCell ref="H27:H29"/>
    <mergeCell ref="N6:N7"/>
    <mergeCell ref="O6:O7"/>
    <mergeCell ref="E27:E29"/>
    <mergeCell ref="F27:F29"/>
    <mergeCell ref="G27:G29"/>
    <mergeCell ref="I27:I29"/>
    <mergeCell ref="J6:J7"/>
    <mergeCell ref="K6:K7"/>
    <mergeCell ref="M6:M7"/>
    <mergeCell ref="L6:L7"/>
    <mergeCell ref="F6:F7"/>
    <mergeCell ref="E6:E7"/>
    <mergeCell ref="G6:G7"/>
    <mergeCell ref="H6:H7"/>
    <mergeCell ref="I6:I7"/>
    <mergeCell ref="J27:J29"/>
    <mergeCell ref="A6:A7"/>
    <mergeCell ref="A48:A49"/>
    <mergeCell ref="B48:B49"/>
    <mergeCell ref="C48:C49"/>
    <mergeCell ref="D48:D49"/>
    <mergeCell ref="B27:B29"/>
    <mergeCell ref="C27:C29"/>
    <mergeCell ref="D27:D29"/>
    <mergeCell ref="B6:B7"/>
    <mergeCell ref="D6:D7"/>
    <mergeCell ref="C6:C7"/>
  </mergeCells>
  <pageMargins left="0.7" right="0.7" top="0.75" bottom="0.75" header="0.3" footer="0.3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17</xdr:col>
                <xdr:colOff>30480</xdr:colOff>
                <xdr:row>26</xdr:row>
                <xdr:rowOff>38100</xdr:rowOff>
              </from>
              <to>
                <xdr:col>20</xdr:col>
                <xdr:colOff>556260</xdr:colOff>
                <xdr:row>29</xdr:row>
                <xdr:rowOff>60960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17</xdr:col>
                <xdr:colOff>38100</xdr:colOff>
                <xdr:row>21</xdr:row>
                <xdr:rowOff>167640</xdr:rowOff>
              </from>
              <to>
                <xdr:col>20</xdr:col>
                <xdr:colOff>60960</xdr:colOff>
                <xdr:row>24</xdr:row>
                <xdr:rowOff>106680</xdr:rowOff>
              </to>
            </anchor>
          </objectPr>
        </oleObject>
      </mc:Choice>
      <mc:Fallback>
        <oleObject progId="Equation.3" shapeId="102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8"/>
  <sheetViews>
    <sheetView tabSelected="1" zoomScale="95" zoomScaleNormal="95" workbookViewId="0">
      <selection activeCell="I1" sqref="I1"/>
    </sheetView>
  </sheetViews>
  <sheetFormatPr defaultRowHeight="14.4" x14ac:dyDescent="0.3"/>
  <cols>
    <col min="1" max="1" width="4.33203125" bestFit="1" customWidth="1"/>
    <col min="5" max="5" width="10.44140625" customWidth="1"/>
    <col min="6" max="8" width="6.109375" customWidth="1"/>
    <col min="9" max="21" width="6.21875" customWidth="1"/>
    <col min="22" max="25" width="6.109375" customWidth="1"/>
    <col min="26" max="26" width="5.21875" customWidth="1"/>
    <col min="27" max="27" width="4.6640625" customWidth="1"/>
    <col min="28" max="28" width="3.6640625" customWidth="1"/>
  </cols>
  <sheetData>
    <row r="1" spans="1:36" ht="72" x14ac:dyDescent="0.3">
      <c r="A1" s="112" t="s">
        <v>72</v>
      </c>
      <c r="B1" s="17" t="s">
        <v>56</v>
      </c>
      <c r="C1" s="17" t="s">
        <v>57</v>
      </c>
      <c r="D1" s="17" t="s">
        <v>58</v>
      </c>
      <c r="E1" s="113" t="s">
        <v>76</v>
      </c>
    </row>
    <row r="2" spans="1:36" x14ac:dyDescent="0.3">
      <c r="A2" t="s">
        <v>62</v>
      </c>
      <c r="B2" s="48">
        <v>0.15</v>
      </c>
      <c r="C2" s="48">
        <v>29</v>
      </c>
      <c r="D2" s="5">
        <v>1</v>
      </c>
      <c r="E2" s="9"/>
    </row>
    <row r="3" spans="1:36" x14ac:dyDescent="0.3">
      <c r="A3" t="s">
        <v>63</v>
      </c>
      <c r="B3" s="48">
        <v>1.3</v>
      </c>
      <c r="C3" s="48">
        <v>27</v>
      </c>
      <c r="D3" s="5">
        <v>3</v>
      </c>
      <c r="E3" s="114">
        <f>(B3-B2)/(C2-C3)</f>
        <v>0.57500000000000007</v>
      </c>
    </row>
    <row r="4" spans="1:36" x14ac:dyDescent="0.3">
      <c r="A4" t="s">
        <v>64</v>
      </c>
      <c r="B4" s="48">
        <v>3.3</v>
      </c>
      <c r="C4" s="48">
        <v>25</v>
      </c>
      <c r="D4" s="5">
        <v>5</v>
      </c>
      <c r="E4" s="115">
        <f>(B4-B3)/(C3-C4)</f>
        <v>0.99999999999999989</v>
      </c>
    </row>
    <row r="5" spans="1:36" x14ac:dyDescent="0.3">
      <c r="A5" t="s">
        <v>65</v>
      </c>
      <c r="B5" s="48">
        <v>5.3</v>
      </c>
      <c r="C5" s="48">
        <v>21</v>
      </c>
      <c r="D5" s="5">
        <v>9</v>
      </c>
      <c r="E5" s="116">
        <f t="shared" ref="E5:E11" si="0">(B5-B4)/(C4-C5)</f>
        <v>0.5</v>
      </c>
    </row>
    <row r="6" spans="1:36" x14ac:dyDescent="0.3">
      <c r="A6" t="s">
        <v>66</v>
      </c>
      <c r="B6" s="48">
        <v>7.3</v>
      </c>
      <c r="C6" s="48">
        <v>18</v>
      </c>
      <c r="D6" s="5">
        <v>12</v>
      </c>
      <c r="E6" s="117">
        <f t="shared" si="0"/>
        <v>0.66666666666666663</v>
      </c>
      <c r="AE6" s="18" t="s">
        <v>60</v>
      </c>
      <c r="AF6" s="78">
        <v>16.43</v>
      </c>
    </row>
    <row r="7" spans="1:36" x14ac:dyDescent="0.3">
      <c r="A7" t="s">
        <v>67</v>
      </c>
      <c r="B7" s="48">
        <v>9.3000000000000007</v>
      </c>
      <c r="C7" s="48">
        <v>15</v>
      </c>
      <c r="D7" s="5">
        <v>15</v>
      </c>
      <c r="E7" s="118">
        <f t="shared" si="0"/>
        <v>0.66666666666666696</v>
      </c>
    </row>
    <row r="8" spans="1:36" x14ac:dyDescent="0.3">
      <c r="A8" t="s">
        <v>68</v>
      </c>
      <c r="B8" s="48">
        <v>11.3</v>
      </c>
      <c r="C8" s="48">
        <v>11</v>
      </c>
      <c r="D8" s="5">
        <v>19</v>
      </c>
      <c r="E8" s="119">
        <f t="shared" si="0"/>
        <v>0.5</v>
      </c>
      <c r="AC8" s="7" t="s">
        <v>75</v>
      </c>
      <c r="AD8" t="s">
        <v>59</v>
      </c>
      <c r="AE8" t="s">
        <v>61</v>
      </c>
    </row>
    <row r="9" spans="1:36" x14ac:dyDescent="0.3">
      <c r="A9" t="s">
        <v>71</v>
      </c>
      <c r="B9" s="48">
        <v>13.3</v>
      </c>
      <c r="C9" s="48">
        <v>8</v>
      </c>
      <c r="D9" s="5">
        <v>22</v>
      </c>
      <c r="E9" s="120">
        <f t="shared" si="0"/>
        <v>0.66666666666666663</v>
      </c>
      <c r="AC9" s="76"/>
      <c r="AD9" s="76">
        <v>0</v>
      </c>
      <c r="AE9" s="76">
        <v>30</v>
      </c>
      <c r="AF9" s="77">
        <f>AF10+$Y$21</f>
        <v>16.622999999999998</v>
      </c>
      <c r="AI9">
        <v>0</v>
      </c>
    </row>
    <row r="10" spans="1:36" x14ac:dyDescent="0.3">
      <c r="A10" t="s">
        <v>70</v>
      </c>
      <c r="B10" s="48">
        <v>14</v>
      </c>
      <c r="C10" s="48">
        <v>6</v>
      </c>
      <c r="D10" s="5">
        <v>24</v>
      </c>
      <c r="E10" s="121">
        <f t="shared" si="0"/>
        <v>0.34999999999999964</v>
      </c>
      <c r="AC10" s="76"/>
      <c r="AD10" s="76">
        <v>1</v>
      </c>
      <c r="AE10" s="76">
        <v>29</v>
      </c>
      <c r="AF10" s="77">
        <f t="shared" ref="AF10:AF12" si="1">AF11+$Y$21</f>
        <v>16.236999999999998</v>
      </c>
      <c r="AI10">
        <v>1</v>
      </c>
      <c r="AJ10">
        <v>0.4375</v>
      </c>
    </row>
    <row r="11" spans="1:36" x14ac:dyDescent="0.3">
      <c r="A11" t="s">
        <v>69</v>
      </c>
      <c r="B11" s="48">
        <v>14.5</v>
      </c>
      <c r="C11" s="48">
        <v>5</v>
      </c>
      <c r="D11" s="5">
        <v>25</v>
      </c>
      <c r="E11" s="122">
        <f t="shared" si="0"/>
        <v>0.5</v>
      </c>
      <c r="AC11" s="76"/>
      <c r="AD11" s="76">
        <v>2</v>
      </c>
      <c r="AE11" s="76">
        <v>28</v>
      </c>
      <c r="AF11">
        <f t="shared" si="1"/>
        <v>15.850999999999997</v>
      </c>
      <c r="AI11">
        <v>2</v>
      </c>
      <c r="AJ11">
        <v>1.0125000000000002</v>
      </c>
    </row>
    <row r="12" spans="1:36" x14ac:dyDescent="0.3">
      <c r="B12" s="62">
        <v>16.43</v>
      </c>
      <c r="C12" s="62">
        <v>0</v>
      </c>
      <c r="D12" s="62">
        <v>29</v>
      </c>
      <c r="E12" s="123">
        <f>(B12-B11)/(C11-C12)</f>
        <v>0.38599999999999995</v>
      </c>
      <c r="AC12" s="76"/>
      <c r="AD12" s="76">
        <v>3</v>
      </c>
      <c r="AE12" s="76">
        <v>27</v>
      </c>
      <c r="AF12">
        <f t="shared" si="1"/>
        <v>15.464999999999998</v>
      </c>
      <c r="AI12">
        <v>3</v>
      </c>
      <c r="AJ12">
        <v>1.8</v>
      </c>
    </row>
    <row r="13" spans="1:36" x14ac:dyDescent="0.3"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76"/>
      <c r="AD13" s="76">
        <v>4</v>
      </c>
      <c r="AE13" s="76">
        <v>26</v>
      </c>
      <c r="AF13">
        <f>AF14+$Y$21</f>
        <v>15.078999999999999</v>
      </c>
      <c r="AI13">
        <v>4</v>
      </c>
      <c r="AJ13">
        <v>2.8</v>
      </c>
    </row>
    <row r="14" spans="1:36" x14ac:dyDescent="0.3"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76"/>
      <c r="AD14" s="76">
        <v>5</v>
      </c>
      <c r="AE14" s="76">
        <v>25</v>
      </c>
      <c r="AF14">
        <f>AC15+Y21/2</f>
        <v>14.693</v>
      </c>
      <c r="AI14">
        <v>5</v>
      </c>
      <c r="AJ14">
        <v>3.55</v>
      </c>
    </row>
    <row r="15" spans="1:36" x14ac:dyDescent="0.3"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t="s">
        <v>69</v>
      </c>
      <c r="AC15" s="75">
        <v>14.5</v>
      </c>
      <c r="AD15" s="75"/>
      <c r="AE15" s="75"/>
      <c r="AI15">
        <v>6</v>
      </c>
      <c r="AJ15">
        <v>4.05</v>
      </c>
    </row>
    <row r="16" spans="1:36" x14ac:dyDescent="0.3">
      <c r="C16" s="63"/>
      <c r="D16" s="63"/>
      <c r="E16" s="64" t="s">
        <v>73</v>
      </c>
      <c r="F16" s="99">
        <v>0.15</v>
      </c>
      <c r="G16" s="99"/>
      <c r="H16" s="99">
        <v>1.3</v>
      </c>
      <c r="I16" s="99"/>
      <c r="J16" s="99">
        <v>3.3</v>
      </c>
      <c r="K16" s="99"/>
      <c r="L16" s="99">
        <v>5.3</v>
      </c>
      <c r="M16" s="99"/>
      <c r="N16" s="99">
        <v>7.3</v>
      </c>
      <c r="O16" s="99"/>
      <c r="P16" s="100">
        <v>9.3000000000000007</v>
      </c>
      <c r="Q16" s="100"/>
      <c r="R16" s="100">
        <v>11.3</v>
      </c>
      <c r="S16" s="100"/>
      <c r="T16" s="100">
        <v>13.3</v>
      </c>
      <c r="U16" s="100"/>
      <c r="V16" s="100">
        <v>14</v>
      </c>
      <c r="W16" s="100"/>
      <c r="X16" s="100">
        <v>14.5</v>
      </c>
      <c r="Y16" s="100"/>
      <c r="Z16" s="103">
        <v>16.43</v>
      </c>
      <c r="AA16" s="103"/>
      <c r="AB16" s="80"/>
      <c r="AC16" s="75"/>
      <c r="AD16" s="75">
        <v>6</v>
      </c>
      <c r="AE16" s="75">
        <v>24</v>
      </c>
      <c r="AF16">
        <f>AC17+W21</f>
        <v>14.5</v>
      </c>
      <c r="AI16">
        <v>7</v>
      </c>
      <c r="AJ16">
        <v>4.55</v>
      </c>
    </row>
    <row r="17" spans="3:36" x14ac:dyDescent="0.3">
      <c r="C17" s="63"/>
      <c r="D17" s="63"/>
      <c r="E17" s="63"/>
      <c r="F17" s="63"/>
      <c r="G17" s="23"/>
      <c r="H17" s="63"/>
      <c r="I17" s="23"/>
      <c r="J17" s="63"/>
      <c r="K17" s="23"/>
      <c r="L17" s="63"/>
      <c r="M17" s="23"/>
      <c r="N17" s="63"/>
      <c r="O17" s="23"/>
      <c r="P17" s="25"/>
      <c r="Q17" s="63"/>
      <c r="R17" s="25"/>
      <c r="S17" s="63"/>
      <c r="T17" s="25"/>
      <c r="U17" s="63"/>
      <c r="V17" s="25"/>
      <c r="W17" s="63"/>
      <c r="X17" s="25"/>
      <c r="Y17" s="63"/>
      <c r="Z17" s="25"/>
      <c r="AB17" t="s">
        <v>70</v>
      </c>
      <c r="AC17" s="74">
        <v>14</v>
      </c>
      <c r="AD17" s="74"/>
      <c r="AE17" s="74"/>
      <c r="AI17">
        <v>8</v>
      </c>
      <c r="AJ17">
        <v>5.05</v>
      </c>
    </row>
    <row r="18" spans="3:36" x14ac:dyDescent="0.3">
      <c r="C18" s="63"/>
      <c r="D18" s="63"/>
      <c r="E18" s="64" t="s">
        <v>59</v>
      </c>
      <c r="F18" s="99">
        <v>29</v>
      </c>
      <c r="G18" s="99"/>
      <c r="H18" s="99">
        <v>27</v>
      </c>
      <c r="I18" s="99"/>
      <c r="J18" s="99">
        <v>25</v>
      </c>
      <c r="K18" s="99"/>
      <c r="L18" s="99">
        <v>21</v>
      </c>
      <c r="M18" s="99"/>
      <c r="N18" s="99">
        <v>18</v>
      </c>
      <c r="O18" s="99"/>
      <c r="P18" s="99">
        <v>15</v>
      </c>
      <c r="Q18" s="99"/>
      <c r="R18" s="99">
        <v>11</v>
      </c>
      <c r="S18" s="99"/>
      <c r="T18" s="99">
        <v>8</v>
      </c>
      <c r="U18" s="99"/>
      <c r="V18" s="99">
        <v>6</v>
      </c>
      <c r="W18" s="99"/>
      <c r="X18" s="99">
        <v>5</v>
      </c>
      <c r="Y18" s="99"/>
      <c r="Z18" s="99">
        <v>0</v>
      </c>
      <c r="AA18" s="99"/>
      <c r="AB18" s="79"/>
      <c r="AC18" s="74"/>
      <c r="AD18" s="74">
        <v>7</v>
      </c>
      <c r="AE18" s="74">
        <v>23</v>
      </c>
      <c r="AF18" s="36">
        <f>AF19+U21</f>
        <v>13.825000000000001</v>
      </c>
      <c r="AI18">
        <v>9</v>
      </c>
      <c r="AJ18">
        <v>5.6333333333333329</v>
      </c>
    </row>
    <row r="19" spans="3:36" x14ac:dyDescent="0.3"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74"/>
      <c r="AD19" s="74">
        <v>8</v>
      </c>
      <c r="AE19" s="74">
        <v>22</v>
      </c>
      <c r="AF19">
        <f>AC20+U21/2</f>
        <v>13.475000000000001</v>
      </c>
      <c r="AI19">
        <v>10</v>
      </c>
      <c r="AJ19">
        <v>6.3</v>
      </c>
    </row>
    <row r="20" spans="3:36" x14ac:dyDescent="0.3"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 t="s">
        <v>71</v>
      </c>
      <c r="AC20" s="73">
        <v>13.3</v>
      </c>
      <c r="AD20" s="73"/>
      <c r="AE20" s="73"/>
      <c r="AI20">
        <v>11</v>
      </c>
      <c r="AJ20">
        <v>6.9666666666666668</v>
      </c>
    </row>
    <row r="21" spans="3:36" x14ac:dyDescent="0.3">
      <c r="C21" s="63"/>
      <c r="D21" s="63"/>
      <c r="E21" s="64" t="s">
        <v>74</v>
      </c>
      <c r="F21" s="63"/>
      <c r="G21" s="104">
        <f>(H16-F16)/(F18-H18)</f>
        <v>0.57500000000000007</v>
      </c>
      <c r="H21" s="104"/>
      <c r="I21" s="105">
        <f>(J16-H16)/(H18-J18)</f>
        <v>0.99999999999999989</v>
      </c>
      <c r="J21" s="105"/>
      <c r="K21" s="106">
        <f t="shared" ref="K21" si="2">(L16-J16)/(J18-L18)</f>
        <v>0.5</v>
      </c>
      <c r="L21" s="106"/>
      <c r="M21" s="107">
        <f t="shared" ref="M21" si="3">(N16-L16)/(L18-N18)</f>
        <v>0.66666666666666663</v>
      </c>
      <c r="N21" s="107"/>
      <c r="O21" s="108">
        <f t="shared" ref="O21" si="4">(P16-N16)/(N18-P18)</f>
        <v>0.66666666666666696</v>
      </c>
      <c r="P21" s="108"/>
      <c r="Q21" s="109">
        <f t="shared" ref="Q21" si="5">(R16-P16)/(P18-R18)</f>
        <v>0.5</v>
      </c>
      <c r="R21" s="109"/>
      <c r="S21" s="110">
        <f t="shared" ref="S21" si="6">(T16-R16)/(R18-T18)</f>
        <v>0.66666666666666663</v>
      </c>
      <c r="T21" s="110"/>
      <c r="U21" s="111">
        <f t="shared" ref="U21" si="7">(V16-T16)/(T18-V18)</f>
        <v>0.34999999999999964</v>
      </c>
      <c r="V21" s="111"/>
      <c r="W21" s="101">
        <f t="shared" ref="W21" si="8">(X16-V16)/(V18-X18)</f>
        <v>0.5</v>
      </c>
      <c r="X21" s="101"/>
      <c r="Y21" s="102">
        <f>(Z16-X16)/(X18-Z18)</f>
        <v>0.38599999999999995</v>
      </c>
      <c r="Z21" s="102"/>
      <c r="AB21" s="63"/>
      <c r="AC21" s="73"/>
      <c r="AD21" s="73">
        <v>9</v>
      </c>
      <c r="AE21" s="73">
        <v>21</v>
      </c>
      <c r="AF21" s="36">
        <f>AF22+$S$21</f>
        <v>12.966666666666667</v>
      </c>
      <c r="AI21">
        <v>12</v>
      </c>
      <c r="AJ21">
        <v>7.6333333333333329</v>
      </c>
    </row>
    <row r="22" spans="3:36" x14ac:dyDescent="0.3"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 s="63"/>
      <c r="AC22" s="73"/>
      <c r="AD22" s="73">
        <v>10</v>
      </c>
      <c r="AE22" s="73">
        <v>20</v>
      </c>
      <c r="AF22" s="36">
        <f>AF23+$S$21</f>
        <v>12.3</v>
      </c>
      <c r="AI22">
        <v>13</v>
      </c>
      <c r="AJ22">
        <v>8.3000000000000007</v>
      </c>
    </row>
    <row r="23" spans="3:36" x14ac:dyDescent="0.3"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 s="63"/>
      <c r="AC23" s="73"/>
      <c r="AD23" s="73">
        <v>11</v>
      </c>
      <c r="AE23" s="73">
        <v>19</v>
      </c>
      <c r="AF23">
        <f>AC24+S21/2</f>
        <v>11.633333333333335</v>
      </c>
      <c r="AI23">
        <v>14</v>
      </c>
      <c r="AJ23">
        <v>8.9666666666666686</v>
      </c>
    </row>
    <row r="24" spans="3:36" x14ac:dyDescent="0.3">
      <c r="C24" s="63"/>
      <c r="AB24" t="s">
        <v>68</v>
      </c>
      <c r="AC24" s="72">
        <v>11.3</v>
      </c>
      <c r="AD24" s="72"/>
      <c r="AE24" s="72"/>
      <c r="AI24">
        <v>15</v>
      </c>
      <c r="AJ24">
        <v>9.5500000000000007</v>
      </c>
    </row>
    <row r="25" spans="3:36" x14ac:dyDescent="0.3">
      <c r="AC25" s="72"/>
      <c r="AD25" s="72">
        <v>12</v>
      </c>
      <c r="AE25" s="72">
        <v>18</v>
      </c>
      <c r="AF25">
        <f t="shared" ref="AF25:AF26" si="9">AF26+$Q$21</f>
        <v>11.05</v>
      </c>
      <c r="AI25">
        <v>16</v>
      </c>
      <c r="AJ25">
        <v>10.050000000000001</v>
      </c>
    </row>
    <row r="26" spans="3:36" x14ac:dyDescent="0.3">
      <c r="AC26" s="72"/>
      <c r="AD26" s="72">
        <v>13</v>
      </c>
      <c r="AE26" s="72">
        <v>17</v>
      </c>
      <c r="AF26">
        <f t="shared" si="9"/>
        <v>10.55</v>
      </c>
      <c r="AI26">
        <v>17</v>
      </c>
      <c r="AJ26">
        <v>10.55</v>
      </c>
    </row>
    <row r="27" spans="3:36" x14ac:dyDescent="0.3">
      <c r="AC27" s="72"/>
      <c r="AD27" s="72">
        <v>14</v>
      </c>
      <c r="AE27" s="72">
        <v>16</v>
      </c>
      <c r="AF27">
        <f>AF28+$Q$21</f>
        <v>10.050000000000001</v>
      </c>
      <c r="AI27">
        <v>18</v>
      </c>
      <c r="AJ27">
        <v>11.05</v>
      </c>
    </row>
    <row r="28" spans="3:36" x14ac:dyDescent="0.3">
      <c r="AC28" s="72"/>
      <c r="AD28" s="72">
        <v>15</v>
      </c>
      <c r="AE28" s="72">
        <v>15</v>
      </c>
      <c r="AF28">
        <f>AC29+Q21/2</f>
        <v>9.5500000000000007</v>
      </c>
      <c r="AI28">
        <v>19</v>
      </c>
      <c r="AJ28">
        <v>11.633333333333335</v>
      </c>
    </row>
    <row r="29" spans="3:36" x14ac:dyDescent="0.3">
      <c r="AB29" t="s">
        <v>67</v>
      </c>
      <c r="AC29" s="71">
        <v>9.3000000000000007</v>
      </c>
      <c r="AD29" s="71"/>
      <c r="AE29" s="71"/>
      <c r="AI29">
        <v>20</v>
      </c>
      <c r="AJ29">
        <v>12.3</v>
      </c>
    </row>
    <row r="30" spans="3:36" x14ac:dyDescent="0.3">
      <c r="AC30" s="71"/>
      <c r="AD30" s="71">
        <v>16</v>
      </c>
      <c r="AE30" s="71">
        <v>14</v>
      </c>
      <c r="AF30" s="36">
        <f>AF31+$O$21</f>
        <v>8.9666666666666686</v>
      </c>
      <c r="AI30">
        <v>21</v>
      </c>
      <c r="AJ30">
        <v>12.966666666666667</v>
      </c>
    </row>
    <row r="31" spans="3:36" x14ac:dyDescent="0.3">
      <c r="AC31" s="71"/>
      <c r="AD31" s="71">
        <v>17</v>
      </c>
      <c r="AE31" s="71">
        <v>13</v>
      </c>
      <c r="AF31" s="36">
        <f>AF32+$O$21</f>
        <v>8.3000000000000007</v>
      </c>
      <c r="AI31">
        <v>22</v>
      </c>
      <c r="AJ31">
        <v>13.475000000000001</v>
      </c>
    </row>
    <row r="32" spans="3:36" x14ac:dyDescent="0.3">
      <c r="AC32" s="71"/>
      <c r="AD32" s="71">
        <v>18</v>
      </c>
      <c r="AE32" s="71">
        <v>12</v>
      </c>
      <c r="AF32">
        <f>AC33+O21/2</f>
        <v>7.6333333333333329</v>
      </c>
      <c r="AI32">
        <v>23</v>
      </c>
      <c r="AJ32">
        <v>13.825000000000001</v>
      </c>
    </row>
    <row r="33" spans="28:36" x14ac:dyDescent="0.3">
      <c r="AB33" t="s">
        <v>66</v>
      </c>
      <c r="AC33" s="69">
        <v>7.3</v>
      </c>
      <c r="AD33" s="69"/>
      <c r="AE33" s="69"/>
      <c r="AI33">
        <v>24</v>
      </c>
      <c r="AJ33">
        <v>14.5</v>
      </c>
    </row>
    <row r="34" spans="28:36" x14ac:dyDescent="0.3">
      <c r="AC34" s="69"/>
      <c r="AD34" s="69">
        <v>19</v>
      </c>
      <c r="AE34" s="69">
        <v>11</v>
      </c>
      <c r="AF34" s="37">
        <f>AF35+$M$21</f>
        <v>6.9666666666666668</v>
      </c>
      <c r="AI34">
        <v>25</v>
      </c>
      <c r="AJ34">
        <v>14.693</v>
      </c>
    </row>
    <row r="35" spans="28:36" x14ac:dyDescent="0.3">
      <c r="AC35" s="69"/>
      <c r="AD35" s="69">
        <v>20</v>
      </c>
      <c r="AE35" s="69">
        <v>10</v>
      </c>
      <c r="AF35" s="37">
        <f>AF36+$M$21</f>
        <v>6.3</v>
      </c>
      <c r="AI35">
        <v>26</v>
      </c>
      <c r="AJ35">
        <v>15.078999999999999</v>
      </c>
    </row>
    <row r="36" spans="28:36" x14ac:dyDescent="0.3">
      <c r="AC36" s="69"/>
      <c r="AD36" s="69">
        <v>21</v>
      </c>
      <c r="AE36" s="69">
        <v>9</v>
      </c>
      <c r="AF36" s="37">
        <f>AC37+M21/2</f>
        <v>5.6333333333333329</v>
      </c>
      <c r="AI36">
        <v>27</v>
      </c>
      <c r="AJ36">
        <v>15.464999999999998</v>
      </c>
    </row>
    <row r="37" spans="28:36" x14ac:dyDescent="0.3">
      <c r="AB37" t="s">
        <v>65</v>
      </c>
      <c r="AC37" s="70">
        <v>5.3</v>
      </c>
      <c r="AD37" s="70"/>
      <c r="AE37" s="70"/>
      <c r="AI37">
        <v>28</v>
      </c>
      <c r="AJ37">
        <v>15.850999999999997</v>
      </c>
    </row>
    <row r="38" spans="28:36" x14ac:dyDescent="0.3">
      <c r="AC38" s="70"/>
      <c r="AD38" s="70">
        <v>22</v>
      </c>
      <c r="AE38" s="70">
        <v>8</v>
      </c>
      <c r="AF38">
        <f t="shared" ref="AF38:AF39" si="10">AF39+$K$21</f>
        <v>5.05</v>
      </c>
      <c r="AI38">
        <v>29</v>
      </c>
      <c r="AJ38">
        <v>16.236999999999998</v>
      </c>
    </row>
    <row r="39" spans="28:36" x14ac:dyDescent="0.3">
      <c r="AC39" s="70"/>
      <c r="AD39" s="70">
        <v>23</v>
      </c>
      <c r="AE39" s="70">
        <v>7</v>
      </c>
      <c r="AF39">
        <f t="shared" si="10"/>
        <v>4.55</v>
      </c>
      <c r="AI39">
        <v>30</v>
      </c>
      <c r="AJ39">
        <v>16.622999999999998</v>
      </c>
    </row>
    <row r="40" spans="28:36" x14ac:dyDescent="0.3">
      <c r="AC40" s="70"/>
      <c r="AD40" s="70">
        <v>24</v>
      </c>
      <c r="AE40" s="70">
        <v>6</v>
      </c>
      <c r="AF40">
        <f>AF41+$K$21</f>
        <v>4.05</v>
      </c>
    </row>
    <row r="41" spans="28:36" x14ac:dyDescent="0.3">
      <c r="AC41" s="70"/>
      <c r="AD41" s="70">
        <v>25</v>
      </c>
      <c r="AE41" s="70">
        <v>5</v>
      </c>
      <c r="AF41">
        <f>AC42+K21/2</f>
        <v>3.55</v>
      </c>
    </row>
    <row r="42" spans="28:36" x14ac:dyDescent="0.3">
      <c r="AB42" t="s">
        <v>64</v>
      </c>
      <c r="AC42" s="65">
        <v>3.3</v>
      </c>
      <c r="AD42" s="65"/>
      <c r="AE42" s="65"/>
    </row>
    <row r="43" spans="28:36" x14ac:dyDescent="0.3">
      <c r="AC43" s="65"/>
      <c r="AD43" s="65">
        <v>26</v>
      </c>
      <c r="AE43" s="65">
        <v>4</v>
      </c>
      <c r="AF43">
        <f>AF44+I21</f>
        <v>2.8</v>
      </c>
    </row>
    <row r="44" spans="28:36" x14ac:dyDescent="0.3">
      <c r="AC44" s="65"/>
      <c r="AD44" s="65">
        <v>27</v>
      </c>
      <c r="AE44" s="65">
        <v>3</v>
      </c>
      <c r="AF44">
        <f>AC45+I21/2</f>
        <v>1.8</v>
      </c>
    </row>
    <row r="45" spans="28:36" x14ac:dyDescent="0.3">
      <c r="AB45" t="s">
        <v>63</v>
      </c>
      <c r="AC45" s="67">
        <v>1.3</v>
      </c>
      <c r="AD45" s="65"/>
      <c r="AE45" s="65"/>
    </row>
    <row r="46" spans="28:36" x14ac:dyDescent="0.3">
      <c r="AC46" s="68"/>
      <c r="AD46" s="66">
        <v>28</v>
      </c>
      <c r="AE46" s="66">
        <v>2</v>
      </c>
      <c r="AF46">
        <f>AF47+$G$21</f>
        <v>1.0125000000000002</v>
      </c>
    </row>
    <row r="47" spans="28:36" x14ac:dyDescent="0.3">
      <c r="AC47" s="68"/>
      <c r="AD47" s="66">
        <v>29</v>
      </c>
      <c r="AE47" s="66">
        <v>1</v>
      </c>
      <c r="AF47">
        <f>AC48+$G$21/2</f>
        <v>0.4375</v>
      </c>
    </row>
    <row r="48" spans="28:36" x14ac:dyDescent="0.3">
      <c r="AB48" t="s">
        <v>62</v>
      </c>
      <c r="AC48" s="68">
        <v>0.15</v>
      </c>
      <c r="AD48" s="66"/>
      <c r="AE48" s="66">
        <v>0</v>
      </c>
    </row>
  </sheetData>
  <sortState ref="AI9:AJ48">
    <sortCondition ref="AI9:AI48"/>
  </sortState>
  <mergeCells count="32">
    <mergeCell ref="W21:X21"/>
    <mergeCell ref="Y21:Z21"/>
    <mergeCell ref="Z18:AA18"/>
    <mergeCell ref="Z16:AA16"/>
    <mergeCell ref="G21:H21"/>
    <mergeCell ref="I21:J21"/>
    <mergeCell ref="K21:L21"/>
    <mergeCell ref="M21:N21"/>
    <mergeCell ref="O21:P21"/>
    <mergeCell ref="Q21:R21"/>
    <mergeCell ref="S21:T21"/>
    <mergeCell ref="U21:V21"/>
    <mergeCell ref="T16:U16"/>
    <mergeCell ref="V16:W16"/>
    <mergeCell ref="X16:Y16"/>
    <mergeCell ref="P18:Q18"/>
    <mergeCell ref="R18:S18"/>
    <mergeCell ref="T18:U18"/>
    <mergeCell ref="V18:W18"/>
    <mergeCell ref="X18:Y18"/>
    <mergeCell ref="L16:M16"/>
    <mergeCell ref="L18:M18"/>
    <mergeCell ref="N16:O16"/>
    <mergeCell ref="N18:O18"/>
    <mergeCell ref="P16:Q16"/>
    <mergeCell ref="R16:S16"/>
    <mergeCell ref="F16:G16"/>
    <mergeCell ref="F18:G18"/>
    <mergeCell ref="H16:I16"/>
    <mergeCell ref="H18:I18"/>
    <mergeCell ref="J16:K16"/>
    <mergeCell ref="J18:K18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StandTableProjection</vt:lpstr>
      <vt:lpstr>TotalStemAnalysis_HeightGrowth</vt:lpstr>
    </vt:vector>
  </TitlesOfParts>
  <Company>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smb</dc:creator>
  <cp:lastModifiedBy>smb</cp:lastModifiedBy>
  <dcterms:created xsi:type="dcterms:W3CDTF">2022-09-30T06:08:00Z</dcterms:created>
  <dcterms:modified xsi:type="dcterms:W3CDTF">2022-10-07T20:40:51Z</dcterms:modified>
</cp:coreProperties>
</file>