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embeddings/oleObject2.bin" ContentType="application/vnd.openxmlformats-officedocument.oleObject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embeddings/oleObject3.bin" ContentType="application/vnd.openxmlformats-officedocument.oleObject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embeddings/oleObject4.bin" ContentType="application/vnd.openxmlformats-officedocument.oleObject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embeddings/oleObject5.bin" ContentType="application/vnd.openxmlformats-officedocument.oleObject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embeddings/oleObject6.bin" ContentType="application/vnd.openxmlformats-officedocument.oleObject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embeddings/oleObject7.bin" ContentType="application/vnd.openxmlformats-officedocument.oleObject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0.xml" ContentType="application/vnd.openxmlformats-officedocument.drawing+xml"/>
  <Override PartName="/xl/charts/chart14.xml" ContentType="application/vnd.openxmlformats-officedocument.drawingml.chart+xml"/>
  <Override PartName="/xl/drawings/drawing11.xml" ContentType="application/vnd.openxmlformats-officedocument.drawing+xml"/>
  <Override PartName="/xl/embeddings/oleObject10.bin" ContentType="application/vnd.openxmlformats-officedocument.oleObject"/>
  <Override PartName="/xl/charts/chart15.xml" ContentType="application/vnd.openxmlformats-officedocument.drawingml.chart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atome\Dropbox\2_Ensino\2Ciclo-ModelacaoRecursosFlorestais\PowerPoints&amp;OtherStudyMaterials\8_ProcessBasedModels\3PG\StudyMaterial\"/>
    </mc:Choice>
  </mc:AlternateContent>
  <xr:revisionPtr revIDLastSave="0" documentId="13_ncr:1_{9DDDF263-68B9-4E0D-BAB9-7A963901905C}" xr6:coauthVersionLast="36" xr6:coauthVersionMax="36" xr10:uidLastSave="{00000000-0000-0000-0000-000000000000}"/>
  <bookViews>
    <workbookView xWindow="120" yWindow="120" windowWidth="19040" windowHeight="8450" firstSheet="9" activeTab="10" xr2:uid="{00000000-000D-0000-FFFF-FFFF00000000}"/>
  </bookViews>
  <sheets>
    <sheet name="NPP-QI" sheetId="8" r:id="rId1"/>
    <sheet name="RadIntercept" sheetId="1" r:id="rId2"/>
    <sheet name="fT" sheetId="2" r:id="rId3"/>
    <sheet name="fF" sheetId="4" r:id="rId4"/>
    <sheet name="fSW" sheetId="5" r:id="rId5"/>
    <sheet name="fVPD" sheetId="6" r:id="rId6"/>
    <sheet name="fage" sheetId="7" r:id="rId7"/>
    <sheet name="RootPartitioning" sheetId="9" r:id="rId8"/>
    <sheet name="AbgPartitioning" sheetId="10" r:id="rId9"/>
    <sheet name="Litter-fall" sheetId="11" r:id="rId10"/>
    <sheet name="Self-thinning" sheetId="12" r:id="rId11"/>
    <sheet name="StomatalConductance" sheetId="13" r:id="rId12"/>
    <sheet name="Sheet3" sheetId="3" r:id="rId13"/>
  </sheets>
  <externalReferences>
    <externalReference r:id="rId14"/>
  </externalReferences>
  <definedNames>
    <definedName name="__pFS2">AbgPartitioning!$D$5</definedName>
    <definedName name="__pFS20">AbgPartitioning!$D$6</definedName>
    <definedName name="_pFS2">AbgPartitioning!$D$5</definedName>
    <definedName name="_pFS20">AbgPartitioning!$D$6</definedName>
    <definedName name="etar">[1]AbgPartitioning!$B$9</definedName>
    <definedName name="gammaF0">'[1]Litter-fall'!$B$5</definedName>
    <definedName name="gammaFx">'[1]Litter-fall'!$B$4</definedName>
    <definedName name="k" localSheetId="8">[1]RadIntercept!$B$7</definedName>
    <definedName name="k" localSheetId="9">[1]RadIntercept!$B$7</definedName>
    <definedName name="k" localSheetId="7">[1]RadIntercept!$B$7</definedName>
    <definedName name="k" localSheetId="10">[1]RadIntercept!$B$7</definedName>
    <definedName name="k" localSheetId="11">[1]RadIntercept!$B$7</definedName>
    <definedName name="k">RadIntercept!$B$7</definedName>
    <definedName name="kD" localSheetId="8">[1]fVPD!$B$5</definedName>
    <definedName name="kD" localSheetId="9">[1]fVPD!$B$5</definedName>
    <definedName name="kD" localSheetId="7">[1]fVPD!$B$5</definedName>
    <definedName name="kD" localSheetId="10">[1]fVPD!$B$5</definedName>
    <definedName name="kD" localSheetId="11">[1]fVPD!$B$5</definedName>
    <definedName name="kD">fVPD!$B$5</definedName>
    <definedName name="kF" localSheetId="8">[1]fF!$B$5</definedName>
    <definedName name="kF" localSheetId="9">[1]fF!$B$5</definedName>
    <definedName name="kF" localSheetId="7">[1]fF!$B$5</definedName>
    <definedName name="kF" localSheetId="10">[1]fF!$B$5</definedName>
    <definedName name="kF" localSheetId="11">[1]fF!$B$5</definedName>
    <definedName name="kF">fF!$B$5</definedName>
    <definedName name="LAIgcx">[1]StomatalConductance!$B$6</definedName>
    <definedName name="MaxCond">[1]StomatalConductance!$B$5</definedName>
    <definedName name="nage">fage!$B$7</definedName>
    <definedName name="pfs_2">[1]AbgPartitioning!$B$5</definedName>
    <definedName name="pfs_20">[1]AbgPartitioning!$B$6</definedName>
    <definedName name="pfsConst">[1]AbgPartitioning!$B$8</definedName>
    <definedName name="pfsPower">[1]AbgPartitioning!$B$7</definedName>
    <definedName name="phi">[1]StomatalConductance!$B$7</definedName>
    <definedName name="rage">fage!$B$5</definedName>
    <definedName name="tgammaF">'[1]Litter-fall'!$B$6</definedName>
    <definedName name="thinPower">'[1]Self-thinning'!$B$6</definedName>
    <definedName name="Tmax" localSheetId="8">[1]fT!$B$7</definedName>
    <definedName name="Tmax" localSheetId="9">[1]fT!$B$7</definedName>
    <definedName name="Tmax" localSheetId="7">[1]fT!$B$7</definedName>
    <definedName name="Tmax" localSheetId="10">[1]fT!$B$7</definedName>
    <definedName name="Tmax" localSheetId="11">[1]fT!$B$7</definedName>
    <definedName name="Tmax">fT!$B$7</definedName>
    <definedName name="Tmin" localSheetId="8">[1]fT!$B$5</definedName>
    <definedName name="Tmin" localSheetId="9">[1]fT!$B$5</definedName>
    <definedName name="Tmin" localSheetId="7">[1]fT!$B$5</definedName>
    <definedName name="Tmin" localSheetId="10">[1]fT!$B$5</definedName>
    <definedName name="Tmin" localSheetId="11">[1]fT!$B$5</definedName>
    <definedName name="Tmin">fT!$B$5</definedName>
    <definedName name="Topt" localSheetId="8">[1]fT!$B$6</definedName>
    <definedName name="Topt" localSheetId="9">[1]fT!$B$6</definedName>
    <definedName name="Topt" localSheetId="7">[1]fT!$B$6</definedName>
    <definedName name="Topt" localSheetId="10">[1]fT!$B$6</definedName>
    <definedName name="Topt" localSheetId="11">[1]fT!$B$6</definedName>
    <definedName name="Topt">fT!$B$6</definedName>
    <definedName name="wSx_1000">'[1]Self-thinning'!$B$5</definedName>
  </definedNames>
  <calcPr calcId="191029"/>
</workbook>
</file>

<file path=xl/calcChain.xml><?xml version="1.0" encoding="utf-8"?>
<calcChain xmlns="http://schemas.openxmlformats.org/spreadsheetml/2006/main">
  <c r="C27" i="12" l="1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26" i="12"/>
  <c r="B28" i="12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27" i="12"/>
  <c r="B26" i="12"/>
  <c r="H4" i="8"/>
  <c r="H42" i="9" l="1"/>
  <c r="H43" i="9"/>
  <c r="H44" i="9"/>
  <c r="H45" i="9"/>
  <c r="H46" i="9"/>
  <c r="H47" i="9"/>
  <c r="H48" i="9"/>
  <c r="H49" i="9"/>
  <c r="H50" i="9"/>
  <c r="H51" i="9"/>
  <c r="H41" i="9"/>
  <c r="F42" i="9"/>
  <c r="F43" i="9"/>
  <c r="F44" i="9"/>
  <c r="F45" i="9"/>
  <c r="F46" i="9"/>
  <c r="F47" i="9"/>
  <c r="F48" i="9"/>
  <c r="F49" i="9"/>
  <c r="F50" i="9"/>
  <c r="F51" i="9"/>
  <c r="F41" i="9"/>
  <c r="D42" i="9"/>
  <c r="D43" i="9"/>
  <c r="D44" i="9"/>
  <c r="D45" i="9"/>
  <c r="D46" i="9"/>
  <c r="D47" i="9"/>
  <c r="D48" i="9"/>
  <c r="D49" i="9"/>
  <c r="D50" i="9"/>
  <c r="D51" i="9"/>
  <c r="D41" i="9"/>
  <c r="G41" i="9"/>
  <c r="E41" i="9"/>
  <c r="C41" i="9"/>
  <c r="A42" i="9" l="1"/>
  <c r="E42" i="9" l="1"/>
  <c r="C42" i="9"/>
  <c r="G42" i="9"/>
  <c r="B34" i="6"/>
  <c r="C37" i="1"/>
  <c r="C37" i="9" l="1"/>
  <c r="B38" i="7" l="1"/>
  <c r="J38" i="7" l="1"/>
  <c r="J33" i="7"/>
  <c r="C36" i="7"/>
  <c r="C35" i="7"/>
  <c r="C38" i="7" l="1"/>
  <c r="N7" i="10"/>
  <c r="M39" i="10"/>
  <c r="B7" i="10"/>
  <c r="E37" i="9"/>
  <c r="G37" i="9" s="1"/>
  <c r="E36" i="9"/>
  <c r="G36" i="9" s="1"/>
  <c r="A34" i="13"/>
  <c r="A35" i="13" s="1"/>
  <c r="A27" i="12"/>
  <c r="A28" i="12" s="1"/>
  <c r="A29" i="12" s="1"/>
  <c r="A39" i="11"/>
  <c r="A40" i="11" s="1"/>
  <c r="A39" i="10"/>
  <c r="A40" i="10" s="1"/>
  <c r="B39" i="10" l="1"/>
  <c r="B38" i="10"/>
  <c r="C38" i="10" s="1"/>
  <c r="D38" i="10" s="1"/>
  <c r="B40" i="10"/>
  <c r="C40" i="10" s="1"/>
  <c r="D40" i="10" s="1"/>
  <c r="N38" i="10"/>
  <c r="O38" i="10" s="1"/>
  <c r="P38" i="10" s="1"/>
  <c r="N39" i="10"/>
  <c r="O39" i="10" s="1"/>
  <c r="P39" i="10" s="1"/>
  <c r="M40" i="10"/>
  <c r="N40" i="10" s="1"/>
  <c r="O40" i="10" s="1"/>
  <c r="C39" i="10"/>
  <c r="D39" i="10" s="1"/>
  <c r="A36" i="13"/>
  <c r="A30" i="12"/>
  <c r="A31" i="12" s="1"/>
  <c r="A41" i="11"/>
  <c r="A42" i="11" s="1"/>
  <c r="A43" i="11" s="1"/>
  <c r="A44" i="11" s="1"/>
  <c r="A41" i="10"/>
  <c r="B41" i="10" s="1"/>
  <c r="A43" i="9"/>
  <c r="E38" i="7"/>
  <c r="B33" i="7"/>
  <c r="I39" i="7" s="1"/>
  <c r="G43" i="9" l="1"/>
  <c r="E43" i="9"/>
  <c r="C43" i="9"/>
  <c r="C41" i="10"/>
  <c r="I40" i="7"/>
  <c r="J39" i="7"/>
  <c r="A39" i="7"/>
  <c r="B39" i="7" s="1"/>
  <c r="L38" i="7"/>
  <c r="K38" i="7"/>
  <c r="M38" i="7"/>
  <c r="D38" i="7"/>
  <c r="P40" i="10"/>
  <c r="M41" i="10"/>
  <c r="N41" i="10" s="1"/>
  <c r="O41" i="10" s="1"/>
  <c r="A37" i="13"/>
  <c r="A32" i="12"/>
  <c r="A45" i="11"/>
  <c r="D41" i="10"/>
  <c r="A42" i="10"/>
  <c r="A44" i="9"/>
  <c r="B36" i="8"/>
  <c r="C44" i="9" l="1"/>
  <c r="G44" i="9"/>
  <c r="E44" i="9"/>
  <c r="B42" i="10"/>
  <c r="C42" i="10"/>
  <c r="D42" i="10" s="1"/>
  <c r="I41" i="7"/>
  <c r="J40" i="7"/>
  <c r="A40" i="7"/>
  <c r="P41" i="10"/>
  <c r="M42" i="10"/>
  <c r="N42" i="10" s="1"/>
  <c r="O42" i="10" s="1"/>
  <c r="A38" i="13"/>
  <c r="A33" i="12"/>
  <c r="A46" i="11"/>
  <c r="A43" i="10"/>
  <c r="A45" i="9"/>
  <c r="B37" i="8"/>
  <c r="B38" i="8"/>
  <c r="B39" i="8"/>
  <c r="D39" i="8"/>
  <c r="D38" i="8"/>
  <c r="D37" i="8"/>
  <c r="D36" i="8"/>
  <c r="E36" i="8" s="1"/>
  <c r="F36" i="8" s="1"/>
  <c r="I36" i="8" s="1"/>
  <c r="C5" i="8"/>
  <c r="D5" i="8" s="1"/>
  <c r="C6" i="8"/>
  <c r="D6" i="8" s="1"/>
  <c r="C7" i="8"/>
  <c r="D7" i="8" s="1"/>
  <c r="C4" i="8"/>
  <c r="D4" i="8" s="1"/>
  <c r="C45" i="9" l="1"/>
  <c r="G45" i="9"/>
  <c r="E45" i="9"/>
  <c r="B43" i="10"/>
  <c r="C43" i="10" s="1"/>
  <c r="D43" i="10" s="1"/>
  <c r="I42" i="7"/>
  <c r="J41" i="7"/>
  <c r="K39" i="7"/>
  <c r="D39" i="7"/>
  <c r="E39" i="7"/>
  <c r="M39" i="7"/>
  <c r="L39" i="7"/>
  <c r="C39" i="7"/>
  <c r="B40" i="7"/>
  <c r="A41" i="7"/>
  <c r="P42" i="10"/>
  <c r="M43" i="10"/>
  <c r="N43" i="10" s="1"/>
  <c r="O43" i="10" s="1"/>
  <c r="A39" i="13"/>
  <c r="A34" i="12"/>
  <c r="A47" i="11"/>
  <c r="A44" i="10"/>
  <c r="A46" i="9"/>
  <c r="E38" i="8"/>
  <c r="F38" i="8" s="1"/>
  <c r="E37" i="8"/>
  <c r="F37" i="8" s="1"/>
  <c r="E39" i="8"/>
  <c r="F39" i="8" s="1"/>
  <c r="E5" i="8"/>
  <c r="E6" i="8"/>
  <c r="E7" i="8"/>
  <c r="E4" i="8"/>
  <c r="C46" i="9" l="1"/>
  <c r="G46" i="9"/>
  <c r="E46" i="9"/>
  <c r="B44" i="10"/>
  <c r="C44" i="10" s="1"/>
  <c r="D44" i="10" s="1"/>
  <c r="A42" i="7"/>
  <c r="B41" i="7"/>
  <c r="L40" i="7"/>
  <c r="M40" i="7"/>
  <c r="C40" i="7"/>
  <c r="D40" i="7"/>
  <c r="K40" i="7"/>
  <c r="E40" i="7"/>
  <c r="J42" i="7"/>
  <c r="I43" i="7"/>
  <c r="P43" i="10"/>
  <c r="M44" i="10"/>
  <c r="N44" i="10" s="1"/>
  <c r="O44" i="10" s="1"/>
  <c r="A40" i="13"/>
  <c r="A35" i="12"/>
  <c r="A45" i="10"/>
  <c r="A47" i="9"/>
  <c r="B34" i="4"/>
  <c r="A35" i="6"/>
  <c r="E33" i="5"/>
  <c r="E32" i="5"/>
  <c r="C33" i="5"/>
  <c r="D33" i="5"/>
  <c r="B33" i="5"/>
  <c r="C32" i="5"/>
  <c r="D32" i="5"/>
  <c r="B32" i="5"/>
  <c r="A37" i="5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C47" i="9" l="1"/>
  <c r="G47" i="9"/>
  <c r="E47" i="9"/>
  <c r="C51" i="5"/>
  <c r="E36" i="5"/>
  <c r="A36" i="6"/>
  <c r="B36" i="6" s="1"/>
  <c r="B35" i="6"/>
  <c r="D36" i="5"/>
  <c r="B45" i="10"/>
  <c r="C45" i="10"/>
  <c r="D45" i="10" s="1"/>
  <c r="B43" i="5"/>
  <c r="E40" i="5"/>
  <c r="J43" i="7"/>
  <c r="I44" i="7"/>
  <c r="M41" i="7"/>
  <c r="C41" i="7"/>
  <c r="D41" i="7"/>
  <c r="E41" i="7"/>
  <c r="L41" i="7"/>
  <c r="K41" i="7"/>
  <c r="A43" i="7"/>
  <c r="B42" i="7"/>
  <c r="P44" i="10"/>
  <c r="M45" i="10"/>
  <c r="N45" i="10" s="1"/>
  <c r="O45" i="10" s="1"/>
  <c r="A41" i="13"/>
  <c r="A36" i="12"/>
  <c r="A46" i="10"/>
  <c r="A48" i="9"/>
  <c r="C55" i="5"/>
  <c r="D46" i="5"/>
  <c r="C36" i="5"/>
  <c r="B55" i="5"/>
  <c r="B39" i="5"/>
  <c r="E53" i="5"/>
  <c r="D49" i="5"/>
  <c r="E44" i="5"/>
  <c r="C40" i="5"/>
  <c r="E37" i="5"/>
  <c r="C56" i="5"/>
  <c r="B51" i="5"/>
  <c r="D56" i="5"/>
  <c r="D52" i="5"/>
  <c r="E48" i="5"/>
  <c r="C43" i="5"/>
  <c r="D38" i="5"/>
  <c r="B37" i="5"/>
  <c r="D37" i="5"/>
  <c r="B47" i="5"/>
  <c r="E55" i="5"/>
  <c r="E51" i="5"/>
  <c r="C48" i="5"/>
  <c r="D41" i="5"/>
  <c r="B36" i="5"/>
  <c r="B53" i="5"/>
  <c r="B49" i="5"/>
  <c r="B45" i="5"/>
  <c r="B41" i="5"/>
  <c r="D54" i="5"/>
  <c r="C53" i="5"/>
  <c r="D50" i="5"/>
  <c r="C47" i="5"/>
  <c r="D45" i="5"/>
  <c r="C44" i="5"/>
  <c r="D42" i="5"/>
  <c r="C39" i="5"/>
  <c r="B56" i="5"/>
  <c r="B54" i="5"/>
  <c r="B52" i="5"/>
  <c r="B50" i="5"/>
  <c r="B48" i="5"/>
  <c r="B46" i="5"/>
  <c r="B44" i="5"/>
  <c r="B42" i="5"/>
  <c r="B40" i="5"/>
  <c r="B38" i="5"/>
  <c r="E56" i="5"/>
  <c r="D55" i="5"/>
  <c r="E54" i="5"/>
  <c r="C54" i="5"/>
  <c r="D53" i="5"/>
  <c r="E52" i="5"/>
  <c r="C52" i="5"/>
  <c r="D51" i="5"/>
  <c r="E50" i="5"/>
  <c r="C50" i="5"/>
  <c r="C49" i="5"/>
  <c r="D48" i="5"/>
  <c r="D47" i="5"/>
  <c r="E46" i="5"/>
  <c r="C46" i="5"/>
  <c r="C45" i="5"/>
  <c r="D44" i="5"/>
  <c r="D43" i="5"/>
  <c r="E42" i="5"/>
  <c r="C42" i="5"/>
  <c r="C41" i="5"/>
  <c r="D40" i="5"/>
  <c r="D39" i="5"/>
  <c r="E38" i="5"/>
  <c r="C38" i="5"/>
  <c r="C37" i="5"/>
  <c r="A37" i="6"/>
  <c r="B37" i="6" s="1"/>
  <c r="E49" i="5"/>
  <c r="E47" i="5"/>
  <c r="E45" i="5"/>
  <c r="E43" i="5"/>
  <c r="E41" i="5"/>
  <c r="E39" i="5"/>
  <c r="A35" i="4"/>
  <c r="B35" i="4" s="1"/>
  <c r="E48" i="9" l="1"/>
  <c r="C48" i="9"/>
  <c r="G48" i="9"/>
  <c r="B46" i="10"/>
  <c r="C46" i="10" s="1"/>
  <c r="D46" i="10" s="1"/>
  <c r="D42" i="7"/>
  <c r="K42" i="7"/>
  <c r="E42" i="7"/>
  <c r="L42" i="7"/>
  <c r="M42" i="7"/>
  <c r="C42" i="7"/>
  <c r="I45" i="7"/>
  <c r="J44" i="7"/>
  <c r="A44" i="7"/>
  <c r="B43" i="7"/>
  <c r="P45" i="10"/>
  <c r="M46" i="10"/>
  <c r="N46" i="10" s="1"/>
  <c r="O46" i="10" s="1"/>
  <c r="A42" i="13"/>
  <c r="A37" i="12"/>
  <c r="A47" i="10"/>
  <c r="A49" i="9"/>
  <c r="A38" i="6"/>
  <c r="B38" i="6" s="1"/>
  <c r="A36" i="4"/>
  <c r="B36" i="4" s="1"/>
  <c r="B36" i="2"/>
  <c r="A37" i="2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B64" i="2" s="1"/>
  <c r="E49" i="9" l="1"/>
  <c r="C49" i="9"/>
  <c r="G49" i="9"/>
  <c r="B47" i="10"/>
  <c r="C47" i="10" s="1"/>
  <c r="D47" i="10" s="1"/>
  <c r="I46" i="7"/>
  <c r="J45" i="7"/>
  <c r="K43" i="7"/>
  <c r="E43" i="7"/>
  <c r="L43" i="7"/>
  <c r="M43" i="7"/>
  <c r="C43" i="7"/>
  <c r="D43" i="7"/>
  <c r="A45" i="7"/>
  <c r="B44" i="7"/>
  <c r="P46" i="10"/>
  <c r="M47" i="10"/>
  <c r="N47" i="10" s="1"/>
  <c r="O47" i="10" s="1"/>
  <c r="A43" i="13"/>
  <c r="A38" i="12"/>
  <c r="A48" i="10"/>
  <c r="A50" i="9"/>
  <c r="A39" i="6"/>
  <c r="B39" i="6" s="1"/>
  <c r="A37" i="4"/>
  <c r="B37" i="4" s="1"/>
  <c r="B62" i="2"/>
  <c r="B60" i="2"/>
  <c r="B58" i="2"/>
  <c r="B56" i="2"/>
  <c r="B54" i="2"/>
  <c r="B52" i="2"/>
  <c r="B50" i="2"/>
  <c r="B48" i="2"/>
  <c r="B46" i="2"/>
  <c r="B44" i="2"/>
  <c r="B42" i="2"/>
  <c r="B40" i="2"/>
  <c r="B38" i="2"/>
  <c r="B63" i="2"/>
  <c r="B61" i="2"/>
  <c r="B59" i="2"/>
  <c r="B57" i="2"/>
  <c r="B55" i="2"/>
  <c r="B53" i="2"/>
  <c r="B51" i="2"/>
  <c r="B49" i="2"/>
  <c r="B47" i="2"/>
  <c r="B45" i="2"/>
  <c r="B43" i="2"/>
  <c r="B41" i="2"/>
  <c r="B39" i="2"/>
  <c r="B37" i="2"/>
  <c r="D37" i="1"/>
  <c r="B38" i="1"/>
  <c r="C38" i="1" s="1"/>
  <c r="D38" i="1" s="1"/>
  <c r="E50" i="9" l="1"/>
  <c r="C50" i="9"/>
  <c r="G50" i="9"/>
  <c r="B48" i="10"/>
  <c r="C48" i="10" s="1"/>
  <c r="D48" i="10" s="1"/>
  <c r="L44" i="7"/>
  <c r="M44" i="7"/>
  <c r="C44" i="7"/>
  <c r="D44" i="7"/>
  <c r="K44" i="7"/>
  <c r="E44" i="7"/>
  <c r="A46" i="7"/>
  <c r="B45" i="7"/>
  <c r="I47" i="7"/>
  <c r="J46" i="7"/>
  <c r="P47" i="10"/>
  <c r="M48" i="10"/>
  <c r="N48" i="10" s="1"/>
  <c r="O48" i="10" s="1"/>
  <c r="A44" i="13"/>
  <c r="A39" i="12"/>
  <c r="A49" i="10"/>
  <c r="A51" i="9"/>
  <c r="A40" i="6"/>
  <c r="B40" i="6" s="1"/>
  <c r="A38" i="4"/>
  <c r="B38" i="4" s="1"/>
  <c r="B39" i="1"/>
  <c r="B40" i="1" s="1"/>
  <c r="G51" i="9" l="1"/>
  <c r="E51" i="9"/>
  <c r="C51" i="9"/>
  <c r="B41" i="1"/>
  <c r="B42" i="1" s="1"/>
  <c r="B43" i="1" s="1"/>
  <c r="C40" i="1"/>
  <c r="B49" i="10"/>
  <c r="C49" i="10" s="1"/>
  <c r="D49" i="10" s="1"/>
  <c r="M45" i="7"/>
  <c r="C45" i="7"/>
  <c r="D45" i="7"/>
  <c r="K45" i="7"/>
  <c r="E45" i="7"/>
  <c r="L45" i="7"/>
  <c r="A47" i="7"/>
  <c r="B46" i="7"/>
  <c r="I48" i="7"/>
  <c r="J48" i="7" s="1"/>
  <c r="J47" i="7"/>
  <c r="P48" i="10"/>
  <c r="M49" i="10"/>
  <c r="N49" i="10" s="1"/>
  <c r="O49" i="10" s="1"/>
  <c r="A45" i="13"/>
  <c r="A40" i="12"/>
  <c r="A50" i="10"/>
  <c r="C42" i="1"/>
  <c r="D42" i="1" s="1"/>
  <c r="A41" i="6"/>
  <c r="B41" i="6" s="1"/>
  <c r="A39" i="4"/>
  <c r="B39" i="4" s="1"/>
  <c r="C39" i="1"/>
  <c r="D39" i="1" s="1"/>
  <c r="C41" i="1"/>
  <c r="D41" i="1" s="1"/>
  <c r="D40" i="1"/>
  <c r="B44" i="1" l="1"/>
  <c r="C43" i="1"/>
  <c r="D43" i="1" s="1"/>
  <c r="B50" i="10"/>
  <c r="C50" i="10" s="1"/>
  <c r="D50" i="10" s="1"/>
  <c r="M46" i="7"/>
  <c r="D46" i="7"/>
  <c r="K46" i="7"/>
  <c r="E46" i="7"/>
  <c r="L46" i="7"/>
  <c r="C46" i="7"/>
  <c r="A48" i="7"/>
  <c r="B48" i="7" s="1"/>
  <c r="B47" i="7"/>
  <c r="P49" i="10"/>
  <c r="M50" i="10"/>
  <c r="N50" i="10" s="1"/>
  <c r="O50" i="10" s="1"/>
  <c r="A41" i="12"/>
  <c r="A51" i="10"/>
  <c r="A42" i="6"/>
  <c r="B42" i="6" s="1"/>
  <c r="A40" i="4"/>
  <c r="B40" i="4" s="1"/>
  <c r="B45" i="1" l="1"/>
  <c r="C44" i="1"/>
  <c r="D44" i="1" s="1"/>
  <c r="B51" i="10"/>
  <c r="C51" i="10"/>
  <c r="D51" i="10" s="1"/>
  <c r="K47" i="7"/>
  <c r="E47" i="7"/>
  <c r="L47" i="7"/>
  <c r="M47" i="7"/>
  <c r="C47" i="7"/>
  <c r="D47" i="7"/>
  <c r="L48" i="7"/>
  <c r="C48" i="7"/>
  <c r="D48" i="7"/>
  <c r="K48" i="7"/>
  <c r="E48" i="7"/>
  <c r="M48" i="7"/>
  <c r="P50" i="10"/>
  <c r="M51" i="10"/>
  <c r="N51" i="10" s="1"/>
  <c r="O51" i="10" s="1"/>
  <c r="A42" i="12"/>
  <c r="A52" i="10"/>
  <c r="A43" i="6"/>
  <c r="B43" i="6" s="1"/>
  <c r="A41" i="4"/>
  <c r="B41" i="4" s="1"/>
  <c r="B46" i="1" l="1"/>
  <c r="C45" i="1"/>
  <c r="D45" i="1" s="1"/>
  <c r="B52" i="10"/>
  <c r="C52" i="10" s="1"/>
  <c r="D52" i="10" s="1"/>
  <c r="P51" i="10"/>
  <c r="M52" i="10"/>
  <c r="N52" i="10" s="1"/>
  <c r="O52" i="10" s="1"/>
  <c r="A43" i="12"/>
  <c r="A53" i="10"/>
  <c r="A44" i="6"/>
  <c r="B44" i="6" s="1"/>
  <c r="A42" i="4"/>
  <c r="B42" i="4" s="1"/>
  <c r="B47" i="1" l="1"/>
  <c r="C46" i="1"/>
  <c r="D46" i="1" s="1"/>
  <c r="B53" i="10"/>
  <c r="C53" i="10"/>
  <c r="D53" i="10" s="1"/>
  <c r="P52" i="10"/>
  <c r="M53" i="10"/>
  <c r="N53" i="10" s="1"/>
  <c r="O53" i="10" s="1"/>
  <c r="A44" i="12"/>
  <c r="A54" i="10"/>
  <c r="A43" i="4"/>
  <c r="B43" i="4" s="1"/>
  <c r="B48" i="1" l="1"/>
  <c r="C47" i="1"/>
  <c r="D47" i="1" s="1"/>
  <c r="B54" i="10"/>
  <c r="C54" i="10"/>
  <c r="D54" i="10" s="1"/>
  <c r="P53" i="10"/>
  <c r="M54" i="10"/>
  <c r="N54" i="10" s="1"/>
  <c r="O54" i="10" s="1"/>
  <c r="A45" i="12"/>
  <c r="A55" i="10"/>
  <c r="B55" i="10" s="1"/>
  <c r="C55" i="10" s="1"/>
  <c r="A44" i="4"/>
  <c r="B44" i="4" s="1"/>
  <c r="B49" i="1" l="1"/>
  <c r="C49" i="1" s="1"/>
  <c r="D49" i="1" s="1"/>
  <c r="C48" i="1"/>
  <c r="D48" i="1" s="1"/>
  <c r="P54" i="10"/>
  <c r="M55" i="10"/>
  <c r="N55" i="10" s="1"/>
  <c r="O55" i="10" s="1"/>
  <c r="A46" i="12"/>
  <c r="D55" i="10"/>
  <c r="A56" i="10"/>
  <c r="A45" i="4"/>
  <c r="B45" i="4" s="1"/>
  <c r="B56" i="10" l="1"/>
  <c r="C56" i="10" s="1"/>
  <c r="D56" i="10" s="1"/>
  <c r="P55" i="10"/>
  <c r="M56" i="10"/>
  <c r="N56" i="10" s="1"/>
  <c r="O56" i="10" s="1"/>
  <c r="A47" i="12"/>
  <c r="A57" i="10"/>
  <c r="A46" i="4"/>
  <c r="B46" i="4" s="1"/>
  <c r="B57" i="10" l="1"/>
  <c r="C57" i="10" s="1"/>
  <c r="D57" i="10" s="1"/>
  <c r="P56" i="10"/>
  <c r="M57" i="10"/>
  <c r="N57" i="10" s="1"/>
  <c r="O57" i="10" s="1"/>
  <c r="A48" i="12"/>
  <c r="A58" i="10"/>
  <c r="A47" i="4"/>
  <c r="B47" i="4" s="1"/>
  <c r="B58" i="10" l="1"/>
  <c r="C58" i="10"/>
  <c r="P57" i="10"/>
  <c r="M58" i="10"/>
  <c r="N58" i="10" s="1"/>
  <c r="O58" i="10" s="1"/>
  <c r="A49" i="12"/>
  <c r="D58" i="10"/>
  <c r="A59" i="10"/>
  <c r="A48" i="4"/>
  <c r="B48" i="4" s="1"/>
  <c r="B59" i="10" l="1"/>
  <c r="C59" i="10" s="1"/>
  <c r="D59" i="10" s="1"/>
  <c r="P58" i="10"/>
  <c r="M59" i="10"/>
  <c r="N59" i="10" s="1"/>
  <c r="O59" i="10" s="1"/>
  <c r="A50" i="12"/>
  <c r="A60" i="10"/>
  <c r="A49" i="4"/>
  <c r="B49" i="4" s="1"/>
  <c r="B60" i="10" l="1"/>
  <c r="C60" i="10" s="1"/>
  <c r="D60" i="10" s="1"/>
  <c r="P59" i="10"/>
  <c r="M60" i="10"/>
  <c r="N60" i="10" s="1"/>
  <c r="O60" i="10" s="1"/>
  <c r="A61" i="10"/>
  <c r="A50" i="4"/>
  <c r="B50" i="4" s="1"/>
  <c r="B61" i="10" l="1"/>
  <c r="C61" i="10" s="1"/>
  <c r="D61" i="10" s="1"/>
  <c r="P60" i="10"/>
  <c r="M61" i="10"/>
  <c r="N61" i="10" s="1"/>
  <c r="O61" i="10" s="1"/>
  <c r="A62" i="10"/>
  <c r="A51" i="4"/>
  <c r="B51" i="4" s="1"/>
  <c r="B62" i="10" l="1"/>
  <c r="C62" i="10"/>
  <c r="D62" i="10" s="1"/>
  <c r="P61" i="10"/>
  <c r="M62" i="10"/>
  <c r="A63" i="10"/>
  <c r="A52" i="4"/>
  <c r="B52" i="4" s="1"/>
  <c r="N62" i="10" l="1"/>
  <c r="O62" i="10"/>
  <c r="P62" i="10" s="1"/>
  <c r="B63" i="10"/>
  <c r="C63" i="10" s="1"/>
  <c r="D63" i="10" s="1"/>
  <c r="M63" i="10"/>
  <c r="N63" i="10" s="1"/>
  <c r="O63" i="10" s="1"/>
  <c r="A64" i="10"/>
  <c r="A53" i="4"/>
  <c r="B53" i="4" s="1"/>
  <c r="B64" i="10" l="1"/>
  <c r="C64" i="10" s="1"/>
  <c r="D64" i="10" s="1"/>
  <c r="P63" i="10"/>
  <c r="M64" i="10"/>
  <c r="N64" i="10" s="1"/>
  <c r="O64" i="10" s="1"/>
  <c r="A65" i="10"/>
  <c r="A54" i="4"/>
  <c r="B54" i="4" s="1"/>
  <c r="B65" i="10" l="1"/>
  <c r="C65" i="10" s="1"/>
  <c r="D65" i="10" s="1"/>
  <c r="P64" i="10"/>
  <c r="M65" i="10"/>
  <c r="N65" i="10" s="1"/>
  <c r="O65" i="10" s="1"/>
  <c r="A66" i="10"/>
  <c r="A55" i="4"/>
  <c r="B55" i="4" s="1"/>
  <c r="B66" i="10" l="1"/>
  <c r="C66" i="10" s="1"/>
  <c r="D66" i="10" s="1"/>
  <c r="P65" i="10"/>
  <c r="M66" i="10"/>
  <c r="N66" i="10" s="1"/>
  <c r="O66" i="10" s="1"/>
  <c r="A67" i="10"/>
  <c r="A56" i="4"/>
  <c r="B56" i="4" s="1"/>
  <c r="B67" i="10" l="1"/>
  <c r="C67" i="10" s="1"/>
  <c r="D67" i="10" s="1"/>
  <c r="P66" i="10"/>
  <c r="M67" i="10"/>
  <c r="N67" i="10" s="1"/>
  <c r="O67" i="10" s="1"/>
  <c r="A68" i="10"/>
  <c r="A57" i="4"/>
  <c r="B57" i="4" s="1"/>
  <c r="B68" i="10" l="1"/>
  <c r="C68" i="10" s="1"/>
  <c r="D68" i="10" s="1"/>
  <c r="P67" i="10"/>
  <c r="M68" i="10"/>
  <c r="A69" i="10"/>
  <c r="A58" i="4"/>
  <c r="B58" i="4" s="1"/>
  <c r="B69" i="10" l="1"/>
  <c r="C69" i="10" s="1"/>
  <c r="D69" i="10" s="1"/>
  <c r="N68" i="10"/>
  <c r="O68" i="10"/>
  <c r="P68" i="10" s="1"/>
  <c r="M69" i="10"/>
  <c r="N69" i="10" s="1"/>
  <c r="O69" i="10" s="1"/>
  <c r="A70" i="10"/>
  <c r="A59" i="4"/>
  <c r="B59" i="4" s="1"/>
  <c r="B70" i="10" l="1"/>
  <c r="C70" i="10" s="1"/>
  <c r="D70" i="10" s="1"/>
  <c r="P69" i="10"/>
  <c r="M70" i="10"/>
  <c r="N70" i="10" s="1"/>
  <c r="O70" i="10" s="1"/>
  <c r="A71" i="10"/>
  <c r="A60" i="4"/>
  <c r="B60" i="4" s="1"/>
  <c r="B71" i="10" l="1"/>
  <c r="C71" i="10" s="1"/>
  <c r="D71" i="10" s="1"/>
  <c r="P70" i="10"/>
  <c r="M71" i="10"/>
  <c r="N71" i="10" s="1"/>
  <c r="O71" i="10" s="1"/>
  <c r="A72" i="10"/>
  <c r="A61" i="4"/>
  <c r="B61" i="4" s="1"/>
  <c r="B72" i="10" l="1"/>
  <c r="C72" i="10" s="1"/>
  <c r="D72" i="10" s="1"/>
  <c r="P71" i="10"/>
  <c r="M72" i="10"/>
  <c r="N72" i="10" s="1"/>
  <c r="O72" i="10" s="1"/>
  <c r="A73" i="10"/>
  <c r="A62" i="4"/>
  <c r="B62" i="4" s="1"/>
  <c r="B73" i="10" l="1"/>
  <c r="C73" i="10" s="1"/>
  <c r="D73" i="10" s="1"/>
  <c r="P72" i="10"/>
  <c r="M73" i="10"/>
  <c r="N73" i="10" s="1"/>
  <c r="O73" i="10" s="1"/>
  <c r="A74" i="10"/>
  <c r="A63" i="4"/>
  <c r="B63" i="4" s="1"/>
  <c r="B74" i="10" l="1"/>
  <c r="C74" i="10" s="1"/>
  <c r="D74" i="10" s="1"/>
  <c r="P73" i="10"/>
  <c r="M74" i="10"/>
  <c r="N74" i="10" s="1"/>
  <c r="O74" i="10" s="1"/>
  <c r="A75" i="10"/>
  <c r="A64" i="4"/>
  <c r="B64" i="4" s="1"/>
  <c r="B75" i="10" l="1"/>
  <c r="C75" i="10" s="1"/>
  <c r="D75" i="10" s="1"/>
  <c r="P74" i="10"/>
  <c r="M75" i="10"/>
  <c r="N75" i="10" s="1"/>
  <c r="O75" i="10" s="1"/>
  <c r="A76" i="10"/>
  <c r="B76" i="10" l="1"/>
  <c r="C76" i="10"/>
  <c r="D76" i="10" s="1"/>
  <c r="P75" i="10"/>
  <c r="M76" i="10"/>
  <c r="N76" i="10" s="1"/>
  <c r="O76" i="10" s="1"/>
  <c r="P76" i="10" l="1"/>
</calcChain>
</file>

<file path=xl/sharedStrings.xml><?xml version="1.0" encoding="utf-8"?>
<sst xmlns="http://schemas.openxmlformats.org/spreadsheetml/2006/main" count="146" uniqueCount="103">
  <si>
    <t>NET PRIMARY PRODUCTION</t>
  </si>
  <si>
    <t>Intercepted radiation (Beers's law)</t>
  </si>
  <si>
    <t>Parameters:</t>
  </si>
  <si>
    <t>LAI</t>
  </si>
  <si>
    <r>
      <t>MJ m</t>
    </r>
    <r>
      <rPr>
        <vertAlign val="superscript"/>
        <sz val="12"/>
        <color theme="1"/>
        <rFont val="Arial"/>
        <family val="2"/>
      </rPr>
      <t>-2</t>
    </r>
  </si>
  <si>
    <r>
      <t>Q</t>
    </r>
    <r>
      <rPr>
        <vertAlign val="subscript"/>
        <sz val="12"/>
        <color theme="1"/>
        <rFont val="Arial"/>
        <family val="2"/>
      </rPr>
      <t>int</t>
    </r>
  </si>
  <si>
    <t>Temperature modifier</t>
  </si>
  <si>
    <t>T</t>
  </si>
  <si>
    <t>k</t>
  </si>
  <si>
    <r>
      <t>Q</t>
    </r>
    <r>
      <rPr>
        <vertAlign val="subscript"/>
        <sz val="12"/>
        <color theme="1"/>
        <rFont val="Arial"/>
        <family val="2"/>
      </rPr>
      <t>0</t>
    </r>
  </si>
  <si>
    <t>Parameters</t>
  </si>
  <si>
    <t>Frost modifier</t>
  </si>
  <si>
    <t>Soil water modifier</t>
  </si>
  <si>
    <t>1 sandy</t>
  </si>
  <si>
    <t>3 clayloam</t>
  </si>
  <si>
    <t>2 sandyloam</t>
  </si>
  <si>
    <t>other</t>
  </si>
  <si>
    <t>(coeffcond)</t>
  </si>
  <si>
    <r>
      <t>k</t>
    </r>
    <r>
      <rPr>
        <vertAlign val="subscript"/>
        <sz val="12"/>
        <color theme="1"/>
        <rFont val="Arial"/>
        <family val="2"/>
      </rPr>
      <t>D</t>
    </r>
    <r>
      <rPr>
        <sz val="12"/>
        <color theme="1"/>
        <rFont val="Arial"/>
        <family val="2"/>
      </rPr>
      <t>=0.05</t>
    </r>
  </si>
  <si>
    <t>Qi</t>
  </si>
  <si>
    <t>f</t>
  </si>
  <si>
    <t>NPP</t>
  </si>
  <si>
    <t>alfa=</t>
  </si>
  <si>
    <t>ε_NPP</t>
  </si>
  <si>
    <t>ε_GPP</t>
  </si>
  <si>
    <t>FALTA A BIOMASSA DE RAIZES</t>
  </si>
  <si>
    <r>
      <t>g MJ</t>
    </r>
    <r>
      <rPr>
        <vertAlign val="superscript"/>
        <sz val="12"/>
        <color theme="1"/>
        <rFont val="Arial"/>
        <family val="2"/>
      </rPr>
      <t>-1</t>
    </r>
  </si>
  <si>
    <r>
      <t>Mg ha</t>
    </r>
    <r>
      <rPr>
        <vertAlign val="superscript"/>
        <sz val="12"/>
        <color theme="1"/>
        <rFont val="Arial"/>
        <family val="2"/>
      </rPr>
      <t>-1</t>
    </r>
    <r>
      <rPr>
        <sz val="12"/>
        <color theme="1"/>
        <rFont val="Arial"/>
        <family val="2"/>
      </rPr>
      <t>yr</t>
    </r>
    <r>
      <rPr>
        <vertAlign val="superscript"/>
        <sz val="12"/>
        <color theme="1"/>
        <rFont val="Arial"/>
        <family val="2"/>
      </rPr>
      <t>-1</t>
    </r>
  </si>
  <si>
    <r>
      <t>MJ m</t>
    </r>
    <r>
      <rPr>
        <vertAlign val="superscript"/>
        <sz val="12"/>
        <color theme="1"/>
        <rFont val="Arial"/>
        <family val="2"/>
      </rPr>
      <t>-2</t>
    </r>
    <r>
      <rPr>
        <sz val="12"/>
        <color theme="1"/>
        <rFont val="Arial"/>
        <family val="2"/>
      </rPr>
      <t xml:space="preserve"> yr</t>
    </r>
    <r>
      <rPr>
        <vertAlign val="superscript"/>
        <sz val="12"/>
        <color theme="1"/>
        <rFont val="Arial"/>
        <family val="2"/>
      </rPr>
      <t>-1</t>
    </r>
  </si>
  <si>
    <t>CÁLCULO COM AS RAIZES</t>
  </si>
  <si>
    <t>Litterfall</t>
  </si>
  <si>
    <t>VPD modifier</t>
  </si>
  <si>
    <t>Age modifier</t>
  </si>
  <si>
    <t>likely maximum stand age</t>
  </si>
  <si>
    <t>t</t>
  </si>
  <si>
    <t>power determining strength of growth reduction</t>
  </si>
  <si>
    <t>Root partitioning</t>
  </si>
  <si>
    <t>FR=1</t>
  </si>
  <si>
    <t>FR=0.7</t>
  </si>
  <si>
    <t>FR=0.4</t>
  </si>
  <si>
    <t xml:space="preserve">FR = </t>
  </si>
  <si>
    <t>Aboveground partitioning</t>
  </si>
  <si>
    <t>pfs2=</t>
  </si>
  <si>
    <t>pfs20=</t>
  </si>
  <si>
    <t>pfsPower=</t>
  </si>
  <si>
    <t>pfsConst=</t>
  </si>
  <si>
    <r>
      <rPr>
        <sz val="12"/>
        <color theme="1"/>
        <rFont val="Symbol"/>
        <family val="1"/>
        <charset val="2"/>
      </rPr>
      <t>h</t>
    </r>
    <r>
      <rPr>
        <sz val="12"/>
        <color theme="1"/>
        <rFont val="Arial"/>
        <family val="2"/>
      </rPr>
      <t>r=</t>
    </r>
  </si>
  <si>
    <t>woody</t>
  </si>
  <si>
    <t>leaves</t>
  </si>
  <si>
    <t>d</t>
  </si>
  <si>
    <r>
      <rPr>
        <sz val="12"/>
        <rFont val="Symbol"/>
        <family val="1"/>
        <charset val="2"/>
      </rPr>
      <t>h</t>
    </r>
    <r>
      <rPr>
        <sz val="12"/>
        <rFont val="Arial"/>
        <family val="2"/>
      </rPr>
      <t>wy</t>
    </r>
  </si>
  <si>
    <r>
      <rPr>
        <sz val="12"/>
        <rFont val="Symbol"/>
        <family val="1"/>
        <charset val="2"/>
      </rPr>
      <t>h</t>
    </r>
    <r>
      <rPr>
        <sz val="12"/>
        <rFont val="Arial"/>
        <family val="2"/>
      </rPr>
      <t>l</t>
    </r>
  </si>
  <si>
    <t>Litter-fall</t>
  </si>
  <si>
    <t>gammaFx</t>
  </si>
  <si>
    <t>gammaF0</t>
  </si>
  <si>
    <t>tgammaF</t>
  </si>
  <si>
    <t>Self-thinning</t>
  </si>
  <si>
    <t>wSx1000</t>
  </si>
  <si>
    <t>thinPower</t>
  </si>
  <si>
    <t>N</t>
  </si>
  <si>
    <t>mean wwy</t>
  </si>
  <si>
    <t>Stomatal conductance</t>
  </si>
  <si>
    <t>MaxCond</t>
  </si>
  <si>
    <t>LAIgcx</t>
  </si>
  <si>
    <t>j</t>
  </si>
  <si>
    <t>gc</t>
  </si>
  <si>
    <t>Step =</t>
  </si>
  <si>
    <r>
      <t>r</t>
    </r>
    <r>
      <rPr>
        <vertAlign val="subscript"/>
        <sz val="12"/>
        <color theme="1"/>
        <rFont val="Arial"/>
        <family val="2"/>
      </rPr>
      <t xml:space="preserve">age </t>
    </r>
    <r>
      <rPr>
        <sz val="12"/>
        <color theme="1"/>
        <rFont val="Arial"/>
        <family val="2"/>
      </rPr>
      <t>=</t>
    </r>
  </si>
  <si>
    <r>
      <t>t</t>
    </r>
    <r>
      <rPr>
        <vertAlign val="subscript"/>
        <sz val="12"/>
        <color theme="1"/>
        <rFont val="Arial"/>
        <family val="2"/>
      </rPr>
      <t xml:space="preserve">x </t>
    </r>
    <r>
      <rPr>
        <sz val="12"/>
        <color theme="1"/>
        <rFont val="Arial"/>
        <family val="2"/>
      </rPr>
      <t>=</t>
    </r>
  </si>
  <si>
    <r>
      <t>n</t>
    </r>
    <r>
      <rPr>
        <vertAlign val="subscript"/>
        <sz val="12"/>
        <color theme="1"/>
        <rFont val="Arial"/>
        <family val="2"/>
      </rPr>
      <t xml:space="preserve">age </t>
    </r>
    <r>
      <rPr>
        <sz val="12"/>
        <color theme="1"/>
        <rFont val="Arial"/>
        <family val="2"/>
      </rPr>
      <t>=</t>
    </r>
  </si>
  <si>
    <r>
      <t>t / t</t>
    </r>
    <r>
      <rPr>
        <vertAlign val="subscript"/>
        <sz val="12"/>
        <color theme="1"/>
        <rFont val="Arial"/>
        <family val="2"/>
      </rPr>
      <t>x</t>
    </r>
  </si>
  <si>
    <r>
      <t>Q</t>
    </r>
    <r>
      <rPr>
        <vertAlign val="subscript"/>
        <sz val="12"/>
        <color theme="1"/>
        <rFont val="Arial"/>
        <family val="2"/>
      </rPr>
      <t>int</t>
    </r>
    <r>
      <rPr>
        <sz val="12"/>
        <color theme="1"/>
        <rFont val="Arial"/>
        <family val="2"/>
      </rPr>
      <t xml:space="preserve"> (%)</t>
    </r>
  </si>
  <si>
    <r>
      <t>T</t>
    </r>
    <r>
      <rPr>
        <vertAlign val="subscript"/>
        <sz val="12"/>
        <color theme="1"/>
        <rFont val="Arial"/>
        <family val="2"/>
      </rPr>
      <t>min</t>
    </r>
    <r>
      <rPr>
        <sz val="12"/>
        <color theme="1"/>
        <rFont val="Arial"/>
        <family val="2"/>
      </rPr>
      <t xml:space="preserve"> =</t>
    </r>
  </si>
  <si>
    <r>
      <t>T</t>
    </r>
    <r>
      <rPr>
        <vertAlign val="subscript"/>
        <sz val="12"/>
        <color theme="1"/>
        <rFont val="Arial"/>
        <family val="2"/>
      </rPr>
      <t xml:space="preserve">opt </t>
    </r>
    <r>
      <rPr>
        <sz val="12"/>
        <color theme="1"/>
        <rFont val="Arial"/>
        <family val="2"/>
      </rPr>
      <t>=</t>
    </r>
  </si>
  <si>
    <r>
      <t>T</t>
    </r>
    <r>
      <rPr>
        <vertAlign val="subscript"/>
        <sz val="12"/>
        <color theme="1"/>
        <rFont val="Arial"/>
        <family val="2"/>
      </rPr>
      <t xml:space="preserve">max </t>
    </r>
    <r>
      <rPr>
        <sz val="12"/>
        <color theme="1"/>
        <rFont val="Arial"/>
        <family val="2"/>
      </rPr>
      <t>=</t>
    </r>
  </si>
  <si>
    <r>
      <t>f</t>
    </r>
    <r>
      <rPr>
        <vertAlign val="subscript"/>
        <sz val="12"/>
        <color theme="1"/>
        <rFont val="Arial"/>
        <family val="2"/>
      </rPr>
      <t>T</t>
    </r>
  </si>
  <si>
    <r>
      <t>d</t>
    </r>
    <r>
      <rPr>
        <vertAlign val="subscript"/>
        <sz val="12"/>
        <color theme="1"/>
        <rFont val="Arial"/>
        <family val="2"/>
      </rPr>
      <t>F</t>
    </r>
  </si>
  <si>
    <r>
      <t>f</t>
    </r>
    <r>
      <rPr>
        <vertAlign val="subscript"/>
        <sz val="12"/>
        <color theme="1"/>
        <rFont val="Arial"/>
        <family val="2"/>
      </rPr>
      <t>F</t>
    </r>
  </si>
  <si>
    <r>
      <t>k</t>
    </r>
    <r>
      <rPr>
        <vertAlign val="subscript"/>
        <sz val="12"/>
        <color theme="1"/>
        <rFont val="Arial"/>
        <family val="2"/>
      </rPr>
      <t>F</t>
    </r>
    <r>
      <rPr>
        <sz val="12"/>
        <color theme="1"/>
        <rFont val="Arial"/>
        <family val="2"/>
      </rPr>
      <t xml:space="preserve"> =</t>
    </r>
  </si>
  <si>
    <r>
      <t>c</t>
    </r>
    <r>
      <rPr>
        <vertAlign val="subscript"/>
        <sz val="12"/>
        <color theme="1"/>
        <rFont val="Arial"/>
        <family val="2"/>
      </rPr>
      <t xml:space="preserve">θ0 </t>
    </r>
    <r>
      <rPr>
        <sz val="12"/>
        <color theme="1"/>
        <rFont val="Arial"/>
        <family val="2"/>
      </rPr>
      <t>=</t>
    </r>
  </si>
  <si>
    <r>
      <t>n</t>
    </r>
    <r>
      <rPr>
        <vertAlign val="subscript"/>
        <sz val="12"/>
        <color theme="1"/>
        <rFont val="Arial"/>
        <family val="2"/>
      </rPr>
      <t xml:space="preserve">θ0 </t>
    </r>
    <r>
      <rPr>
        <sz val="12"/>
        <color theme="1"/>
        <rFont val="Arial"/>
        <family val="2"/>
      </rPr>
      <t>=</t>
    </r>
  </si>
  <si>
    <r>
      <t>f</t>
    </r>
    <r>
      <rPr>
        <vertAlign val="subscript"/>
        <sz val="12"/>
        <color theme="1"/>
        <rFont val="Arial"/>
        <family val="2"/>
      </rPr>
      <t>SW</t>
    </r>
  </si>
  <si>
    <r>
      <t>θ / θ</t>
    </r>
    <r>
      <rPr>
        <vertAlign val="subscript"/>
        <sz val="12"/>
        <color theme="1"/>
        <rFont val="Arial"/>
        <family val="2"/>
      </rPr>
      <t>x</t>
    </r>
  </si>
  <si>
    <r>
      <t>c</t>
    </r>
    <r>
      <rPr>
        <vertAlign val="subscript"/>
        <sz val="12"/>
        <color theme="1"/>
        <rFont val="Arial"/>
        <family val="2"/>
      </rPr>
      <t>θ</t>
    </r>
    <r>
      <rPr>
        <sz val="12"/>
        <color theme="1"/>
        <rFont val="Arial"/>
        <family val="2"/>
      </rPr>
      <t xml:space="preserve"> =</t>
    </r>
  </si>
  <si>
    <r>
      <t>n</t>
    </r>
    <r>
      <rPr>
        <vertAlign val="subscript"/>
        <sz val="12"/>
        <color theme="1"/>
        <rFont val="Arial"/>
        <family val="2"/>
      </rPr>
      <t xml:space="preserve">θ </t>
    </r>
    <r>
      <rPr>
        <sz val="12"/>
        <color theme="1"/>
        <rFont val="Arial"/>
        <family val="2"/>
      </rPr>
      <t>=</t>
    </r>
  </si>
  <si>
    <t>sandy</t>
  </si>
  <si>
    <t>sandyloam</t>
  </si>
  <si>
    <t>clayloam</t>
  </si>
  <si>
    <r>
      <t>k</t>
    </r>
    <r>
      <rPr>
        <vertAlign val="subscript"/>
        <sz val="12"/>
        <color theme="1"/>
        <rFont val="Arial"/>
        <family val="2"/>
      </rPr>
      <t>D</t>
    </r>
    <r>
      <rPr>
        <sz val="12"/>
        <color theme="1"/>
        <rFont val="Arial"/>
        <family val="2"/>
      </rPr>
      <t>=</t>
    </r>
  </si>
  <si>
    <r>
      <t>D</t>
    </r>
    <r>
      <rPr>
        <vertAlign val="subscript"/>
        <sz val="12"/>
        <color theme="1"/>
        <rFont val="Arial"/>
        <family val="2"/>
      </rPr>
      <t>F</t>
    </r>
  </si>
  <si>
    <t>k =</t>
  </si>
  <si>
    <r>
      <rPr>
        <sz val="12"/>
        <color theme="1"/>
        <rFont val="Symbol"/>
        <family val="1"/>
        <charset val="2"/>
      </rPr>
      <t>h</t>
    </r>
    <r>
      <rPr>
        <vertAlign val="subscript"/>
        <sz val="12"/>
        <color theme="1"/>
        <rFont val="Arial"/>
        <family val="2"/>
      </rPr>
      <t>rx</t>
    </r>
    <r>
      <rPr>
        <sz val="12"/>
        <color theme="1"/>
        <rFont val="Arial"/>
        <family val="2"/>
      </rPr>
      <t xml:space="preserve"> =</t>
    </r>
  </si>
  <si>
    <r>
      <rPr>
        <sz val="12"/>
        <color theme="1"/>
        <rFont val="Symbol"/>
        <family val="1"/>
        <charset val="2"/>
      </rPr>
      <t>h</t>
    </r>
    <r>
      <rPr>
        <vertAlign val="subscript"/>
        <sz val="12"/>
        <color theme="1"/>
        <rFont val="Arial"/>
        <family val="2"/>
      </rPr>
      <t>rn</t>
    </r>
    <r>
      <rPr>
        <sz val="12"/>
        <color theme="1"/>
        <rFont val="Arial"/>
        <family val="2"/>
      </rPr>
      <t xml:space="preserve"> =</t>
    </r>
  </si>
  <si>
    <r>
      <t>m</t>
    </r>
    <r>
      <rPr>
        <vertAlign val="subscript"/>
        <sz val="12"/>
        <rFont val="Arial"/>
        <family val="2"/>
      </rPr>
      <t>0 =</t>
    </r>
  </si>
  <si>
    <r>
      <t>h</t>
    </r>
    <r>
      <rPr>
        <vertAlign val="subscript"/>
        <sz val="12"/>
        <color theme="1"/>
        <rFont val="Calibri"/>
        <family val="2"/>
        <scheme val="minor"/>
      </rPr>
      <t>rn</t>
    </r>
    <r>
      <rPr>
        <sz val="12"/>
        <color theme="1"/>
        <rFont val="Calibri"/>
        <family val="2"/>
        <scheme val="minor"/>
      </rPr>
      <t>=</t>
    </r>
  </si>
  <si>
    <r>
      <t>h</t>
    </r>
    <r>
      <rPr>
        <vertAlign val="subscript"/>
        <sz val="12"/>
        <color theme="1"/>
        <rFont val="Calibri"/>
        <family val="2"/>
        <scheme val="minor"/>
      </rPr>
      <t>rx</t>
    </r>
    <r>
      <rPr>
        <vertAlign val="subscript"/>
        <sz val="12"/>
        <color theme="1"/>
        <rFont val="Symbol"/>
        <family val="1"/>
        <charset val="2"/>
      </rPr>
      <t>=</t>
    </r>
  </si>
  <si>
    <t>optimum</t>
  </si>
  <si>
    <t>very poor</t>
  </si>
  <si>
    <t xml:space="preserve">j </t>
  </si>
  <si>
    <r>
      <t>m</t>
    </r>
    <r>
      <rPr>
        <sz val="12"/>
        <color theme="1"/>
        <rFont val="Symbol"/>
        <family val="1"/>
        <charset val="2"/>
      </rPr>
      <t>j</t>
    </r>
  </si>
  <si>
    <t>m0=</t>
  </si>
  <si>
    <r>
      <t>m = m</t>
    </r>
    <r>
      <rPr>
        <i/>
        <vertAlign val="subscript"/>
        <sz val="12"/>
        <color rgb="FF333333"/>
        <rFont val="Trebuchet MS"/>
        <family val="2"/>
      </rPr>
      <t>0</t>
    </r>
    <r>
      <rPr>
        <i/>
        <sz val="12"/>
        <color rgb="FF333333"/>
        <rFont val="Trebuchet MS"/>
        <family val="2"/>
      </rPr>
      <t xml:space="preserve"> + </t>
    </r>
    <r>
      <rPr>
        <sz val="12"/>
        <color rgb="FF333333"/>
        <rFont val="Trebuchet MS"/>
        <family val="2"/>
      </rPr>
      <t>(</t>
    </r>
    <r>
      <rPr>
        <i/>
        <sz val="12"/>
        <color rgb="FF333333"/>
        <rFont val="Trebuchet MS"/>
        <family val="2"/>
      </rPr>
      <t>1-m</t>
    </r>
    <r>
      <rPr>
        <i/>
        <vertAlign val="subscript"/>
        <sz val="12"/>
        <color rgb="FF333333"/>
        <rFont val="Trebuchet MS"/>
        <family val="2"/>
      </rPr>
      <t>0</t>
    </r>
    <r>
      <rPr>
        <sz val="12"/>
        <color rgb="FF333333"/>
        <rFont val="Trebuchet MS"/>
        <family val="2"/>
      </rPr>
      <t>)</t>
    </r>
    <r>
      <rPr>
        <i/>
        <sz val="12"/>
        <color rgb="FF333333"/>
        <rFont val="Trebuchet MS"/>
        <family val="2"/>
      </rPr>
      <t>FR</t>
    </r>
  </si>
  <si>
    <r>
      <rPr>
        <sz val="12"/>
        <color theme="1"/>
        <rFont val="Symbol"/>
        <family val="1"/>
        <charset val="2"/>
      </rPr>
      <t>j</t>
    </r>
    <r>
      <rPr>
        <sz val="12"/>
        <color theme="1"/>
        <rFont val="Arial"/>
        <family val="2"/>
      </rPr>
      <t>=PhysMod=min{fVPD,fSW}fage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</si>
</sst>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2"/>
      <color theme="1"/>
      <name val="Arial"/>
      <family val="2"/>
    </font>
    <font>
      <b/>
      <sz val="16"/>
      <color theme="1"/>
      <name val="Arial"/>
      <family val="2"/>
    </font>
    <font>
      <vertAlign val="superscript"/>
      <sz val="12"/>
      <color theme="1"/>
      <name val="Arial"/>
      <family val="2"/>
    </font>
    <font>
      <vertAlign val="subscript"/>
      <sz val="12"/>
      <color theme="1"/>
      <name val="Arial"/>
      <family val="2"/>
    </font>
    <font>
      <sz val="12"/>
      <color theme="1"/>
      <name val="Symbol"/>
      <family val="1"/>
      <charset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Symbol"/>
      <family val="1"/>
      <charset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20"/>
      <color rgb="FF333333"/>
      <name val="Trebuchet MS"/>
      <family val="2"/>
    </font>
    <font>
      <b/>
      <sz val="12"/>
      <color rgb="FFFF0000"/>
      <name val="Arial"/>
      <family val="2"/>
    </font>
    <font>
      <b/>
      <sz val="12"/>
      <color rgb="FFFF0000"/>
      <name val="Symbol"/>
      <family val="1"/>
      <charset val="2"/>
    </font>
    <font>
      <vertAlign val="subscript"/>
      <sz val="12"/>
      <name val="Arial"/>
      <family val="2"/>
    </font>
    <font>
      <vertAlign val="subscript"/>
      <sz val="12"/>
      <color theme="1"/>
      <name val="Symbol"/>
      <family val="1"/>
      <charset val="2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sz val="12"/>
      <color theme="1"/>
      <name val="Arial"/>
      <family val="2"/>
    </font>
    <font>
      <i/>
      <sz val="12"/>
      <color rgb="FF333333"/>
      <name val="Trebuchet MS"/>
      <family val="2"/>
    </font>
    <font>
      <i/>
      <vertAlign val="subscript"/>
      <sz val="12"/>
      <color rgb="FF333333"/>
      <name val="Trebuchet MS"/>
      <family val="2"/>
    </font>
    <font>
      <sz val="12"/>
      <color rgb="FF333333"/>
      <name val="Trebuchet MS"/>
      <family val="2"/>
    </font>
    <font>
      <sz val="12"/>
      <color theme="1"/>
      <name val="Aria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vertical="center" readingOrder="1"/>
    </xf>
    <xf numFmtId="0" fontId="21" fillId="0" borderId="0" xfId="0" applyFont="1" applyAlignment="1">
      <alignment vertical="center" readingOrder="1"/>
    </xf>
    <xf numFmtId="0" fontId="24" fillId="0" borderId="0" xfId="0" applyFont="1"/>
    <xf numFmtId="0" fontId="0" fillId="3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00"/>
      <color rgb="FFCCCC00"/>
      <color rgb="FFFF9900"/>
      <color rgb="FF99CC00"/>
      <color rgb="FF006600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55796150481191"/>
          <c:y val="5.1400554097404488E-2"/>
          <c:w val="0.78226181102362202"/>
          <c:h val="0.72704068241469821"/>
        </c:manualLayout>
      </c:layout>
      <c:scatterChart>
        <c:scatterStyle val="lineMarker"/>
        <c:varyColors val="0"/>
        <c:ser>
          <c:idx val="0"/>
          <c:order val="0"/>
          <c:tx>
            <c:v>Furadouro trial</c:v>
          </c:tx>
          <c:spPr>
            <a:ln w="28575">
              <a:noFill/>
            </a:ln>
          </c:spPr>
          <c:marker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19657805932153219"/>
                  <c:y val="0.19986211265768536"/>
                </c:manualLayout>
              </c:layout>
              <c:numFmt formatCode="General" sourceLinked="0"/>
            </c:trendlineLbl>
          </c:trendline>
          <c:xVal>
            <c:numRef>
              <c:f>'NPP-QI'!$C$4:$C$7</c:f>
              <c:numCache>
                <c:formatCode>General</c:formatCode>
                <c:ptCount val="4"/>
                <c:pt idx="0">
                  <c:v>4440.8</c:v>
                </c:pt>
                <c:pt idx="1">
                  <c:v>3806.4</c:v>
                </c:pt>
                <c:pt idx="2">
                  <c:v>3757.6</c:v>
                </c:pt>
                <c:pt idx="3">
                  <c:v>3464.7999999999997</c:v>
                </c:pt>
              </c:numCache>
            </c:numRef>
          </c:xVal>
          <c:yVal>
            <c:numRef>
              <c:f>'NPP-QI'!$A$4:$A$7</c:f>
              <c:numCache>
                <c:formatCode>General</c:formatCode>
                <c:ptCount val="4"/>
                <c:pt idx="0">
                  <c:v>35.700000000000003</c:v>
                </c:pt>
                <c:pt idx="1">
                  <c:v>29.5</c:v>
                </c:pt>
                <c:pt idx="2">
                  <c:v>26.9</c:v>
                </c:pt>
                <c:pt idx="3">
                  <c:v>23.7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84-4499-B253-2235E35CC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054784"/>
        <c:axId val="235055360"/>
      </c:scatterChart>
      <c:valAx>
        <c:axId val="235054784"/>
        <c:scaling>
          <c:orientation val="minMax"/>
          <c:min val="3000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r>
                  <a:rPr lang="en-US" sz="1200">
                    <a:latin typeface="Arial" pitchFamily="34" charset="0"/>
                    <a:cs typeface="Arial" pitchFamily="34" charset="0"/>
                  </a:rPr>
                  <a:t>Radiation intercepted (GJ m</a:t>
                </a:r>
                <a:r>
                  <a:rPr lang="en-US" sz="1200" baseline="30000">
                    <a:latin typeface="Arial" pitchFamily="34" charset="0"/>
                    <a:cs typeface="Arial" pitchFamily="34" charset="0"/>
                  </a:rPr>
                  <a:t>-2</a:t>
                </a:r>
                <a:r>
                  <a:rPr lang="en-US" sz="1200">
                    <a:latin typeface="Arial" pitchFamily="34" charset="0"/>
                    <a:cs typeface="Arial" pitchFamily="34" charset="0"/>
                  </a:rPr>
                  <a:t> year</a:t>
                </a:r>
                <a:r>
                  <a:rPr lang="en-US" sz="1200" baseline="30000">
                    <a:latin typeface="Arial" pitchFamily="34" charset="0"/>
                    <a:cs typeface="Arial" pitchFamily="34" charset="0"/>
                  </a:rPr>
                  <a:t>-1</a:t>
                </a:r>
                <a:r>
                  <a:rPr lang="en-US" sz="1200">
                    <a:latin typeface="Arial" pitchFamily="34" charset="0"/>
                    <a:cs typeface="Arial" pitchFamily="34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24828608923884515"/>
              <c:y val="0.874185348349423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35055360"/>
        <c:crosses val="autoZero"/>
        <c:crossBetween val="midCat"/>
      </c:valAx>
      <c:valAx>
        <c:axId val="235055360"/>
        <c:scaling>
          <c:orientation val="minMax"/>
          <c:min val="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r>
                  <a:rPr lang="en-US" sz="1200">
                    <a:latin typeface="Arial" pitchFamily="34" charset="0"/>
                    <a:cs typeface="Arial" pitchFamily="34" charset="0"/>
                  </a:rPr>
                  <a:t>NPP (Mg ha</a:t>
                </a:r>
                <a:r>
                  <a:rPr lang="en-US" sz="1200" baseline="30000">
                    <a:latin typeface="Arial" pitchFamily="34" charset="0"/>
                    <a:cs typeface="Arial" pitchFamily="34" charset="0"/>
                  </a:rPr>
                  <a:t>-1</a:t>
                </a:r>
                <a:r>
                  <a:rPr lang="en-US" sz="1200">
                    <a:latin typeface="Arial" pitchFamily="34" charset="0"/>
                    <a:cs typeface="Arial" pitchFamily="34" charset="0"/>
                  </a:rPr>
                  <a:t> year</a:t>
                </a:r>
                <a:r>
                  <a:rPr lang="en-US" sz="1200" baseline="30000">
                    <a:latin typeface="Arial" pitchFamily="34" charset="0"/>
                    <a:cs typeface="Arial" pitchFamily="34" charset="0"/>
                  </a:rPr>
                  <a:t>-1</a:t>
                </a:r>
                <a:r>
                  <a:rPr lang="en-US" sz="1200">
                    <a:latin typeface="Arial" pitchFamily="34" charset="0"/>
                    <a:cs typeface="Arial" pitchFamily="34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3.6111111111111108E-2"/>
              <c:y val="0.2258170850378542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35054784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2338602411540667"/>
          <c:y val="0.69863550490601389"/>
          <c:w val="0.29612772087699563"/>
          <c:h val="6.4166005458202863E-2"/>
        </c:manualLayout>
      </c:layout>
      <c:overlay val="0"/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710341728375764"/>
          <c:y val="7.436347221973108E-2"/>
          <c:w val="0.73961118383775226"/>
          <c:h val="0.7975026937422296"/>
        </c:manualLayout>
      </c:layout>
      <c:scatterChart>
        <c:scatterStyle val="smoothMarker"/>
        <c:varyColors val="0"/>
        <c:ser>
          <c:idx val="0"/>
          <c:order val="0"/>
          <c:tx>
            <c:v>to roots=0.4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AbgPartitioning!$A$38:$A$76</c:f>
              <c:numCache>
                <c:formatCode>General</c:formatCode>
                <c:ptCount val="39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</c:numCache>
            </c:numRef>
          </c:xVal>
          <c:yVal>
            <c:numRef>
              <c:f>AbgPartitioning!$D$38:$D$76</c:f>
              <c:numCache>
                <c:formatCode>General</c:formatCode>
                <c:ptCount val="39"/>
                <c:pt idx="0">
                  <c:v>6.0715294779634581</c:v>
                </c:pt>
                <c:pt idx="1">
                  <c:v>3.9999999999999987</c:v>
                </c:pt>
                <c:pt idx="2">
                  <c:v>3.1335922859606105</c:v>
                </c:pt>
                <c:pt idx="3">
                  <c:v>2.6352503200506225</c:v>
                </c:pt>
                <c:pt idx="4">
                  <c:v>2.3039668876112027</c:v>
                </c:pt>
                <c:pt idx="5">
                  <c:v>2.0644500186214656</c:v>
                </c:pt>
                <c:pt idx="6">
                  <c:v>1.8814747280879225</c:v>
                </c:pt>
                <c:pt idx="7">
                  <c:v>1.7361360623317277</c:v>
                </c:pt>
                <c:pt idx="8">
                  <c:v>1.6172861632758664</c:v>
                </c:pt>
                <c:pt idx="9">
                  <c:v>1.517882369490865</c:v>
                </c:pt>
                <c:pt idx="10">
                  <c:v>1</c:v>
                </c:pt>
                <c:pt idx="11">
                  <c:v>0.78339807149015295</c:v>
                </c:pt>
                <c:pt idx="12">
                  <c:v>0.65881258001265575</c:v>
                </c:pt>
                <c:pt idx="13">
                  <c:v>0.57599172190280079</c:v>
                </c:pt>
                <c:pt idx="14">
                  <c:v>0.51611250465536662</c:v>
                </c:pt>
                <c:pt idx="15">
                  <c:v>0.4703686820219809</c:v>
                </c:pt>
                <c:pt idx="16">
                  <c:v>0.43403401558293209</c:v>
                </c:pt>
                <c:pt idx="17">
                  <c:v>0.4043215408189666</c:v>
                </c:pt>
                <c:pt idx="18">
                  <c:v>0.37947059237271624</c:v>
                </c:pt>
                <c:pt idx="19">
                  <c:v>0.35830861114235329</c:v>
                </c:pt>
                <c:pt idx="20">
                  <c:v>0.34002141076879583</c:v>
                </c:pt>
                <c:pt idx="21">
                  <c:v>0.32402415859878597</c:v>
                </c:pt>
                <c:pt idx="22">
                  <c:v>0.30988480496005372</c:v>
                </c:pt>
                <c:pt idx="23">
                  <c:v>0.29727653025201178</c:v>
                </c:pt>
                <c:pt idx="24">
                  <c:v>0.28594706961944466</c:v>
                </c:pt>
                <c:pt idx="25">
                  <c:v>0.27569827553402759</c:v>
                </c:pt>
                <c:pt idx="26">
                  <c:v>0.26637211746163575</c:v>
                </c:pt>
                <c:pt idx="27">
                  <c:v>0.2578408562182426</c:v>
                </c:pt>
                <c:pt idx="28">
                  <c:v>0.25000000000000011</c:v>
                </c:pt>
                <c:pt idx="29">
                  <c:v>0.24276315858980813</c:v>
                </c:pt>
                <c:pt idx="30">
                  <c:v>0.23605822054744516</c:v>
                </c:pt>
                <c:pt idx="31">
                  <c:v>0.2298244700926628</c:v>
                </c:pt>
                <c:pt idx="32">
                  <c:v>0.22401038288813338</c:v>
                </c:pt>
                <c:pt idx="33">
                  <c:v>0.21857191991223671</c:v>
                </c:pt>
                <c:pt idx="34">
                  <c:v>0.21347119191289612</c:v>
                </c:pt>
                <c:pt idx="35">
                  <c:v>0.20867540311819394</c:v>
                </c:pt>
                <c:pt idx="36">
                  <c:v>0.20415600786245153</c:v>
                </c:pt>
                <c:pt idx="37">
                  <c:v>0.19988803130431132</c:v>
                </c:pt>
                <c:pt idx="38">
                  <c:v>0.19584951787253824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58A-4111-BACB-95A95A36D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189568"/>
        <c:axId val="257190144"/>
      </c:scatterChart>
      <c:valAx>
        <c:axId val="257189568"/>
        <c:scaling>
          <c:orientation val="minMax"/>
          <c:max val="3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dbh (cm)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7190144"/>
        <c:crosses val="autoZero"/>
        <c:crossBetween val="midCat"/>
      </c:valAx>
      <c:valAx>
        <c:axId val="257190144"/>
        <c:scaling>
          <c:orientation val="minMax"/>
          <c:max val="7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Ratio</a:t>
                </a:r>
                <a:r>
                  <a:rPr lang="en-US" sz="1100" baseline="0"/>
                  <a:t> of leaves:woody</a:t>
                </a:r>
                <a:r>
                  <a:rPr lang="en-US" sz="1100"/>
                  <a:t> partitioning</a:t>
                </a:r>
              </a:p>
            </c:rich>
          </c:tx>
          <c:layout>
            <c:manualLayout>
              <c:xMode val="edge"/>
              <c:yMode val="edge"/>
              <c:x val="3.3755234689956559E-2"/>
              <c:y val="0.1518080161854768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57189568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2042190135662323"/>
          <c:y val="0.44884897200349949"/>
          <c:w val="0.29468982630272955"/>
          <c:h val="6.3158628608923878E-2"/>
        </c:manualLayout>
      </c:layout>
      <c:overlay val="1"/>
      <c:spPr>
        <a:solidFill>
          <a:schemeClr val="bg1"/>
        </a:solidFill>
      </c:spPr>
    </c:legend>
    <c:plotVisOnly val="1"/>
    <c:dispBlanksAs val="gap"/>
    <c:showDLblsOverMax val="0"/>
  </c:chart>
  <c:spPr>
    <a:ln w="25400"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710341728375764"/>
          <c:y val="7.436347221973108E-2"/>
          <c:w val="0.73961118383775226"/>
          <c:h val="0.79750269374222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AbgPartitioning!$C$36</c:f>
              <c:strCache>
                <c:ptCount val="1"/>
                <c:pt idx="0">
                  <c:v>leaves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AbgPartitioning!$A$38:$A$76</c:f>
              <c:numCache>
                <c:formatCode>General</c:formatCode>
                <c:ptCount val="39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</c:numCache>
            </c:numRef>
          </c:xVal>
          <c:yVal>
            <c:numRef>
              <c:f>AbgPartitioning!$C$38:$C$76</c:f>
              <c:numCache>
                <c:formatCode>General</c:formatCode>
                <c:ptCount val="39"/>
                <c:pt idx="0">
                  <c:v>0.51515272588911065</c:v>
                </c:pt>
                <c:pt idx="1">
                  <c:v>0.48</c:v>
                </c:pt>
                <c:pt idx="2">
                  <c:v>0.45484780343773912</c:v>
                </c:pt>
                <c:pt idx="3">
                  <c:v>0.43494946780125865</c:v>
                </c:pt>
                <c:pt idx="4">
                  <c:v>0.41840011706842334</c:v>
                </c:pt>
                <c:pt idx="5">
                  <c:v>0.40420630248363187</c:v>
                </c:pt>
                <c:pt idx="6">
                  <c:v>0.39177329089464352</c:v>
                </c:pt>
                <c:pt idx="7">
                  <c:v>0.3807126596296963</c:v>
                </c:pt>
                <c:pt idx="8">
                  <c:v>0.37075491078551998</c:v>
                </c:pt>
                <c:pt idx="9">
                  <c:v>0.36170451516314306</c:v>
                </c:pt>
                <c:pt idx="10">
                  <c:v>0.3</c:v>
                </c:pt>
                <c:pt idx="11">
                  <c:v>0.26356361510548321</c:v>
                </c:pt>
                <c:pt idx="12">
                  <c:v>0.23829548483685697</c:v>
                </c:pt>
                <c:pt idx="13">
                  <c:v>0.21928734037030367</c:v>
                </c:pt>
                <c:pt idx="14">
                  <c:v>0.204251005016024</c:v>
                </c:pt>
                <c:pt idx="15">
                  <c:v>0.19193907804476046</c:v>
                </c:pt>
                <c:pt idx="16">
                  <c:v>0.18159988293157667</c:v>
                </c:pt>
                <c:pt idx="17">
                  <c:v>0.17274742104283722</c:v>
                </c:pt>
                <c:pt idx="18">
                  <c:v>0.1650505321987413</c:v>
                </c:pt>
                <c:pt idx="19">
                  <c:v>0.15827416900832791</c:v>
                </c:pt>
                <c:pt idx="20">
                  <c:v>0.15224596026732995</c:v>
                </c:pt>
                <c:pt idx="21">
                  <c:v>0.14683606329737994</c:v>
                </c:pt>
                <c:pt idx="22">
                  <c:v>0.14194445364354186</c:v>
                </c:pt>
                <c:pt idx="23">
                  <c:v>0.13749259621351304</c:v>
                </c:pt>
                <c:pt idx="24">
                  <c:v>0.13341780997443359</c:v>
                </c:pt>
                <c:pt idx="25">
                  <c:v>0.12966934932256574</c:v>
                </c:pt>
                <c:pt idx="26">
                  <c:v>0.12620561387385665</c:v>
                </c:pt>
                <c:pt idx="27">
                  <c:v>0.12299212016063138</c:v>
                </c:pt>
                <c:pt idx="28">
                  <c:v>0.12000000000000005</c:v>
                </c:pt>
                <c:pt idx="29">
                  <c:v>0.1172048705717719</c:v>
                </c:pt>
                <c:pt idx="30">
                  <c:v>0.1145859717398567</c:v>
                </c:pt>
                <c:pt idx="31">
                  <c:v>0.11212549872682871</c:v>
                </c:pt>
                <c:pt idx="32">
                  <c:v>0.10980807974499336</c:v>
                </c:pt>
                <c:pt idx="33">
                  <c:v>0.10762036265925702</c:v>
                </c:pt>
                <c:pt idx="34">
                  <c:v>0.10555068468154581</c:v>
                </c:pt>
                <c:pt idx="35">
                  <c:v>0.10358880601682335</c:v>
                </c:pt>
                <c:pt idx="36">
                  <c:v>0.10172569328032047</c:v>
                </c:pt>
                <c:pt idx="37">
                  <c:v>9.9953342023269054E-2</c:v>
                </c:pt>
                <c:pt idx="38">
                  <c:v>9.8264630262658123E-2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3DE-46F6-92DB-86A7A52B2813}"/>
            </c:ext>
          </c:extLst>
        </c:ser>
        <c:ser>
          <c:idx val="1"/>
          <c:order val="1"/>
          <c:tx>
            <c:strRef>
              <c:f>AbgPartitioning!$B$36</c:f>
              <c:strCache>
                <c:ptCount val="1"/>
                <c:pt idx="0">
                  <c:v>woody</c:v>
                </c:pt>
              </c:strCache>
            </c:strRef>
          </c:tx>
          <c:marker>
            <c:symbol val="none"/>
          </c:marker>
          <c:xVal>
            <c:numRef>
              <c:f>AbgPartitioning!$A$38:$A$76</c:f>
              <c:numCache>
                <c:formatCode>General</c:formatCode>
                <c:ptCount val="39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</c:numCache>
            </c:numRef>
          </c:xVal>
          <c:yVal>
            <c:numRef>
              <c:f>AbgPartitioning!$B$38:$B$76</c:f>
              <c:numCache>
                <c:formatCode>General</c:formatCode>
                <c:ptCount val="39"/>
                <c:pt idx="0">
                  <c:v>8.4847274110889381E-2</c:v>
                </c:pt>
                <c:pt idx="1">
                  <c:v>0.12000000000000004</c:v>
                </c:pt>
                <c:pt idx="2">
                  <c:v>0.14515219656226094</c:v>
                </c:pt>
                <c:pt idx="3">
                  <c:v>0.16505053219874133</c:v>
                </c:pt>
                <c:pt idx="4">
                  <c:v>0.18159988293157661</c:v>
                </c:pt>
                <c:pt idx="5">
                  <c:v>0.19579369751636816</c:v>
                </c:pt>
                <c:pt idx="6">
                  <c:v>0.20822670910535648</c:v>
                </c:pt>
                <c:pt idx="7">
                  <c:v>0.21928734037030367</c:v>
                </c:pt>
                <c:pt idx="8">
                  <c:v>0.22924508921447995</c:v>
                </c:pt>
                <c:pt idx="9">
                  <c:v>0.23829548483685703</c:v>
                </c:pt>
                <c:pt idx="10">
                  <c:v>0.3</c:v>
                </c:pt>
                <c:pt idx="11">
                  <c:v>0.33643638489451672</c:v>
                </c:pt>
                <c:pt idx="12">
                  <c:v>0.36170451516314295</c:v>
                </c:pt>
                <c:pt idx="13">
                  <c:v>0.3807126596296963</c:v>
                </c:pt>
                <c:pt idx="14">
                  <c:v>0.39574899498397603</c:v>
                </c:pt>
                <c:pt idx="15">
                  <c:v>0.40806092195523957</c:v>
                </c:pt>
                <c:pt idx="16">
                  <c:v>0.41840011706842334</c:v>
                </c:pt>
                <c:pt idx="17">
                  <c:v>0.42725257895716273</c:v>
                </c:pt>
                <c:pt idx="18">
                  <c:v>0.4349494678012587</c:v>
                </c:pt>
                <c:pt idx="19">
                  <c:v>0.44172583099167212</c:v>
                </c:pt>
                <c:pt idx="20">
                  <c:v>0.44775403973267008</c:v>
                </c:pt>
                <c:pt idx="21">
                  <c:v>0.45316393670262001</c:v>
                </c:pt>
                <c:pt idx="22">
                  <c:v>0.45805554635645807</c:v>
                </c:pt>
                <c:pt idx="23">
                  <c:v>0.46250740378648697</c:v>
                </c:pt>
                <c:pt idx="24">
                  <c:v>0.46658219002556639</c:v>
                </c:pt>
                <c:pt idx="25">
                  <c:v>0.47033065067743424</c:v>
                </c:pt>
                <c:pt idx="26">
                  <c:v>0.47379438612614333</c:v>
                </c:pt>
                <c:pt idx="27">
                  <c:v>0.4770078798393686</c:v>
                </c:pt>
                <c:pt idx="28">
                  <c:v>0.48</c:v>
                </c:pt>
                <c:pt idx="29">
                  <c:v>0.48279512942822816</c:v>
                </c:pt>
                <c:pt idx="30">
                  <c:v>0.48541402826014335</c:v>
                </c:pt>
                <c:pt idx="31">
                  <c:v>0.48787450127317122</c:v>
                </c:pt>
                <c:pt idx="32">
                  <c:v>0.49019192025500657</c:v>
                </c:pt>
                <c:pt idx="33">
                  <c:v>0.49237963734074297</c:v>
                </c:pt>
                <c:pt idx="34">
                  <c:v>0.49444931531845415</c:v>
                </c:pt>
                <c:pt idx="35">
                  <c:v>0.49641119398317662</c:v>
                </c:pt>
                <c:pt idx="36">
                  <c:v>0.49827430671967948</c:v>
                </c:pt>
                <c:pt idx="37">
                  <c:v>0.50004665797673098</c:v>
                </c:pt>
                <c:pt idx="38">
                  <c:v>0.5017353697373419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3DE-46F6-92DB-86A7A52B2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191872"/>
        <c:axId val="257192448"/>
      </c:scatterChart>
      <c:valAx>
        <c:axId val="257191872"/>
        <c:scaling>
          <c:orientation val="minMax"/>
          <c:max val="3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dbh (cm)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7192448"/>
        <c:crosses val="autoZero"/>
        <c:crossBetween val="midCat"/>
      </c:valAx>
      <c:valAx>
        <c:axId val="257192448"/>
        <c:scaling>
          <c:orientation val="minMax"/>
          <c:max val="0.6000000000000000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 baseline="0"/>
                  <a:t>Leaves and woody</a:t>
                </a:r>
                <a:r>
                  <a:rPr lang="en-US" sz="1100"/>
                  <a:t> partitioning</a:t>
                </a:r>
              </a:p>
            </c:rich>
          </c:tx>
          <c:layout>
            <c:manualLayout>
              <c:xMode val="edge"/>
              <c:yMode val="edge"/>
              <c:x val="3.3755234689956559E-2"/>
              <c:y val="0.1518080161854768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57191872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733582123574503"/>
          <c:y val="0.41412674978127728"/>
          <c:w val="0.19487179487179487"/>
          <c:h val="0.11849464129483815"/>
        </c:manualLayout>
      </c:layout>
      <c:overlay val="1"/>
      <c:spPr>
        <a:solidFill>
          <a:schemeClr val="bg1"/>
        </a:solidFill>
      </c:spPr>
    </c:legend>
    <c:plotVisOnly val="1"/>
    <c:dispBlanksAs val="gap"/>
    <c:showDLblsOverMax val="0"/>
  </c:chart>
  <c:spPr>
    <a:ln w="25400"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710341728375764"/>
          <c:y val="7.436347221973108E-2"/>
          <c:w val="0.73961118383775226"/>
          <c:h val="0.7975026937422296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AbgPartitioning!$M$38:$M$76</c:f>
              <c:numCache>
                <c:formatCode>General</c:formatCode>
                <c:ptCount val="39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</c:numCache>
            </c:numRef>
          </c:xVal>
          <c:yVal>
            <c:numRef>
              <c:f>AbgPartitioning!$P$38:$P$76</c:f>
              <c:numCache>
                <c:formatCode>General</c:formatCode>
                <c:ptCount val="39"/>
                <c:pt idx="0">
                  <c:v>3.035764738981729</c:v>
                </c:pt>
                <c:pt idx="1">
                  <c:v>2.4640473773780123</c:v>
                </c:pt>
                <c:pt idx="2">
                  <c:v>2.1809228514626984</c:v>
                </c:pt>
                <c:pt idx="3">
                  <c:v>1.9999999999999996</c:v>
                </c:pt>
                <c:pt idx="4">
                  <c:v>1.8700670358561444</c:v>
                </c:pt>
                <c:pt idx="5">
                  <c:v>1.7701955502035958</c:v>
                </c:pt>
                <c:pt idx="6">
                  <c:v>1.6899281991869586</c:v>
                </c:pt>
                <c:pt idx="7">
                  <c:v>1.623345409963826</c:v>
                </c:pt>
                <c:pt idx="8">
                  <c:v>1.5667961429803057</c:v>
                </c:pt>
                <c:pt idx="9">
                  <c:v>1.517882369490865</c:v>
                </c:pt>
                <c:pt idx="10">
                  <c:v>1.2320236886890061</c:v>
                </c:pt>
                <c:pt idx="11">
                  <c:v>1.0904614257313494</c:v>
                </c:pt>
                <c:pt idx="12">
                  <c:v>1</c:v>
                </c:pt>
                <c:pt idx="13">
                  <c:v>0.93503351792807221</c:v>
                </c:pt>
                <c:pt idx="14">
                  <c:v>0.88509777510179788</c:v>
                </c:pt>
                <c:pt idx="15">
                  <c:v>0.84496409959347962</c:v>
                </c:pt>
                <c:pt idx="16">
                  <c:v>0.81167270498191324</c:v>
                </c:pt>
                <c:pt idx="17">
                  <c:v>0.78339807149015295</c:v>
                </c:pt>
                <c:pt idx="18">
                  <c:v>0.75894118474543248</c:v>
                </c:pt>
                <c:pt idx="19">
                  <c:v>0.7374756427772623</c:v>
                </c:pt>
                <c:pt idx="20">
                  <c:v>0.71840970529034942</c:v>
                </c:pt>
                <c:pt idx="21">
                  <c:v>0.70130632224885081</c:v>
                </c:pt>
                <c:pt idx="22">
                  <c:v>0.68583429632964621</c:v>
                </c:pt>
                <c:pt idx="23">
                  <c:v>0.67173715405130485</c:v>
                </c:pt>
                <c:pt idx="24">
                  <c:v>0.65881258001265575</c:v>
                </c:pt>
                <c:pt idx="25">
                  <c:v>0.64689840912784369</c:v>
                </c:pt>
                <c:pt idx="26">
                  <c:v>0.63586283176402658</c:v>
                </c:pt>
                <c:pt idx="27">
                  <c:v>0.62559738633413375</c:v>
                </c:pt>
                <c:pt idx="28">
                  <c:v>0.61601184434450318</c:v>
                </c:pt>
                <c:pt idx="29">
                  <c:v>0.60703040976987688</c:v>
                </c:pt>
                <c:pt idx="30">
                  <c:v>0.59858884983129557</c:v>
                </c:pt>
                <c:pt idx="31">
                  <c:v>0.5906322978226245</c:v>
                </c:pt>
                <c:pt idx="32">
                  <c:v>0.58311354877827681</c:v>
                </c:pt>
                <c:pt idx="33">
                  <c:v>0.57599172190280079</c:v>
                </c:pt>
                <c:pt idx="34">
                  <c:v>0.56923119960064206</c:v>
                </c:pt>
                <c:pt idx="35">
                  <c:v>0.56280077766426873</c:v>
                </c:pt>
                <c:pt idx="36">
                  <c:v>0.55667297847125075</c:v>
                </c:pt>
                <c:pt idx="37">
                  <c:v>0.5508234913191814</c:v>
                </c:pt>
                <c:pt idx="38">
                  <c:v>0.54523071286567482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DEC-4BF2-B18D-DE39DFD8E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388608"/>
        <c:axId val="264389184"/>
      </c:scatterChart>
      <c:valAx>
        <c:axId val="264388608"/>
        <c:scaling>
          <c:orientation val="minMax"/>
          <c:max val="3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dbh (cm)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64389184"/>
        <c:crosses val="autoZero"/>
        <c:crossBetween val="midCat"/>
      </c:valAx>
      <c:valAx>
        <c:axId val="264389184"/>
        <c:scaling>
          <c:orientation val="minMax"/>
          <c:max val="7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Ratio</a:t>
                </a:r>
                <a:r>
                  <a:rPr lang="en-US" sz="1100" baseline="0"/>
                  <a:t> of leaves:woody</a:t>
                </a:r>
                <a:r>
                  <a:rPr lang="en-US" sz="1100"/>
                  <a:t> partitioning</a:t>
                </a:r>
              </a:p>
            </c:rich>
          </c:tx>
          <c:layout>
            <c:manualLayout>
              <c:xMode val="edge"/>
              <c:yMode val="edge"/>
              <c:x val="3.3755234689956559E-2"/>
              <c:y val="0.1518080161854768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64388608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2042190135662323"/>
          <c:y val="0.44884897200349949"/>
          <c:w val="0.29468982630272955"/>
          <c:h val="6.3158628608923878E-2"/>
        </c:manualLayout>
      </c:layout>
      <c:overlay val="1"/>
      <c:spPr>
        <a:solidFill>
          <a:schemeClr val="bg1"/>
        </a:solidFill>
      </c:spPr>
    </c:legend>
    <c:plotVisOnly val="1"/>
    <c:dispBlanksAs val="gap"/>
    <c:showDLblsOverMax val="0"/>
  </c:chart>
  <c:spPr>
    <a:ln w="25400"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710341728375764"/>
          <c:y val="7.436347221973108E-2"/>
          <c:w val="0.73961118383775226"/>
          <c:h val="0.79750269374222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AbgPartitioning!$C$36</c:f>
              <c:strCache>
                <c:ptCount val="1"/>
                <c:pt idx="0">
                  <c:v>leaves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AbgPartitioning!$M$38:$M$76</c:f>
              <c:numCache>
                <c:formatCode>General</c:formatCode>
                <c:ptCount val="39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</c:numCache>
            </c:numRef>
          </c:xVal>
          <c:yVal>
            <c:numRef>
              <c:f>AbgPartitioning!$O$38:$O$76</c:f>
              <c:numCache>
                <c:formatCode>General</c:formatCode>
                <c:ptCount val="39"/>
                <c:pt idx="0">
                  <c:v>0.45132929226410073</c:v>
                </c:pt>
                <c:pt idx="1">
                  <c:v>0.42679220731266421</c:v>
                </c:pt>
                <c:pt idx="2">
                  <c:v>0.41137549446567073</c:v>
                </c:pt>
                <c:pt idx="3">
                  <c:v>0.39999999999999991</c:v>
                </c:pt>
                <c:pt idx="4">
                  <c:v>0.39094564952521416</c:v>
                </c:pt>
                <c:pt idx="5">
                  <c:v>0.38340879222194152</c:v>
                </c:pt>
                <c:pt idx="6">
                  <c:v>0.37694571915289327</c:v>
                </c:pt>
                <c:pt idx="7">
                  <c:v>0.3712844074131002</c:v>
                </c:pt>
                <c:pt idx="8">
                  <c:v>0.36624555805069098</c:v>
                </c:pt>
                <c:pt idx="9">
                  <c:v>0.36170451516314306</c:v>
                </c:pt>
                <c:pt idx="10">
                  <c:v>0.33118564868260247</c:v>
                </c:pt>
                <c:pt idx="11">
                  <c:v>0.31298202750137355</c:v>
                </c:pt>
                <c:pt idx="12">
                  <c:v>0.3</c:v>
                </c:pt>
                <c:pt idx="13">
                  <c:v>0.28992785166716534</c:v>
                </c:pt>
                <c:pt idx="14">
                  <c:v>0.2817141222462059</c:v>
                </c:pt>
                <c:pt idx="15">
                  <c:v>0.27479041996957865</c:v>
                </c:pt>
                <c:pt idx="16">
                  <c:v>0.2688143513173975</c:v>
                </c:pt>
                <c:pt idx="17">
                  <c:v>0.26356361510548321</c:v>
                </c:pt>
                <c:pt idx="18">
                  <c:v>0.25888569486941848</c:v>
                </c:pt>
                <c:pt idx="19">
                  <c:v>0.25467141798838</c:v>
                </c:pt>
                <c:pt idx="20">
                  <c:v>0.25083996083540416</c:v>
                </c:pt>
                <c:pt idx="21">
                  <c:v>0.2473298240572589</c:v>
                </c:pt>
                <c:pt idx="22">
                  <c:v>0.24409313459436427</c:v>
                </c:pt>
                <c:pt idx="23">
                  <c:v>0.24109190338567646</c:v>
                </c:pt>
                <c:pt idx="24">
                  <c:v>0.23829548483685697</c:v>
                </c:pt>
                <c:pt idx="25">
                  <c:v>0.23567880284871667</c:v>
                </c:pt>
                <c:pt idx="26">
                  <c:v>0.23322108165206479</c:v>
                </c:pt>
                <c:pt idx="27">
                  <c:v>0.23090491837400576</c:v>
                </c:pt>
                <c:pt idx="28">
                  <c:v>0.22871559258689977</c:v>
                </c:pt>
                <c:pt idx="29">
                  <c:v>0.22664054373064499</c:v>
                </c:pt>
                <c:pt idx="30">
                  <c:v>0.22466896972081346</c:v>
                </c:pt>
                <c:pt idx="31">
                  <c:v>0.22279151453084126</c:v>
                </c:pt>
                <c:pt idx="32">
                  <c:v>0.22100002210009947</c:v>
                </c:pt>
                <c:pt idx="33">
                  <c:v>0.21928734037030367</c:v>
                </c:pt>
                <c:pt idx="34">
                  <c:v>0.21764716368582548</c:v>
                </c:pt>
                <c:pt idx="35">
                  <c:v>0.21607390489224851</c:v>
                </c:pt>
                <c:pt idx="36">
                  <c:v>0.21456259066741354</c:v>
                </c:pt>
                <c:pt idx="37">
                  <c:v>0.21310877520328228</c:v>
                </c:pt>
                <c:pt idx="38">
                  <c:v>0.21170846851258687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205-423E-A28F-4EE63AC9941A}"/>
            </c:ext>
          </c:extLst>
        </c:ser>
        <c:ser>
          <c:idx val="1"/>
          <c:order val="1"/>
          <c:tx>
            <c:strRef>
              <c:f>AbgPartitioning!$B$36</c:f>
              <c:strCache>
                <c:ptCount val="1"/>
                <c:pt idx="0">
                  <c:v>woody</c:v>
                </c:pt>
              </c:strCache>
            </c:strRef>
          </c:tx>
          <c:marker>
            <c:symbol val="none"/>
          </c:marker>
          <c:xVal>
            <c:numRef>
              <c:f>AbgPartitioning!$M$38:$M$76</c:f>
              <c:numCache>
                <c:formatCode>General</c:formatCode>
                <c:ptCount val="39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</c:numCache>
            </c:numRef>
          </c:xVal>
          <c:yVal>
            <c:numRef>
              <c:f>AbgPartitioning!$N$38:$N$76</c:f>
              <c:numCache>
                <c:formatCode>General</c:formatCode>
                <c:ptCount val="39"/>
                <c:pt idx="0">
                  <c:v>0.14867070773589913</c:v>
                </c:pt>
                <c:pt idx="1">
                  <c:v>0.1732077926873358</c:v>
                </c:pt>
                <c:pt idx="2">
                  <c:v>0.18862450553432919</c:v>
                </c:pt>
                <c:pt idx="3">
                  <c:v>0.2</c:v>
                </c:pt>
                <c:pt idx="4">
                  <c:v>0.20905435047478577</c:v>
                </c:pt>
                <c:pt idx="5">
                  <c:v>0.21659120777805846</c:v>
                </c:pt>
                <c:pt idx="6">
                  <c:v>0.22305428084710677</c:v>
                </c:pt>
                <c:pt idx="7">
                  <c:v>0.22871559258689977</c:v>
                </c:pt>
                <c:pt idx="8">
                  <c:v>0.23375444194930892</c:v>
                </c:pt>
                <c:pt idx="9">
                  <c:v>0.23829548483685703</c:v>
                </c:pt>
                <c:pt idx="10">
                  <c:v>0.2688143513173975</c:v>
                </c:pt>
                <c:pt idx="11">
                  <c:v>0.28701797249862654</c:v>
                </c:pt>
                <c:pt idx="12">
                  <c:v>0.3</c:v>
                </c:pt>
                <c:pt idx="13">
                  <c:v>0.31007214833283459</c:v>
                </c:pt>
                <c:pt idx="14">
                  <c:v>0.31828587775379402</c:v>
                </c:pt>
                <c:pt idx="15">
                  <c:v>0.32520958003042139</c:v>
                </c:pt>
                <c:pt idx="16">
                  <c:v>0.33118564868260242</c:v>
                </c:pt>
                <c:pt idx="17">
                  <c:v>0.33643638489451672</c:v>
                </c:pt>
                <c:pt idx="18">
                  <c:v>0.3411143051305815</c:v>
                </c:pt>
                <c:pt idx="19">
                  <c:v>0.34532858201161998</c:v>
                </c:pt>
                <c:pt idx="20">
                  <c:v>0.34916003916459587</c:v>
                </c:pt>
                <c:pt idx="21">
                  <c:v>0.35267017594274108</c:v>
                </c:pt>
                <c:pt idx="22">
                  <c:v>0.35590686540563571</c:v>
                </c:pt>
                <c:pt idx="23">
                  <c:v>0.35890809661432355</c:v>
                </c:pt>
                <c:pt idx="24">
                  <c:v>0.36170451516314295</c:v>
                </c:pt>
                <c:pt idx="25">
                  <c:v>0.3643211971512833</c:v>
                </c:pt>
                <c:pt idx="26">
                  <c:v>0.36677891834793525</c:v>
                </c:pt>
                <c:pt idx="27">
                  <c:v>0.36909508162599425</c:v>
                </c:pt>
                <c:pt idx="28">
                  <c:v>0.3712844074131002</c:v>
                </c:pt>
                <c:pt idx="29">
                  <c:v>0.37335945626935502</c:v>
                </c:pt>
                <c:pt idx="30">
                  <c:v>0.37533103027918657</c:v>
                </c:pt>
                <c:pt idx="31">
                  <c:v>0.37720848546915869</c:v>
                </c:pt>
                <c:pt idx="32">
                  <c:v>0.37899997789990053</c:v>
                </c:pt>
                <c:pt idx="33">
                  <c:v>0.3807126596296963</c:v>
                </c:pt>
                <c:pt idx="34">
                  <c:v>0.38235283631417449</c:v>
                </c:pt>
                <c:pt idx="35">
                  <c:v>0.38392609510775144</c:v>
                </c:pt>
                <c:pt idx="36">
                  <c:v>0.38543740933258641</c:v>
                </c:pt>
                <c:pt idx="37">
                  <c:v>0.38689122479671767</c:v>
                </c:pt>
                <c:pt idx="38">
                  <c:v>0.38829153148741313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205-423E-A28F-4EE63AC99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390912"/>
        <c:axId val="264391488"/>
      </c:scatterChart>
      <c:valAx>
        <c:axId val="264390912"/>
        <c:scaling>
          <c:orientation val="minMax"/>
          <c:max val="3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dbh (cm)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64391488"/>
        <c:crosses val="autoZero"/>
        <c:crossBetween val="midCat"/>
      </c:valAx>
      <c:valAx>
        <c:axId val="264391488"/>
        <c:scaling>
          <c:orientation val="minMax"/>
          <c:max val="0.6000000000000000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 baseline="0"/>
                  <a:t>Leaves and woody</a:t>
                </a:r>
                <a:r>
                  <a:rPr lang="en-US" sz="1100"/>
                  <a:t> partitioning</a:t>
                </a:r>
              </a:p>
            </c:rich>
          </c:tx>
          <c:layout>
            <c:manualLayout>
              <c:xMode val="edge"/>
              <c:yMode val="edge"/>
              <c:x val="3.3755234689956559E-2"/>
              <c:y val="0.1518080161854768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64390912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733582123574503"/>
          <c:y val="0.41412674978127728"/>
          <c:w val="0.19487179487179487"/>
          <c:h val="0.11849464129483815"/>
        </c:manualLayout>
      </c:layout>
      <c:overlay val="1"/>
      <c:spPr>
        <a:solidFill>
          <a:schemeClr val="bg1"/>
        </a:solidFill>
      </c:spPr>
    </c:legend>
    <c:plotVisOnly val="1"/>
    <c:dispBlanksAs val="gap"/>
    <c:showDLblsOverMax val="0"/>
  </c:chart>
  <c:spPr>
    <a:ln w="25400"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710341728375764"/>
          <c:y val="7.436347221973108E-2"/>
          <c:w val="0.73961118383775226"/>
          <c:h val="0.7975026937422296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'Litter-fall'!$A$38:$A$47</c:f>
              <c:numCache>
                <c:formatCode>General</c:formatCode>
                <c:ptCount val="10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</c:numCache>
            </c:numRef>
          </c:xVal>
          <c:yVal>
            <c:numRef>
              <c:f>'Litter-fall'!$C$38:$C$47</c:f>
              <c:numCache>
                <c:formatCode>General</c:formatCode>
                <c:ptCount val="10"/>
                <c:pt idx="0">
                  <c:v>1.4891774527195974E-3</c:v>
                </c:pt>
                <c:pt idx="1">
                  <c:v>3.0899888641287288E-3</c:v>
                </c:pt>
                <c:pt idx="2">
                  <c:v>5.5777645471458605E-3</c:v>
                </c:pt>
                <c:pt idx="3">
                  <c:v>8.3756520915356826E-3</c:v>
                </c:pt>
                <c:pt idx="4">
                  <c:v>1.0577007795109887E-2</c:v>
                </c:pt>
                <c:pt idx="5">
                  <c:v>1.1871617340563715E-2</c:v>
                </c:pt>
                <c:pt idx="6">
                  <c:v>1.250677053037845E-2</c:v>
                </c:pt>
                <c:pt idx="7">
                  <c:v>1.2790706523846895E-2</c:v>
                </c:pt>
                <c:pt idx="8">
                  <c:v>1.2912335596251738E-2</c:v>
                </c:pt>
                <c:pt idx="9">
                  <c:v>1.2963482797867023E-2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24A-4F97-A307-08CF938BF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394944"/>
        <c:axId val="264395520"/>
      </c:scatterChart>
      <c:valAx>
        <c:axId val="264394944"/>
        <c:scaling>
          <c:orientation val="minMax"/>
          <c:max val="2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stand age</a:t>
                </a:r>
                <a:r>
                  <a:rPr lang="en-US" baseline="0"/>
                  <a:t> (years)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64395520"/>
        <c:crosses val="autoZero"/>
        <c:crossBetween val="midCat"/>
      </c:valAx>
      <c:valAx>
        <c:axId val="2643955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Litter-fall rate month</a:t>
                </a:r>
                <a:r>
                  <a:rPr lang="en-US" sz="1100" baseline="30000"/>
                  <a:t>-1</a:t>
                </a:r>
              </a:p>
            </c:rich>
          </c:tx>
          <c:layout>
            <c:manualLayout>
              <c:xMode val="edge"/>
              <c:yMode val="edge"/>
              <c:x val="4.037227356505995E-2"/>
              <c:y val="0.2212524606299212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64394944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 w="25400"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710341728375764"/>
          <c:y val="7.436347221973108E-2"/>
          <c:w val="0.73961118383775226"/>
          <c:h val="0.7975026937422296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'Self-thinning'!$A$26:$A$50</c:f>
              <c:numCache>
                <c:formatCode>General</c:formatCode>
                <c:ptCount val="25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  <c:pt idx="9">
                  <c:v>2000</c:v>
                </c:pt>
                <c:pt idx="10">
                  <c:v>2200</c:v>
                </c:pt>
                <c:pt idx="11">
                  <c:v>2400</c:v>
                </c:pt>
                <c:pt idx="12">
                  <c:v>2600</c:v>
                </c:pt>
                <c:pt idx="13">
                  <c:v>2800</c:v>
                </c:pt>
                <c:pt idx="14">
                  <c:v>3000</c:v>
                </c:pt>
                <c:pt idx="15">
                  <c:v>3200</c:v>
                </c:pt>
                <c:pt idx="16">
                  <c:v>3400</c:v>
                </c:pt>
                <c:pt idx="17">
                  <c:v>3600</c:v>
                </c:pt>
                <c:pt idx="18">
                  <c:v>3800</c:v>
                </c:pt>
                <c:pt idx="19">
                  <c:v>4000</c:v>
                </c:pt>
                <c:pt idx="20">
                  <c:v>4200</c:v>
                </c:pt>
                <c:pt idx="21">
                  <c:v>4400</c:v>
                </c:pt>
                <c:pt idx="22">
                  <c:v>4600</c:v>
                </c:pt>
                <c:pt idx="23">
                  <c:v>4800</c:v>
                </c:pt>
                <c:pt idx="24">
                  <c:v>5000</c:v>
                </c:pt>
              </c:numCache>
            </c:numRef>
          </c:xVal>
          <c:yVal>
            <c:numRef>
              <c:f>'Self-thinning'!$C$26:$C$50</c:f>
              <c:numCache>
                <c:formatCode>General</c:formatCode>
                <c:ptCount val="25"/>
                <c:pt idx="0">
                  <c:v>877.20532146385972</c:v>
                </c:pt>
                <c:pt idx="1">
                  <c:v>552.60472479605801</c:v>
                </c:pt>
                <c:pt idx="2">
                  <c:v>421.71633265087462</c:v>
                </c:pt>
                <c:pt idx="3">
                  <c:v>348.11916252095847</c:v>
                </c:pt>
                <c:pt idx="4">
                  <c:v>300</c:v>
                </c:pt>
                <c:pt idx="5">
                  <c:v>265.66464229565275</c:v>
                </c:pt>
                <c:pt idx="6">
                  <c:v>239.71905901744216</c:v>
                </c:pt>
                <c:pt idx="7">
                  <c:v>219.30133036596496</c:v>
                </c:pt>
                <c:pt idx="8">
                  <c:v>202.74006651911333</c:v>
                </c:pt>
                <c:pt idx="9">
                  <c:v>188.98815748423098</c:v>
                </c:pt>
                <c:pt idx="10">
                  <c:v>177.35337911609821</c:v>
                </c:pt>
                <c:pt idx="11">
                  <c:v>167.35823752054242</c:v>
                </c:pt>
                <c:pt idx="12">
                  <c:v>158.66179235470861</c:v>
                </c:pt>
                <c:pt idx="13">
                  <c:v>151.01354425853341</c:v>
                </c:pt>
                <c:pt idx="14">
                  <c:v>144.22495703074082</c:v>
                </c:pt>
                <c:pt idx="15">
                  <c:v>138.1511811990145</c:v>
                </c:pt>
                <c:pt idx="16">
                  <c:v>132.67893495926248</c:v>
                </c:pt>
                <c:pt idx="17">
                  <c:v>127.71823873225887</c:v>
                </c:pt>
                <c:pt idx="18">
                  <c:v>123.19663821378037</c:v>
                </c:pt>
                <c:pt idx="19">
                  <c:v>119.05507889761496</c:v>
                </c:pt>
                <c:pt idx="20">
                  <c:v>115.24490328746741</c:v>
                </c:pt>
                <c:pt idx="21">
                  <c:v>111.72562780917897</c:v>
                </c:pt>
                <c:pt idx="22">
                  <c:v>108.4632716635282</c:v>
                </c:pt>
                <c:pt idx="23">
                  <c:v>105.42908316271867</c:v>
                </c:pt>
                <c:pt idx="24">
                  <c:v>102.59855680060184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CA4-4AAB-AE2F-EE89A2C88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6946240"/>
        <c:axId val="266946816"/>
      </c:scatterChart>
      <c:valAx>
        <c:axId val="266946240"/>
        <c:scaling>
          <c:orientation val="minMax"/>
          <c:max val="5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stand density (N</a:t>
                </a:r>
                <a:r>
                  <a:rPr lang="en-US" baseline="0"/>
                  <a:t>)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66946816"/>
        <c:crosses val="autoZero"/>
        <c:crossBetween val="midCat"/>
      </c:valAx>
      <c:valAx>
        <c:axId val="2669468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Average tree woody biomass (kg)</a:t>
                </a:r>
                <a:endParaRPr lang="en-US" sz="1100" baseline="30000"/>
              </a:p>
            </c:rich>
          </c:tx>
          <c:layout>
            <c:manualLayout>
              <c:xMode val="edge"/>
              <c:yMode val="edge"/>
              <c:x val="3.0446715252404864E-2"/>
              <c:y val="0.1622246828521434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66946240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 w="25400"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710341728375764"/>
          <c:y val="7.436347221973108E-2"/>
          <c:w val="0.73961118383775226"/>
          <c:h val="0.7975026937422296"/>
        </c:manualLayout>
      </c:layout>
      <c:scatterChart>
        <c:scatterStyle val="lineMarker"/>
        <c:varyColors val="0"/>
        <c:ser>
          <c:idx val="0"/>
          <c:order val="0"/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StomatalConductance!$A$33:$A$45</c:f>
              <c:numCache>
                <c:formatCode>General</c:formatCode>
                <c:ptCount val="1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</c:numCache>
            </c:numRef>
          </c:xVal>
          <c:yVal>
            <c:numRef>
              <c:f>StomatalConductance!$B$33:$B$45</c:f>
              <c:numCache>
                <c:formatCode>General</c:formatCode>
                <c:ptCount val="13"/>
                <c:pt idx="0">
                  <c:v>0</c:v>
                </c:pt>
                <c:pt idx="1">
                  <c:v>3.003003003003003E-3</c:v>
                </c:pt>
                <c:pt idx="2">
                  <c:v>6.006006006006006E-3</c:v>
                </c:pt>
                <c:pt idx="3">
                  <c:v>9.0090090090090089E-3</c:v>
                </c:pt>
                <c:pt idx="4">
                  <c:v>1.2012012012012012E-2</c:v>
                </c:pt>
                <c:pt idx="5">
                  <c:v>1.5015015015015015E-2</c:v>
                </c:pt>
                <c:pt idx="6">
                  <c:v>1.8018018018018018E-2</c:v>
                </c:pt>
                <c:pt idx="7">
                  <c:v>0.02</c:v>
                </c:pt>
                <c:pt idx="8">
                  <c:v>0.02</c:v>
                </c:pt>
                <c:pt idx="9">
                  <c:v>0.02</c:v>
                </c:pt>
                <c:pt idx="10">
                  <c:v>0.02</c:v>
                </c:pt>
                <c:pt idx="11">
                  <c:v>0.02</c:v>
                </c:pt>
                <c:pt idx="12">
                  <c:v>0.02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404-40DA-89A4-9DFD46FED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6947392"/>
        <c:axId val="266947968"/>
      </c:scatterChart>
      <c:valAx>
        <c:axId val="266947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Canopy LAI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66947968"/>
        <c:crosses val="autoZero"/>
        <c:crossBetween val="midCat"/>
      </c:valAx>
      <c:valAx>
        <c:axId val="2669479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Canopy conductance (m s</a:t>
                </a:r>
                <a:r>
                  <a:rPr lang="en-US" sz="1100" baseline="30000"/>
                  <a:t>-1</a:t>
                </a:r>
                <a:r>
                  <a:rPr lang="en-US" sz="1100"/>
                  <a:t>)</a:t>
                </a:r>
                <a:endParaRPr lang="en-US" sz="1100" baseline="30000"/>
              </a:p>
            </c:rich>
          </c:tx>
          <c:layout>
            <c:manualLayout>
              <c:xMode val="edge"/>
              <c:yMode val="edge"/>
              <c:x val="3.0446715252404864E-2"/>
              <c:y val="0.1622246828521434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66947392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 w="25400"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50584183306202"/>
          <c:y val="5.6140350877192984E-2"/>
          <c:w val="0.74622833538212785"/>
          <c:h val="0.7975026937422296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RadIntercept!$B$37:$B$49</c:f>
              <c:numCache>
                <c:formatCode>General</c:formatCode>
                <c:ptCount val="1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</c:numCache>
            </c:numRef>
          </c:xVal>
          <c:yVal>
            <c:numRef>
              <c:f>RadIntercept!$D$37:$D$49</c:f>
              <c:numCache>
                <c:formatCode>General</c:formatCode>
                <c:ptCount val="13"/>
                <c:pt idx="0">
                  <c:v>0</c:v>
                </c:pt>
                <c:pt idx="1">
                  <c:v>22.119921692859513</c:v>
                </c:pt>
                <c:pt idx="2">
                  <c:v>39.346934028736655</c:v>
                </c:pt>
                <c:pt idx="3">
                  <c:v>52.763344725898534</c:v>
                </c:pt>
                <c:pt idx="4">
                  <c:v>63.212055882855765</c:v>
                </c:pt>
                <c:pt idx="5">
                  <c:v>71.349520313980989</c:v>
                </c:pt>
                <c:pt idx="6">
                  <c:v>77.686983985157028</c:v>
                </c:pt>
                <c:pt idx="7">
                  <c:v>82.622605654955478</c:v>
                </c:pt>
                <c:pt idx="8">
                  <c:v>86.466471676338728</c:v>
                </c:pt>
                <c:pt idx="9">
                  <c:v>89.460077543813568</c:v>
                </c:pt>
                <c:pt idx="10">
                  <c:v>91.791500137610115</c:v>
                </c:pt>
                <c:pt idx="11">
                  <c:v>93.607213879329237</c:v>
                </c:pt>
                <c:pt idx="12">
                  <c:v>95.021293163213599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261-45E0-AB68-7EDA537FD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057088"/>
        <c:axId val="235057664"/>
      </c:scatterChart>
      <c:valAx>
        <c:axId val="235057088"/>
        <c:scaling>
          <c:orientation val="minMax"/>
          <c:max val="6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Leaf area index - LAI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5057664"/>
        <c:crosses val="autoZero"/>
        <c:crossBetween val="midCat"/>
      </c:valAx>
      <c:valAx>
        <c:axId val="2350576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Intercepted radiation - Qint (%)</a:t>
                </a:r>
              </a:p>
            </c:rich>
          </c:tx>
          <c:layout>
            <c:manualLayout>
              <c:xMode val="edge"/>
              <c:yMode val="edge"/>
              <c:x val="3.3755274261603373E-2"/>
              <c:y val="0.1405846111341345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35057088"/>
        <c:crosses val="autoZero"/>
        <c:crossBetween val="midCat"/>
      </c:valAx>
    </c:plotArea>
    <c:plotVisOnly val="1"/>
    <c:dispBlanksAs val="gap"/>
    <c:showDLblsOverMax val="0"/>
  </c:chart>
  <c:spPr>
    <a:ln w="25400"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50584183306202"/>
          <c:y val="5.6140350877192984E-2"/>
          <c:w val="0.74622833538212785"/>
          <c:h val="0.7975026937422296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fT!$A$36:$A$64</c:f>
              <c:numCache>
                <c:formatCode>General</c:formatCode>
                <c:ptCount val="2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</c:numCache>
            </c:numRef>
          </c:xVal>
          <c:yVal>
            <c:numRef>
              <c:f>fT!$B$36:$B$64</c:f>
              <c:numCache>
                <c:formatCode>General</c:formatCode>
                <c:ptCount val="29"/>
                <c:pt idx="0">
                  <c:v>0</c:v>
                </c:pt>
                <c:pt idx="1">
                  <c:v>0.21474668853934475</c:v>
                </c:pt>
                <c:pt idx="2">
                  <c:v>0.39891738504753754</c:v>
                </c:pt>
                <c:pt idx="3">
                  <c:v>0.55447547267583852</c:v>
                </c:pt>
                <c:pt idx="4">
                  <c:v>0.68335129621454882</c:v>
                </c:pt>
                <c:pt idx="5">
                  <c:v>0.78744135458199283</c:v>
                </c:pt>
                <c:pt idx="6">
                  <c:v>0.86860744106822652</c:v>
                </c:pt>
                <c:pt idx="7">
                  <c:v>0.92867572580504387</c:v>
                </c:pt>
                <c:pt idx="8">
                  <c:v>0.96943577411141701</c:v>
                </c:pt>
                <c:pt idx="9">
                  <c:v>0.99263949338129465</c:v>
                </c:pt>
                <c:pt idx="10">
                  <c:v>1</c:v>
                </c:pt>
                <c:pt idx="11">
                  <c:v>0.99319039634604955</c:v>
                </c:pt>
                <c:pt idx="12">
                  <c:v>0.97384244619141702</c:v>
                </c:pt>
                <c:pt idx="13">
                  <c:v>0.94354513466836643</c:v>
                </c:pt>
                <c:pt idx="14">
                  <c:v>0.90384309630888815</c:v>
                </c:pt>
                <c:pt idx="15">
                  <c:v>0.85623489132655406</c:v>
                </c:pt>
                <c:pt idx="16">
                  <c:v>0.80217110608470166</c:v>
                </c:pt>
                <c:pt idx="17">
                  <c:v>0.74305224827919492</c:v>
                </c:pt>
                <c:pt idx="18">
                  <c:v>0.68022640033375514</c:v>
                </c:pt>
                <c:pt idx="19">
                  <c:v>0.61498658524863026</c:v>
                </c:pt>
                <c:pt idx="20">
                  <c:v>0.5485677867588814</c:v>
                </c:pt>
                <c:pt idx="21">
                  <c:v>0.48214354879310389</c:v>
                </c:pt>
                <c:pt idx="22">
                  <c:v>0.41682205579035947</c:v>
                </c:pt>
                <c:pt idx="23">
                  <c:v>0.35364156212350889</c:v>
                </c:pt>
                <c:pt idx="24">
                  <c:v>0.29356499027173616</c:v>
                </c:pt>
                <c:pt idx="25">
                  <c:v>0.23747344427120165</c:v>
                </c:pt>
                <c:pt idx="26">
                  <c:v>0.18615827099342899</c:v>
                </c:pt>
                <c:pt idx="27">
                  <c:v>0.14031111637873911</c:v>
                </c:pt>
                <c:pt idx="28">
                  <c:v>0.10051110606224056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413-45BD-B0EB-0FE5CEB9E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059392"/>
        <c:axId val="235059968"/>
      </c:scatterChart>
      <c:valAx>
        <c:axId val="235059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 (ºC)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5059968"/>
        <c:crosses val="autoZero"/>
        <c:crossBetween val="midCat"/>
      </c:valAx>
      <c:valAx>
        <c:axId val="2350599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Temperature modifier</a:t>
                </a:r>
              </a:p>
            </c:rich>
          </c:tx>
          <c:layout>
            <c:manualLayout>
              <c:xMode val="edge"/>
              <c:yMode val="edge"/>
              <c:x val="3.3755264994182889E-2"/>
              <c:y val="0.268147244692363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35059392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 w="25400"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50584183306202"/>
          <c:y val="5.6140350877192984E-2"/>
          <c:w val="0.74622833538212785"/>
          <c:h val="0.7975026937422296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fF!$A$34:$A$62</c:f>
              <c:numCache>
                <c:formatCode>General</c:formatCode>
                <c:ptCount val="2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xVal>
          <c:yVal>
            <c:numRef>
              <c:f>fF!$B$34:$B$62</c:f>
              <c:numCache>
                <c:formatCode>General</c:formatCode>
                <c:ptCount val="29"/>
                <c:pt idx="0">
                  <c:v>1</c:v>
                </c:pt>
                <c:pt idx="1">
                  <c:v>0.96666666666666667</c:v>
                </c:pt>
                <c:pt idx="2">
                  <c:v>0.93333333333333335</c:v>
                </c:pt>
                <c:pt idx="3">
                  <c:v>0.9</c:v>
                </c:pt>
                <c:pt idx="4">
                  <c:v>0.8666666666666667</c:v>
                </c:pt>
                <c:pt idx="5">
                  <c:v>0.83333333333333337</c:v>
                </c:pt>
                <c:pt idx="6">
                  <c:v>0.8</c:v>
                </c:pt>
                <c:pt idx="7">
                  <c:v>0.76666666666666661</c:v>
                </c:pt>
                <c:pt idx="8">
                  <c:v>0.73333333333333339</c:v>
                </c:pt>
                <c:pt idx="9">
                  <c:v>0.7</c:v>
                </c:pt>
                <c:pt idx="10">
                  <c:v>0.66666666666666674</c:v>
                </c:pt>
                <c:pt idx="11">
                  <c:v>0.6333333333333333</c:v>
                </c:pt>
                <c:pt idx="12">
                  <c:v>0.6</c:v>
                </c:pt>
                <c:pt idx="13">
                  <c:v>0.56666666666666665</c:v>
                </c:pt>
                <c:pt idx="14">
                  <c:v>0.53333333333333333</c:v>
                </c:pt>
                <c:pt idx="15">
                  <c:v>0.5</c:v>
                </c:pt>
                <c:pt idx="16">
                  <c:v>0.46666666666666667</c:v>
                </c:pt>
                <c:pt idx="17">
                  <c:v>0.43333333333333335</c:v>
                </c:pt>
                <c:pt idx="18">
                  <c:v>0.4</c:v>
                </c:pt>
                <c:pt idx="19">
                  <c:v>0.3666666666666667</c:v>
                </c:pt>
                <c:pt idx="20">
                  <c:v>0.33333333333333337</c:v>
                </c:pt>
                <c:pt idx="21">
                  <c:v>0.30000000000000004</c:v>
                </c:pt>
                <c:pt idx="22">
                  <c:v>0.26666666666666672</c:v>
                </c:pt>
                <c:pt idx="23">
                  <c:v>0.23333333333333328</c:v>
                </c:pt>
                <c:pt idx="24">
                  <c:v>0.19999999999999996</c:v>
                </c:pt>
                <c:pt idx="25">
                  <c:v>0.16666666666666663</c:v>
                </c:pt>
                <c:pt idx="26">
                  <c:v>0.1333333333333333</c:v>
                </c:pt>
                <c:pt idx="27">
                  <c:v>9.9999999999999978E-2</c:v>
                </c:pt>
                <c:pt idx="28">
                  <c:v>6.6666666666666652E-2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F77-4A47-B9C4-94253BA9A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036672"/>
        <c:axId val="236037248"/>
      </c:scatterChart>
      <c:valAx>
        <c:axId val="236036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Days of frost in the month)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6037248"/>
        <c:crosses val="autoZero"/>
        <c:crossBetween val="midCat"/>
      </c:valAx>
      <c:valAx>
        <c:axId val="2360372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Frost modifier</a:t>
                </a:r>
              </a:p>
            </c:rich>
          </c:tx>
          <c:layout>
            <c:manualLayout>
              <c:xMode val="edge"/>
              <c:yMode val="edge"/>
              <c:x val="3.3755264994182889E-2"/>
              <c:y val="0.3288913601061826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36036672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 w="25400"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50584183306202"/>
          <c:y val="5.6140350877192984E-2"/>
          <c:w val="0.74622833538212785"/>
          <c:h val="0.79750269374222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fSW!$B$35</c:f>
              <c:strCache>
                <c:ptCount val="1"/>
                <c:pt idx="0">
                  <c:v>1 sandy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fSW!$A$36:$A$64</c:f>
              <c:numCache>
                <c:formatCode>General</c:formatCode>
                <c:ptCount val="29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</c:numCache>
            </c:numRef>
          </c:xVal>
          <c:yVal>
            <c:numRef>
              <c:f>fSW!$B$36:$B$64</c:f>
              <c:numCache>
                <c:formatCode>General</c:formatCode>
                <c:ptCount val="29"/>
                <c:pt idx="0">
                  <c:v>3.8788356889889686E-2</c:v>
                </c:pt>
                <c:pt idx="1">
                  <c:v>6.017510508243315E-2</c:v>
                </c:pt>
                <c:pt idx="2">
                  <c:v>9.4333919181492559E-2</c:v>
                </c:pt>
                <c:pt idx="3">
                  <c:v>0.14837491233096764</c:v>
                </c:pt>
                <c:pt idx="4">
                  <c:v>0.23115826547353849</c:v>
                </c:pt>
                <c:pt idx="5">
                  <c:v>0.34956863839251839</c:v>
                </c:pt>
                <c:pt idx="6">
                  <c:v>0.50000000000000022</c:v>
                </c:pt>
                <c:pt idx="7">
                  <c:v>0.66082475195701107</c:v>
                </c:pt>
                <c:pt idx="8">
                  <c:v>0.80016982706157713</c:v>
                </c:pt>
                <c:pt idx="9">
                  <c:v>0.89756513067671695</c:v>
                </c:pt>
                <c:pt idx="10">
                  <c:v>0.95383417939253734</c:v>
                </c:pt>
                <c:pt idx="11">
                  <c:v>0.98159388595971708</c:v>
                </c:pt>
                <c:pt idx="12">
                  <c:v>0.99354575519236366</c:v>
                </c:pt>
                <c:pt idx="13">
                  <c:v>0.99805068226120852</c:v>
                </c:pt>
                <c:pt idx="14">
                  <c:v>0.99951247470790716</c:v>
                </c:pt>
                <c:pt idx="15">
                  <c:v>0.99990547718101908</c:v>
                </c:pt>
                <c:pt idx="16">
                  <c:v>0.99998731232368121</c:v>
                </c:pt>
                <c:pt idx="17">
                  <c:v>0.99999904733862455</c:v>
                </c:pt>
                <c:pt idx="18">
                  <c:v>0.99999997521906847</c:v>
                </c:pt>
                <c:pt idx="19">
                  <c:v>0.99999999995159983</c:v>
                </c:pt>
                <c:pt idx="2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81D-42B1-A5BE-F59467366D21}"/>
            </c:ext>
          </c:extLst>
        </c:ser>
        <c:ser>
          <c:idx val="1"/>
          <c:order val="1"/>
          <c:tx>
            <c:strRef>
              <c:f>fSW!$C$35</c:f>
              <c:strCache>
                <c:ptCount val="1"/>
                <c:pt idx="0">
                  <c:v>2 sandyloam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ymbol val="none"/>
          </c:marker>
          <c:xVal>
            <c:numRef>
              <c:f>fSW!$A$36:$A$56</c:f>
              <c:numCache>
                <c:formatCode>General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</c:numCache>
            </c:numRef>
          </c:xVal>
          <c:yVal>
            <c:numRef>
              <c:f>fSW!$C$36:$C$56</c:f>
              <c:numCache>
                <c:formatCode>General</c:formatCode>
                <c:ptCount val="21"/>
                <c:pt idx="0">
                  <c:v>2.7231297938041656E-2</c:v>
                </c:pt>
                <c:pt idx="1">
                  <c:v>3.8541111428071227E-2</c:v>
                </c:pt>
                <c:pt idx="2">
                  <c:v>5.5291576673866159E-2</c:v>
                </c:pt>
                <c:pt idx="3">
                  <c:v>8.0309678757075856E-2</c:v>
                </c:pt>
                <c:pt idx="4">
                  <c:v>0.11776425609821767</c:v>
                </c:pt>
                <c:pt idx="5">
                  <c:v>0.17335915098033006</c:v>
                </c:pt>
                <c:pt idx="6">
                  <c:v>0.25368493646005064</c:v>
                </c:pt>
                <c:pt idx="7">
                  <c:v>0.36347829041951335</c:v>
                </c:pt>
                <c:pt idx="8">
                  <c:v>0.5</c:v>
                </c:pt>
                <c:pt idx="9">
                  <c:v>0.64773082670235116</c:v>
                </c:pt>
                <c:pt idx="10">
                  <c:v>0.78181092048561562</c:v>
                </c:pt>
                <c:pt idx="11">
                  <c:v>0.88223574390178239</c:v>
                </c:pt>
                <c:pt idx="12">
                  <c:v>0.94470842332613392</c:v>
                </c:pt>
                <c:pt idx="13">
                  <c:v>0.97753280278232779</c:v>
                </c:pt>
                <c:pt idx="14">
                  <c:v>0.99224806201550386</c:v>
                </c:pt>
                <c:pt idx="15">
                  <c:v>0.99782441810737998</c:v>
                </c:pt>
                <c:pt idx="16">
                  <c:v>0.9995429616087752</c:v>
                </c:pt>
                <c:pt idx="17">
                  <c:v>0.99993896856881292</c:v>
                </c:pt>
                <c:pt idx="18">
                  <c:v>0.99999642776767628</c:v>
                </c:pt>
                <c:pt idx="19">
                  <c:v>0.99999997209183611</c:v>
                </c:pt>
                <c:pt idx="2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81D-42B1-A5BE-F59467366D21}"/>
            </c:ext>
          </c:extLst>
        </c:ser>
        <c:ser>
          <c:idx val="2"/>
          <c:order val="2"/>
          <c:tx>
            <c:strRef>
              <c:f>fSW!$D$35</c:f>
              <c:strCache>
                <c:ptCount val="1"/>
                <c:pt idx="0">
                  <c:v>3 clayloam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fSW!$A$36:$A$56</c:f>
              <c:numCache>
                <c:formatCode>General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</c:numCache>
            </c:numRef>
          </c:xVal>
          <c:yVal>
            <c:numRef>
              <c:f>fSW!$D$36:$D$56</c:f>
              <c:numCache>
                <c:formatCode>General</c:formatCode>
                <c:ptCount val="21"/>
                <c:pt idx="0">
                  <c:v>3.0303030303030304E-2</c:v>
                </c:pt>
                <c:pt idx="1">
                  <c:v>3.8818383920804285E-2</c:v>
                </c:pt>
                <c:pt idx="2">
                  <c:v>5.0262167465500031E-2</c:v>
                </c:pt>
                <c:pt idx="3">
                  <c:v>6.5795663670990115E-2</c:v>
                </c:pt>
                <c:pt idx="4">
                  <c:v>8.7064330092218492E-2</c:v>
                </c:pt>
                <c:pt idx="5">
                  <c:v>0.11636363636363636</c:v>
                </c:pt>
                <c:pt idx="6">
                  <c:v>0.15678306241220152</c:v>
                </c:pt>
                <c:pt idx="7">
                  <c:v>0.21218223058691724</c:v>
                </c:pt>
                <c:pt idx="8">
                  <c:v>0.28667094761948431</c:v>
                </c:pt>
                <c:pt idx="9">
                  <c:v>0.38306691029722151</c:v>
                </c:pt>
                <c:pt idx="10">
                  <c:v>0.5</c:v>
                </c:pt>
                <c:pt idx="11">
                  <c:v>0.62873705587586204</c:v>
                </c:pt>
                <c:pt idx="12">
                  <c:v>0.75319354061219557</c:v>
                </c:pt>
                <c:pt idx="13">
                  <c:v>0.85611307541500081</c:v>
                </c:pt>
                <c:pt idx="14">
                  <c:v>0.92785035629453694</c:v>
                </c:pt>
                <c:pt idx="15">
                  <c:v>0.96969696969696972</c:v>
                </c:pt>
                <c:pt idx="16">
                  <c:v>0.98986379474184349</c:v>
                </c:pt>
                <c:pt idx="17">
                  <c:v>0.99757589058587637</c:v>
                </c:pt>
                <c:pt idx="18">
                  <c:v>0.99968010236724236</c:v>
                </c:pt>
                <c:pt idx="19">
                  <c:v>0.99999000009999894</c:v>
                </c:pt>
                <c:pt idx="2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81D-42B1-A5BE-F59467366D21}"/>
            </c:ext>
          </c:extLst>
        </c:ser>
        <c:ser>
          <c:idx val="3"/>
          <c:order val="3"/>
          <c:tx>
            <c:strRef>
              <c:f>fSW!$E$35</c:f>
              <c:strCache>
                <c:ptCount val="1"/>
                <c:pt idx="0">
                  <c:v>other</c:v>
                </c:pt>
              </c:strCache>
            </c:strRef>
          </c:tx>
          <c:spPr>
            <a:ln>
              <a:solidFill>
                <a:srgbClr val="663300"/>
              </a:solidFill>
            </a:ln>
          </c:spPr>
          <c:marker>
            <c:symbol val="none"/>
          </c:marker>
          <c:xVal>
            <c:numRef>
              <c:f>fSW!$A$36:$A$56</c:f>
              <c:numCache>
                <c:formatCode>General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</c:numCache>
            </c:numRef>
          </c:xVal>
          <c:yVal>
            <c:numRef>
              <c:f>fSW!$E$36:$E$56</c:f>
              <c:numCache>
                <c:formatCode>General</c:formatCode>
                <c:ptCount val="21"/>
                <c:pt idx="0">
                  <c:v>6.0150375939849621E-2</c:v>
                </c:pt>
                <c:pt idx="1">
                  <c:v>6.9461402794736157E-2</c:v>
                </c:pt>
                <c:pt idx="2">
                  <c:v>8.0706179066834804E-2</c:v>
                </c:pt>
                <c:pt idx="3">
                  <c:v>9.4377880184331797E-2</c:v>
                </c:pt>
                <c:pt idx="4">
                  <c:v>0.1111111111111111</c:v>
                </c:pt>
                <c:pt idx="5">
                  <c:v>0.13172112168767688</c:v>
                </c:pt>
                <c:pt idx="6">
                  <c:v>0.15724815724815733</c:v>
                </c:pt>
                <c:pt idx="7">
                  <c:v>0.18899963086009597</c:v>
                </c:pt>
                <c:pt idx="8">
                  <c:v>0.22857142857142848</c:v>
                </c:pt>
                <c:pt idx="9">
                  <c:v>0.27780792186652198</c:v>
                </c:pt>
                <c:pt idx="10">
                  <c:v>0.33862433862433861</c:v>
                </c:pt>
                <c:pt idx="11">
                  <c:v>0.41257050765511682</c:v>
                </c:pt>
                <c:pt idx="12">
                  <c:v>0.5</c:v>
                </c:pt>
                <c:pt idx="13">
                  <c:v>0.59883040935672527</c:v>
                </c:pt>
                <c:pt idx="14">
                  <c:v>0.70329670329670346</c:v>
                </c:pt>
                <c:pt idx="15">
                  <c:v>0.80376766091051832</c:v>
                </c:pt>
                <c:pt idx="16">
                  <c:v>0.88888888888888928</c:v>
                </c:pt>
                <c:pt idx="17">
                  <c:v>0.94990723562152157</c:v>
                </c:pt>
                <c:pt idx="18">
                  <c:v>0.98461538461538478</c:v>
                </c:pt>
                <c:pt idx="19">
                  <c:v>0.99805068226120852</c:v>
                </c:pt>
                <c:pt idx="2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81D-42B1-A5BE-F59467366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038976"/>
        <c:axId val="236039552"/>
      </c:scatterChart>
      <c:valAx>
        <c:axId val="236038976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Relative available soil water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6039552"/>
        <c:crosses val="autoZero"/>
        <c:crossBetween val="midCat"/>
      </c:valAx>
      <c:valAx>
        <c:axId val="2360395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Soil water modifier</a:t>
                </a:r>
              </a:p>
            </c:rich>
          </c:tx>
          <c:layout>
            <c:manualLayout>
              <c:xMode val="edge"/>
              <c:yMode val="edge"/>
              <c:x val="3.3755264994182889E-2"/>
              <c:y val="0.2438495985268356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36038976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403061620062079"/>
          <c:y val="0.62717844779653109"/>
          <c:w val="0.24181316329262639"/>
          <c:h val="0.20729814240190364"/>
        </c:manualLayout>
      </c:layout>
      <c:overlay val="1"/>
      <c:spPr>
        <a:solidFill>
          <a:schemeClr val="bg1"/>
        </a:solidFill>
      </c:spPr>
    </c:legend>
    <c:plotVisOnly val="1"/>
    <c:dispBlanksAs val="gap"/>
    <c:showDLblsOverMax val="0"/>
  </c:chart>
  <c:spPr>
    <a:ln w="25400"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250584183306202"/>
          <c:y val="5.6140350877192984E-2"/>
          <c:w val="0.74622833538212785"/>
          <c:h val="0.79750269374222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fVPD!$B$33</c:f>
              <c:strCache>
                <c:ptCount val="1"/>
                <c:pt idx="0">
                  <c:v>kD=0.05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fVPD!$A$34:$A$43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fVPD!$B$34:$B$43</c:f>
              <c:numCache>
                <c:formatCode>General</c:formatCode>
                <c:ptCount val="10"/>
                <c:pt idx="0">
                  <c:v>1</c:v>
                </c:pt>
                <c:pt idx="1">
                  <c:v>0.95122942450071402</c:v>
                </c:pt>
                <c:pt idx="2">
                  <c:v>0.90483741803595952</c:v>
                </c:pt>
                <c:pt idx="3">
                  <c:v>0.86070797642505781</c:v>
                </c:pt>
                <c:pt idx="4">
                  <c:v>0.81873075307798182</c:v>
                </c:pt>
                <c:pt idx="5">
                  <c:v>0.77880078307140488</c:v>
                </c:pt>
                <c:pt idx="6">
                  <c:v>0.74081822068171788</c:v>
                </c:pt>
                <c:pt idx="7">
                  <c:v>0.70468808971871344</c:v>
                </c:pt>
                <c:pt idx="8">
                  <c:v>0.67032004603563933</c:v>
                </c:pt>
                <c:pt idx="9">
                  <c:v>0.63762815162177333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179-40B9-956C-203BD07BC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041856"/>
        <c:axId val="236042432"/>
      </c:scatterChart>
      <c:valAx>
        <c:axId val="236041856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Vapour pressure deficit (mBar)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6042432"/>
        <c:crosses val="autoZero"/>
        <c:crossBetween val="midCat"/>
      </c:valAx>
      <c:valAx>
        <c:axId val="2360424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VPD modifier</a:t>
                </a:r>
              </a:p>
            </c:rich>
          </c:tx>
          <c:layout>
            <c:manualLayout>
              <c:xMode val="edge"/>
              <c:yMode val="edge"/>
              <c:x val="3.3755264994182889E-2"/>
              <c:y val="0.3288913601061826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36041856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5955359921668346"/>
          <c:y val="0.61987360919292833"/>
          <c:w val="0.18834034820069365"/>
          <c:h val="5.182453560047591E-2"/>
        </c:manualLayout>
      </c:layout>
      <c:overlay val="1"/>
    </c:legend>
    <c:plotVisOnly val="1"/>
    <c:dispBlanksAs val="gap"/>
    <c:showDLblsOverMax val="0"/>
  </c:chart>
  <c:spPr>
    <a:ln w="25400"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4011722951432"/>
          <c:y val="7.436347221973108E-2"/>
          <c:w val="0.74622833538212785"/>
          <c:h val="0.79750269374222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fage!$C$36</c:f>
              <c:strCache>
                <c:ptCount val="1"/>
                <c:pt idx="0">
                  <c:v>0.95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ymbol val="none"/>
          </c:marker>
          <c:xVal>
            <c:numRef>
              <c:f>fage!$B$38:$B$48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fage!$C$38:$C$48</c:f>
              <c:numCache>
                <c:formatCode>General</c:formatCode>
                <c:ptCount val="11"/>
                <c:pt idx="0">
                  <c:v>1</c:v>
                </c:pt>
                <c:pt idx="1">
                  <c:v>0.99987724130523192</c:v>
                </c:pt>
                <c:pt idx="2">
                  <c:v>0.99803947096349288</c:v>
                </c:pt>
                <c:pt idx="3">
                  <c:v>0.99015324768077062</c:v>
                </c:pt>
                <c:pt idx="4">
                  <c:v>0.96952766391155876</c:v>
                </c:pt>
                <c:pt idx="5">
                  <c:v>0.92873482942681418</c:v>
                </c:pt>
                <c:pt idx="6">
                  <c:v>0.86272731485465759</c:v>
                </c:pt>
                <c:pt idx="7">
                  <c:v>0.77233209076847398</c:v>
                </c:pt>
                <c:pt idx="8">
                  <c:v>0.66538852325931663</c:v>
                </c:pt>
                <c:pt idx="9">
                  <c:v>0.55385746524605062</c:v>
                </c:pt>
                <c:pt idx="10">
                  <c:v>0.44888588837872567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ECB-42A5-84F8-2C36305EBE62}"/>
            </c:ext>
          </c:extLst>
        </c:ser>
        <c:ser>
          <c:idx val="1"/>
          <c:order val="1"/>
          <c:tx>
            <c:strRef>
              <c:f>fage!$D$36</c:f>
              <c:strCache>
                <c:ptCount val="1"/>
                <c:pt idx="0">
                  <c:v>0.85</c:v>
                </c:pt>
              </c:strCache>
            </c:strRef>
          </c:tx>
          <c:spPr>
            <a:ln>
              <a:solidFill>
                <a:srgbClr val="CCCC00"/>
              </a:solidFill>
            </a:ln>
          </c:spPr>
          <c:marker>
            <c:symbol val="none"/>
          </c:marker>
          <c:xVal>
            <c:numRef>
              <c:f>fage!$B$38:$B$48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fage!$D$38:$D$48</c:f>
              <c:numCache>
                <c:formatCode>General</c:formatCode>
                <c:ptCount val="11"/>
                <c:pt idx="0">
                  <c:v>1</c:v>
                </c:pt>
                <c:pt idx="1">
                  <c:v>0.99980846810395396</c:v>
                </c:pt>
                <c:pt idx="2">
                  <c:v>0.99694426871337005</c:v>
                </c:pt>
                <c:pt idx="3">
                  <c:v>0.98472004433073557</c:v>
                </c:pt>
                <c:pt idx="4">
                  <c:v>0.95325108141114157</c:v>
                </c:pt>
                <c:pt idx="5">
                  <c:v>0.89307214422429182</c:v>
                </c:pt>
                <c:pt idx="6">
                  <c:v>0.80110688011356546</c:v>
                </c:pt>
                <c:pt idx="7">
                  <c:v>0.68495206541082698</c:v>
                </c:pt>
                <c:pt idx="8">
                  <c:v>0.56032927001080124</c:v>
                </c:pt>
                <c:pt idx="9">
                  <c:v>0.44308927993548963</c:v>
                </c:pt>
                <c:pt idx="10">
                  <c:v>0.34297247465310998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ECB-42A5-84F8-2C36305EBE62}"/>
            </c:ext>
          </c:extLst>
        </c:ser>
        <c:ser>
          <c:idx val="2"/>
          <c:order val="2"/>
          <c:tx>
            <c:strRef>
              <c:f>fage!$E$36</c:f>
              <c:strCache>
                <c:ptCount val="1"/>
                <c:pt idx="0">
                  <c:v>0.75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xVal>
            <c:numRef>
              <c:f>fage!$B$38:$B$48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fage!$E$38:$E$48</c:f>
              <c:numCache>
                <c:formatCode>General</c:formatCode>
                <c:ptCount val="11"/>
                <c:pt idx="0">
                  <c:v>1</c:v>
                </c:pt>
                <c:pt idx="1">
                  <c:v>0.99968405047293685</c:v>
                </c:pt>
                <c:pt idx="2">
                  <c:v>0.99496865234566922</c:v>
                </c:pt>
                <c:pt idx="3">
                  <c:v>0.97503900156006229</c:v>
                </c:pt>
                <c:pt idx="4">
                  <c:v>0.92514756674768373</c:v>
                </c:pt>
                <c:pt idx="5">
                  <c:v>0.83505154639175261</c:v>
                </c:pt>
                <c:pt idx="6">
                  <c:v>0.70942111237230432</c:v>
                </c:pt>
                <c:pt idx="7">
                  <c:v>0.56855830460125123</c:v>
                </c:pt>
                <c:pt idx="8">
                  <c:v>0.43581752911906751</c:v>
                </c:pt>
                <c:pt idx="9">
                  <c:v>0.32535137948984905</c:v>
                </c:pt>
                <c:pt idx="10">
                  <c:v>0.24035608308605341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ECB-42A5-84F8-2C36305EB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143744"/>
        <c:axId val="236144320"/>
      </c:scatterChart>
      <c:valAx>
        <c:axId val="236143744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t/tx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6144320"/>
        <c:crosses val="autoZero"/>
        <c:crossBetween val="midCat"/>
      </c:valAx>
      <c:valAx>
        <c:axId val="236144320"/>
        <c:scaling>
          <c:orientation val="minMax"/>
          <c:max val="1"/>
          <c:min val="0.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age modifier - different rage</a:t>
                </a:r>
              </a:p>
            </c:rich>
          </c:tx>
          <c:layout>
            <c:manualLayout>
              <c:xMode val="edge"/>
              <c:yMode val="edge"/>
              <c:x val="3.3755264994182889E-2"/>
              <c:y val="0.2225891581319988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36143744"/>
        <c:crosses val="autoZero"/>
        <c:crossBetween val="midCat"/>
        <c:majorUnit val="0.2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9972088420054782"/>
          <c:y val="0.50445978990667184"/>
          <c:w val="0.13796376809843466"/>
          <c:h val="0.15547360680142772"/>
        </c:manualLayout>
      </c:layout>
      <c:overlay val="1"/>
    </c:legend>
    <c:plotVisOnly val="1"/>
    <c:dispBlanksAs val="gap"/>
    <c:showDLblsOverMax val="0"/>
  </c:chart>
  <c:spPr>
    <a:ln w="25400"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4011722951432"/>
          <c:y val="7.436347221973108E-2"/>
          <c:w val="0.74622833538212785"/>
          <c:h val="0.79750269374222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fage!$K$35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ymbol val="none"/>
          </c:marker>
          <c:xVal>
            <c:numRef>
              <c:f>fage!$B$38:$B$48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fage!$K$38:$K$48</c:f>
              <c:numCache>
                <c:formatCode>General</c:formatCode>
                <c:ptCount val="11"/>
                <c:pt idx="0">
                  <c:v>1</c:v>
                </c:pt>
                <c:pt idx="1">
                  <c:v>0.98634812286689422</c:v>
                </c:pt>
                <c:pt idx="2">
                  <c:v>0.94754098360655736</c:v>
                </c:pt>
                <c:pt idx="3">
                  <c:v>0.88923076923076916</c:v>
                </c:pt>
                <c:pt idx="4">
                  <c:v>0.81869688385269113</c:v>
                </c:pt>
                <c:pt idx="5">
                  <c:v>0.74293059125964012</c:v>
                </c:pt>
                <c:pt idx="6">
                  <c:v>0.66743648960739022</c:v>
                </c:pt>
                <c:pt idx="7">
                  <c:v>0.59587628865979381</c:v>
                </c:pt>
                <c:pt idx="8">
                  <c:v>0.53027522935779814</c:v>
                </c:pt>
                <c:pt idx="9">
                  <c:v>0.47145187601957578</c:v>
                </c:pt>
                <c:pt idx="10">
                  <c:v>0.41944847605224966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ADD-400F-B151-71CDCBC00B81}"/>
            </c:ext>
          </c:extLst>
        </c:ser>
        <c:ser>
          <c:idx val="1"/>
          <c:order val="1"/>
          <c:tx>
            <c:strRef>
              <c:f>fage!$L$35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rgbClr val="CCCC00"/>
              </a:solidFill>
            </a:ln>
          </c:spPr>
          <c:marker>
            <c:symbol val="none"/>
          </c:marker>
          <c:xVal>
            <c:numRef>
              <c:f>fage!$B$38:$B$48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fage!$L$38:$L$48</c:f>
              <c:numCache>
                <c:formatCode>General</c:formatCode>
                <c:ptCount val="11"/>
                <c:pt idx="0">
                  <c:v>1</c:v>
                </c:pt>
                <c:pt idx="1">
                  <c:v>0.99837431416378775</c:v>
                </c:pt>
                <c:pt idx="2">
                  <c:v>0.98714084790034162</c:v>
                </c:pt>
                <c:pt idx="3">
                  <c:v>0.95788652758822379</c:v>
                </c:pt>
                <c:pt idx="4">
                  <c:v>0.9056221198156682</c:v>
                </c:pt>
                <c:pt idx="5">
                  <c:v>0.8308811094199221</c:v>
                </c:pt>
                <c:pt idx="6">
                  <c:v>0.73979822315916277</c:v>
                </c:pt>
                <c:pt idx="7">
                  <c:v>0.6416351051325585</c:v>
                </c:pt>
                <c:pt idx="8">
                  <c:v>0.54534354534354523</c:v>
                </c:pt>
                <c:pt idx="9">
                  <c:v>0.45723592368543503</c:v>
                </c:pt>
                <c:pt idx="10">
                  <c:v>0.38046929450940914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ADD-400F-B151-71CDCBC00B81}"/>
            </c:ext>
          </c:extLst>
        </c:ser>
        <c:ser>
          <c:idx val="2"/>
          <c:order val="2"/>
          <c:tx>
            <c:strRef>
              <c:f>fage!$M$35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xVal>
            <c:numRef>
              <c:f>fage!$B$38:$B$48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fage!$M$38:$M$48</c:f>
              <c:numCache>
                <c:formatCode>General</c:formatCode>
                <c:ptCount val="11"/>
                <c:pt idx="0">
                  <c:v>1</c:v>
                </c:pt>
                <c:pt idx="1">
                  <c:v>0.99980846810395396</c:v>
                </c:pt>
                <c:pt idx="2">
                  <c:v>0.99694426871337005</c:v>
                </c:pt>
                <c:pt idx="3">
                  <c:v>0.98472004433073557</c:v>
                </c:pt>
                <c:pt idx="4">
                  <c:v>0.95325108141114157</c:v>
                </c:pt>
                <c:pt idx="5">
                  <c:v>0.89307214422429182</c:v>
                </c:pt>
                <c:pt idx="6">
                  <c:v>0.80110688011356546</c:v>
                </c:pt>
                <c:pt idx="7">
                  <c:v>0.68495206541082698</c:v>
                </c:pt>
                <c:pt idx="8">
                  <c:v>0.56032927001080124</c:v>
                </c:pt>
                <c:pt idx="9">
                  <c:v>0.44308927993548963</c:v>
                </c:pt>
                <c:pt idx="10">
                  <c:v>0.34297247465310998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ADD-400F-B151-71CDCBC00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6990080"/>
        <c:axId val="266990656"/>
      </c:scatterChart>
      <c:valAx>
        <c:axId val="266990080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t/tx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66990656"/>
        <c:crosses val="autoZero"/>
        <c:crossBetween val="midCat"/>
      </c:valAx>
      <c:valAx>
        <c:axId val="266990656"/>
        <c:scaling>
          <c:orientation val="minMax"/>
          <c:max val="1"/>
          <c:min val="0.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age modifier - different nage</a:t>
                </a:r>
              </a:p>
            </c:rich>
          </c:tx>
          <c:layout>
            <c:manualLayout>
              <c:xMode val="edge"/>
              <c:yMode val="edge"/>
              <c:x val="3.3755264994182889E-2"/>
              <c:y val="0.2013287177371621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66990080"/>
        <c:crosses val="autoZero"/>
        <c:crossBetween val="midCat"/>
        <c:majorUnit val="0.2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9972088420054782"/>
          <c:y val="0.50445978990667184"/>
          <c:w val="0.13796376809843466"/>
          <c:h val="0.15547360680142772"/>
        </c:manualLayout>
      </c:layout>
      <c:overlay val="1"/>
    </c:legend>
    <c:plotVisOnly val="1"/>
    <c:dispBlanksAs val="gap"/>
    <c:showDLblsOverMax val="0"/>
  </c:chart>
  <c:spPr>
    <a:ln w="25400"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4011722951432"/>
          <c:y val="7.436347221973108E-2"/>
          <c:w val="0.74622833538212785"/>
          <c:h val="0.79750269374222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RootPartitioning!$C$35</c:f>
              <c:strCache>
                <c:ptCount val="1"/>
                <c:pt idx="0">
                  <c:v>FR=1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RootPartitioning!$A$41:$A$51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RootPartitioning!$D$41:$D$51</c:f>
              <c:numCache>
                <c:formatCode>General</c:formatCode>
                <c:ptCount val="11"/>
                <c:pt idx="0">
                  <c:v>0.8</c:v>
                </c:pt>
                <c:pt idx="1">
                  <c:v>0.64</c:v>
                </c:pt>
                <c:pt idx="2">
                  <c:v>0.53333333333333344</c:v>
                </c:pt>
                <c:pt idx="3">
                  <c:v>0.45714285714285718</c:v>
                </c:pt>
                <c:pt idx="4">
                  <c:v>0.4</c:v>
                </c:pt>
                <c:pt idx="5">
                  <c:v>0.35555555555555562</c:v>
                </c:pt>
                <c:pt idx="6">
                  <c:v>0.32000000000000006</c:v>
                </c:pt>
                <c:pt idx="7">
                  <c:v>0.29090909090909095</c:v>
                </c:pt>
                <c:pt idx="8">
                  <c:v>0.26666666666666672</c:v>
                </c:pt>
                <c:pt idx="9">
                  <c:v>0.2461538461538462</c:v>
                </c:pt>
                <c:pt idx="10">
                  <c:v>0.22857142857142865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B29-41A9-8A40-FB0CA77C4E91}"/>
            </c:ext>
          </c:extLst>
        </c:ser>
        <c:ser>
          <c:idx val="1"/>
          <c:order val="1"/>
          <c:tx>
            <c:strRef>
              <c:f>RootPartitioning!$E$35</c:f>
              <c:strCache>
                <c:ptCount val="1"/>
                <c:pt idx="0">
                  <c:v>FR=0.7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RootPartitioning!$A$41:$A$51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RootPartitioning!$F$41:$F$51</c:f>
              <c:numCache>
                <c:formatCode>General</c:formatCode>
                <c:ptCount val="11"/>
                <c:pt idx="0">
                  <c:v>0.8</c:v>
                </c:pt>
                <c:pt idx="1">
                  <c:v>0.68085106382978733</c:v>
                </c:pt>
                <c:pt idx="2">
                  <c:v>0.59259259259259256</c:v>
                </c:pt>
                <c:pt idx="3">
                  <c:v>0.52459016393442626</c:v>
                </c:pt>
                <c:pt idx="4">
                  <c:v>0.4705882352941177</c:v>
                </c:pt>
                <c:pt idx="5">
                  <c:v>0.42666666666666669</c:v>
                </c:pt>
                <c:pt idx="6">
                  <c:v>0.39024390243902446</c:v>
                </c:pt>
                <c:pt idx="7">
                  <c:v>0.35955056179775285</c:v>
                </c:pt>
                <c:pt idx="8">
                  <c:v>0.33333333333333343</c:v>
                </c:pt>
                <c:pt idx="9">
                  <c:v>0.31067961165048552</c:v>
                </c:pt>
                <c:pt idx="10">
                  <c:v>0.29090909090909095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B29-41A9-8A40-FB0CA77C4E91}"/>
            </c:ext>
          </c:extLst>
        </c:ser>
        <c:ser>
          <c:idx val="2"/>
          <c:order val="2"/>
          <c:tx>
            <c:strRef>
              <c:f>RootPartitioning!$G$35</c:f>
              <c:strCache>
                <c:ptCount val="1"/>
                <c:pt idx="0">
                  <c:v>FR=0.4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RootPartitioning!$A$41:$A$51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RootPartitioning!$H$41:$H$51</c:f>
              <c:numCache>
                <c:formatCode>General</c:formatCode>
                <c:ptCount val="11"/>
                <c:pt idx="0">
                  <c:v>0.8</c:v>
                </c:pt>
                <c:pt idx="1">
                  <c:v>0.72727272727272729</c:v>
                </c:pt>
                <c:pt idx="2">
                  <c:v>0.66666666666666674</c:v>
                </c:pt>
                <c:pt idx="3">
                  <c:v>0.61538461538461542</c:v>
                </c:pt>
                <c:pt idx="4">
                  <c:v>0.5714285714285714</c:v>
                </c:pt>
                <c:pt idx="5">
                  <c:v>0.53333333333333344</c:v>
                </c:pt>
                <c:pt idx="6">
                  <c:v>0.50000000000000011</c:v>
                </c:pt>
                <c:pt idx="7">
                  <c:v>0.4705882352941177</c:v>
                </c:pt>
                <c:pt idx="8">
                  <c:v>0.44444444444444448</c:v>
                </c:pt>
                <c:pt idx="9">
                  <c:v>0.42105263157894746</c:v>
                </c:pt>
                <c:pt idx="10">
                  <c:v>0.40000000000000008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B29-41A9-8A40-FB0CA77C4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146624"/>
        <c:axId val="236147200"/>
      </c:scatterChart>
      <c:valAx>
        <c:axId val="236146624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Growth conditions (m</a:t>
                </a:r>
                <a:r>
                  <a:rPr lang="en-US">
                    <a:sym typeface="Symbol" panose="05050102010706020507" pitchFamily="18" charset="2"/>
                  </a:rPr>
                  <a:t>)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2489895338765035"/>
              <c:y val="0.930611509382222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36147200"/>
        <c:crosses val="autoZero"/>
        <c:crossBetween val="midCat"/>
      </c:valAx>
      <c:valAx>
        <c:axId val="2361472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Root partitioning</a:t>
                </a:r>
              </a:p>
            </c:rich>
          </c:tx>
          <c:layout>
            <c:manualLayout>
              <c:xMode val="edge"/>
              <c:yMode val="edge"/>
              <c:x val="3.3755264994182889E-2"/>
              <c:y val="0.3288913601061826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36146624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9693148330894986"/>
          <c:y val="0.67454331306536586"/>
          <c:w val="0.20866832092638543"/>
          <c:h val="0.17774196194225722"/>
        </c:manualLayout>
      </c:layout>
      <c:overlay val="1"/>
      <c:spPr>
        <a:solidFill>
          <a:schemeClr val="bg1"/>
        </a:solidFill>
      </c:spPr>
    </c:legend>
    <c:plotVisOnly val="1"/>
    <c:dispBlanksAs val="gap"/>
    <c:showDLblsOverMax val="0"/>
  </c:chart>
  <c:spPr>
    <a:ln w="25400"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9</xdr:row>
      <xdr:rowOff>14286</xdr:rowOff>
    </xdr:from>
    <xdr:to>
      <xdr:col>5</xdr:col>
      <xdr:colOff>742950</xdr:colOff>
      <xdr:row>27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6</xdr:col>
      <xdr:colOff>28575</xdr:colOff>
      <xdr:row>29</xdr:row>
      <xdr:rowOff>38101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2</xdr:row>
      <xdr:rowOff>165101</xdr:rowOff>
    </xdr:from>
    <xdr:to>
      <xdr:col>10</xdr:col>
      <xdr:colOff>142875</xdr:colOff>
      <xdr:row>22</xdr:row>
      <xdr:rowOff>6351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749300</xdr:colOff>
          <xdr:row>5</xdr:row>
          <xdr:rowOff>38100</xdr:rowOff>
        </xdr:from>
        <xdr:to>
          <xdr:col>12</xdr:col>
          <xdr:colOff>718820</xdr:colOff>
          <xdr:row>8</xdr:row>
          <xdr:rowOff>80010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A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0</xdr:col>
      <xdr:colOff>0</xdr:colOff>
      <xdr:row>6</xdr:row>
      <xdr:rowOff>184150</xdr:rowOff>
    </xdr:from>
    <xdr:ext cx="1934247" cy="19511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1DAFC07F-73C3-469F-9EB6-44027C299F9C}"/>
                </a:ext>
              </a:extLst>
            </xdr:cNvPr>
            <xdr:cNvSpPr txBox="1"/>
          </xdr:nvSpPr>
          <xdr:spPr>
            <a:xfrm>
              <a:off x="0" y="1428750"/>
              <a:ext cx="1934247" cy="195118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PT" sz="1100" b="0" i="1">
                        <a:latin typeface="Cambria Math" panose="02040503050406030204" pitchFamily="18" charset="0"/>
                      </a:rPr>
                      <m:t>𝑙𝑛</m:t>
                    </m:r>
                    <m:d>
                      <m:dPr>
                        <m:ctrlPr>
                          <a:rPr lang="pt-PT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𝑁</m:t>
                        </m:r>
                      </m:e>
                    </m:d>
                    <m:r>
                      <a:rPr lang="pt-PT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pt-PT" sz="1100" b="0" i="1">
                        <a:latin typeface="Cambria Math" panose="02040503050406030204" pitchFamily="18" charset="0"/>
                      </a:rPr>
                      <m:t>𝑘</m:t>
                    </m:r>
                    <m:r>
                      <a:rPr lang="pt-PT" sz="1100" b="0" i="1">
                        <a:latin typeface="Cambria Math" panose="02040503050406030204" pitchFamily="18" charset="0"/>
                      </a:rPr>
                      <m:t>−</m:t>
                    </m:r>
                    <m:r>
                      <a:rPr lang="pt-PT" sz="1100" b="0" i="1">
                        <a:latin typeface="Cambria Math" panose="02040503050406030204" pitchFamily="18" charset="0"/>
                      </a:rPr>
                      <m:t>𝑡h𝑖𝑛𝑃𝑜𝑤𝑒𝑟</m:t>
                    </m:r>
                    <m:r>
                      <a:rPr lang="pt-PT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pt-PT" sz="1100" b="0" i="1">
                        <a:latin typeface="Cambria Math" panose="02040503050406030204" pitchFamily="18" charset="0"/>
                      </a:rPr>
                      <m:t>𝑙𝑛</m:t>
                    </m:r>
                    <m:d>
                      <m:dPr>
                        <m:ctrlPr>
                          <a:rPr lang="pt-PT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pt-PT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PT" sz="1100" b="0" i="1">
                                <a:latin typeface="Cambria Math" panose="02040503050406030204" pitchFamily="18" charset="0"/>
                              </a:rPr>
                              <m:t>𝑤</m:t>
                            </m:r>
                          </m:e>
                          <m:sub>
                            <m:r>
                              <a:rPr lang="pt-PT" sz="1100" b="0" i="1">
                                <a:latin typeface="Cambria Math" panose="02040503050406030204" pitchFamily="18" charset="0"/>
                              </a:rPr>
                              <m:t>𝑔</m:t>
                            </m:r>
                          </m:sub>
                        </m:sSub>
                      </m:e>
                    </m:d>
                  </m:oMath>
                </m:oMathPara>
              </a14:m>
              <a:endParaRPr lang="en-GB" sz="1100"/>
            </a:p>
          </xdr:txBody>
        </xdr:sp>
      </mc:Choice>
      <mc:Fallback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1DAFC07F-73C3-469F-9EB6-44027C299F9C}"/>
                </a:ext>
              </a:extLst>
            </xdr:cNvPr>
            <xdr:cNvSpPr txBox="1"/>
          </xdr:nvSpPr>
          <xdr:spPr>
            <a:xfrm>
              <a:off x="0" y="1428750"/>
              <a:ext cx="1934247" cy="195118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PT" sz="1100" b="0" i="0">
                  <a:latin typeface="Cambria Math" panose="02040503050406030204" pitchFamily="18" charset="0"/>
                </a:rPr>
                <a:t>𝑙𝑛(𝑁)=𝑘−𝑡ℎ𝑖𝑛𝑃𝑜𝑤𝑒𝑟 𝑙𝑛(𝑤_𝑔 )</a:t>
              </a:r>
              <a:endParaRPr lang="en-GB" sz="1100"/>
            </a:p>
          </xdr:txBody>
        </xdr:sp>
      </mc:Fallback>
    </mc:AlternateContent>
    <xdr:clientData/>
  </xdr:oneCellAnchor>
  <xdr:oneCellAnchor>
    <xdr:from>
      <xdr:col>0</xdr:col>
      <xdr:colOff>0</xdr:colOff>
      <xdr:row>9</xdr:row>
      <xdr:rowOff>0</xdr:rowOff>
    </xdr:from>
    <xdr:ext cx="2531847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1D8345F7-3DC8-4264-9BDD-8ACD16396BDE}"/>
                </a:ext>
              </a:extLst>
            </xdr:cNvPr>
            <xdr:cNvSpPr txBox="1"/>
          </xdr:nvSpPr>
          <xdr:spPr>
            <a:xfrm>
              <a:off x="0" y="1835150"/>
              <a:ext cx="2531847" cy="1722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PT" sz="1100" b="0" i="1">
                        <a:latin typeface="Cambria Math" panose="02040503050406030204" pitchFamily="18" charset="0"/>
                      </a:rPr>
                      <m:t>𝑙𝑛</m:t>
                    </m:r>
                    <m:d>
                      <m:dPr>
                        <m:ctrlPr>
                          <a:rPr lang="pt-PT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1000</m:t>
                        </m:r>
                      </m:e>
                    </m:d>
                    <m:r>
                      <a:rPr lang="pt-PT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pt-PT" sz="1100" b="0" i="1">
                        <a:latin typeface="Cambria Math" panose="02040503050406030204" pitchFamily="18" charset="0"/>
                      </a:rPr>
                      <m:t>𝑘</m:t>
                    </m:r>
                    <m:r>
                      <a:rPr lang="pt-PT" sz="1100" b="0" i="1">
                        <a:latin typeface="Cambria Math" panose="02040503050406030204" pitchFamily="18" charset="0"/>
                      </a:rPr>
                      <m:t>−</m:t>
                    </m:r>
                    <m:r>
                      <a:rPr lang="pt-PT" sz="1100" b="0" i="1">
                        <a:latin typeface="Cambria Math" panose="02040503050406030204" pitchFamily="18" charset="0"/>
                      </a:rPr>
                      <m:t>𝑡h𝑖𝑛𝑃𝑜𝑤𝑒𝑟</m:t>
                    </m:r>
                    <m:r>
                      <a:rPr lang="pt-PT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pt-PT" sz="1100" b="0" i="1">
                        <a:latin typeface="Cambria Math" panose="02040503050406030204" pitchFamily="18" charset="0"/>
                      </a:rPr>
                      <m:t>𝑙𝑛</m:t>
                    </m:r>
                    <m:d>
                      <m:dPr>
                        <m:ctrlPr>
                          <a:rPr lang="pt-PT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𝑤𝑆𝑥</m:t>
                        </m:r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1000</m:t>
                        </m:r>
                      </m:e>
                    </m:d>
                  </m:oMath>
                </m:oMathPara>
              </a14:m>
              <a:endParaRPr lang="en-GB" sz="1100"/>
            </a:p>
          </xdr:txBody>
        </xdr:sp>
      </mc:Choice>
      <mc:Fallback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1D8345F7-3DC8-4264-9BDD-8ACD16396BDE}"/>
                </a:ext>
              </a:extLst>
            </xdr:cNvPr>
            <xdr:cNvSpPr txBox="1"/>
          </xdr:nvSpPr>
          <xdr:spPr>
            <a:xfrm>
              <a:off x="0" y="1835150"/>
              <a:ext cx="2531847" cy="172227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PT" sz="1100" b="0" i="0">
                  <a:latin typeface="Cambria Math" panose="02040503050406030204" pitchFamily="18" charset="0"/>
                </a:rPr>
                <a:t>𝑙𝑛(1000)=𝑘−𝑡ℎ𝑖𝑛𝑃𝑜𝑤𝑒𝑟 𝑙𝑛(𝑤𝑆𝑥1000)</a:t>
              </a:r>
              <a:endParaRPr lang="en-GB" sz="1100"/>
            </a:p>
          </xdr:txBody>
        </xdr:sp>
      </mc:Fallback>
    </mc:AlternateContent>
    <xdr:clientData/>
  </xdr:oneCellAnchor>
  <xdr:twoCellAnchor>
    <xdr:from>
      <xdr:col>1</xdr:col>
      <xdr:colOff>292100</xdr:colOff>
      <xdr:row>8</xdr:row>
      <xdr:rowOff>25400</xdr:rowOff>
    </xdr:from>
    <xdr:to>
      <xdr:col>1</xdr:col>
      <xdr:colOff>444500</xdr:colOff>
      <xdr:row>8</xdr:row>
      <xdr:rowOff>171450</xdr:rowOff>
    </xdr:to>
    <xdr:sp macro="" textlink="">
      <xdr:nvSpPr>
        <xdr:cNvPr id="4" name="Cross 3">
          <a:extLst>
            <a:ext uri="{FF2B5EF4-FFF2-40B4-BE49-F238E27FC236}">
              <a16:creationId xmlns:a16="http://schemas.microsoft.com/office/drawing/2014/main" id="{B283B513-0E33-4A50-B176-B9B3AD828515}"/>
            </a:ext>
          </a:extLst>
        </xdr:cNvPr>
        <xdr:cNvSpPr/>
      </xdr:nvSpPr>
      <xdr:spPr>
        <a:xfrm>
          <a:off x="1054100" y="1663700"/>
          <a:ext cx="152400" cy="146050"/>
        </a:xfrm>
        <a:prstGeom prst="plus">
          <a:avLst/>
        </a:prstGeom>
        <a:solidFill>
          <a:srgbClr val="0099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oneCellAnchor>
    <xdr:from>
      <xdr:col>0</xdr:col>
      <xdr:colOff>174625</xdr:colOff>
      <xdr:row>11</xdr:row>
      <xdr:rowOff>44450</xdr:rowOff>
    </xdr:from>
    <xdr:ext cx="2033954" cy="450764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9A16A40D-3D9C-450A-B6D7-4AFC862CBEC1}"/>
                </a:ext>
              </a:extLst>
            </xdr:cNvPr>
            <xdr:cNvSpPr txBox="1"/>
          </xdr:nvSpPr>
          <xdr:spPr>
            <a:xfrm>
              <a:off x="174625" y="2273300"/>
              <a:ext cx="2033954" cy="450764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GB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𝑤</m:t>
                        </m:r>
                      </m:e>
                      <m:sub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𝑔</m:t>
                        </m:r>
                      </m:sub>
                    </m:sSub>
                    <m:r>
                      <a:rPr lang="pt-PT" sz="11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r>
                      <a:rPr lang="pt-PT" sz="11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𝑤𝑆𝑥</m:t>
                    </m:r>
                    <m:r>
                      <a:rPr lang="pt-PT" sz="11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1000</m:t>
                    </m:r>
                    <m:sSup>
                      <m:sSupPr>
                        <m:ctrlPr>
                          <a:rPr lang="pt-PT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pt-PT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pt-P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pt-P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1000</m:t>
                                </m:r>
                              </m:num>
                              <m:den>
                                <m:r>
                                  <a:rPr lang="pt-P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𝑀𝑁</m:t>
                                </m:r>
                              </m:den>
                            </m:f>
                          </m:e>
                        </m:d>
                      </m:e>
                      <m:sup>
                        <m:f>
                          <m:fPr>
                            <m:type m:val="skw"/>
                            <m:ctrlPr>
                              <a:rPr lang="pt-PT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pt-PT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1</m:t>
                            </m:r>
                          </m:num>
                          <m:den>
                            <m:r>
                              <a:rPr lang="pt-PT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𝑡h𝑖𝑛𝑃𝑜𝑤𝑒𝑟</m:t>
                            </m:r>
                          </m:den>
                        </m:f>
                      </m:sup>
                    </m:sSup>
                  </m:oMath>
                </m:oMathPara>
              </a14:m>
              <a:endParaRPr lang="en-GB" sz="1100"/>
            </a:p>
          </xdr:txBody>
        </xdr:sp>
      </mc:Choice>
      <mc:Fallback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9A16A40D-3D9C-450A-B6D7-4AFC862CBEC1}"/>
                </a:ext>
              </a:extLst>
            </xdr:cNvPr>
            <xdr:cNvSpPr txBox="1"/>
          </xdr:nvSpPr>
          <xdr:spPr>
            <a:xfrm>
              <a:off x="174625" y="2273300"/>
              <a:ext cx="2033954" cy="450764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PT" sz="1100" b="0" i="0">
                  <a:latin typeface="Cambria Math" panose="02040503050406030204" pitchFamily="18" charset="0"/>
                </a:rPr>
                <a:t>𝑤</a:t>
              </a:r>
              <a:r>
                <a:rPr lang="en-GB" sz="1100" b="0" i="0">
                  <a:latin typeface="Cambria Math" panose="02040503050406030204" pitchFamily="18" charset="0"/>
                </a:rPr>
                <a:t>_</a:t>
              </a:r>
              <a:r>
                <a:rPr lang="pt-PT" sz="1100" b="0" i="0">
                  <a:latin typeface="Cambria Math" panose="02040503050406030204" pitchFamily="18" charset="0"/>
                </a:rPr>
                <a:t>𝑔</a:t>
              </a:r>
              <a:r>
                <a:rPr lang="pt-P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=𝑤𝑆𝑥1000(1000/𝑀𝑁)^(1⁄𝑡ℎ𝑖𝑛𝑃𝑜𝑤𝑒𝑟)</a:t>
              </a:r>
              <a:endParaRPr lang="en-GB" sz="1100"/>
            </a:p>
          </xdr:txBody>
        </xdr:sp>
      </mc:Fallback>
    </mc:AlternateContent>
    <xdr:clientData/>
  </xdr:oneCellAnchor>
  <xdr:twoCellAnchor>
    <xdr:from>
      <xdr:col>1</xdr:col>
      <xdr:colOff>279400</xdr:colOff>
      <xdr:row>10</xdr:row>
      <xdr:rowOff>25400</xdr:rowOff>
    </xdr:from>
    <xdr:to>
      <xdr:col>1</xdr:col>
      <xdr:colOff>457200</xdr:colOff>
      <xdr:row>10</xdr:row>
      <xdr:rowOff>190500</xdr:rowOff>
    </xdr:to>
    <xdr:sp macro="" textlink="">
      <xdr:nvSpPr>
        <xdr:cNvPr id="7" name="Arrow: Down 6">
          <a:extLst>
            <a:ext uri="{FF2B5EF4-FFF2-40B4-BE49-F238E27FC236}">
              <a16:creationId xmlns:a16="http://schemas.microsoft.com/office/drawing/2014/main" id="{5A7CD53B-3AD4-469F-9E8E-F77D7209D00B}"/>
            </a:ext>
          </a:extLst>
        </xdr:cNvPr>
        <xdr:cNvSpPr/>
      </xdr:nvSpPr>
      <xdr:spPr>
        <a:xfrm>
          <a:off x="1041400" y="2057400"/>
          <a:ext cx="177800" cy="165100"/>
        </a:xfrm>
        <a:prstGeom prst="downArrow">
          <a:avLst/>
        </a:prstGeom>
        <a:solidFill>
          <a:srgbClr val="0099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6</xdr:col>
      <xdr:colOff>28575</xdr:colOff>
      <xdr:row>29</xdr:row>
      <xdr:rowOff>38101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9524</xdr:rowOff>
    </xdr:from>
    <xdr:to>
      <xdr:col>6</xdr:col>
      <xdr:colOff>752474</xdr:colOff>
      <xdr:row>29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425455</xdr:colOff>
          <xdr:row>2</xdr:row>
          <xdr:rowOff>171454</xdr:rowOff>
        </xdr:from>
        <xdr:to>
          <xdr:col>5</xdr:col>
          <xdr:colOff>513068</xdr:colOff>
          <xdr:row>4</xdr:row>
          <xdr:rowOff>101604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6</xdr:col>
      <xdr:colOff>742949</xdr:colOff>
      <xdr:row>29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501650</xdr:colOff>
          <xdr:row>3</xdr:row>
          <xdr:rowOff>120650</xdr:rowOff>
        </xdr:from>
        <xdr:to>
          <xdr:col>8</xdr:col>
          <xdr:colOff>355600</xdr:colOff>
          <xdr:row>7</xdr:row>
          <xdr:rowOff>139700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6</xdr:col>
      <xdr:colOff>742949</xdr:colOff>
      <xdr:row>27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622300</xdr:colOff>
          <xdr:row>2</xdr:row>
          <xdr:rowOff>127000</xdr:rowOff>
        </xdr:from>
        <xdr:to>
          <xdr:col>3</xdr:col>
          <xdr:colOff>721360</xdr:colOff>
          <xdr:row>3</xdr:row>
          <xdr:rowOff>166370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6</xdr:col>
      <xdr:colOff>742949</xdr:colOff>
      <xdr:row>28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</xdr:row>
          <xdr:rowOff>114300</xdr:rowOff>
        </xdr:from>
        <xdr:to>
          <xdr:col>4</xdr:col>
          <xdr:colOff>746760</xdr:colOff>
          <xdr:row>5</xdr:row>
          <xdr:rowOff>40640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6</xdr:col>
      <xdr:colOff>742949</xdr:colOff>
      <xdr:row>27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107950</xdr:colOff>
          <xdr:row>2</xdr:row>
          <xdr:rowOff>107950</xdr:rowOff>
        </xdr:from>
        <xdr:to>
          <xdr:col>5</xdr:col>
          <xdr:colOff>610870</xdr:colOff>
          <xdr:row>4</xdr:row>
          <xdr:rowOff>11430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6</xdr:col>
      <xdr:colOff>742949</xdr:colOff>
      <xdr:row>29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8</xdr:row>
      <xdr:rowOff>0</xdr:rowOff>
    </xdr:from>
    <xdr:to>
      <xdr:col>14</xdr:col>
      <xdr:colOff>742949</xdr:colOff>
      <xdr:row>29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2</xdr:row>
          <xdr:rowOff>146050</xdr:rowOff>
        </xdr:from>
        <xdr:to>
          <xdr:col>10</xdr:col>
          <xdr:colOff>501650</xdr:colOff>
          <xdr:row>6</xdr:row>
          <xdr:rowOff>82550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6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3</xdr:row>
      <xdr:rowOff>19051</xdr:rowOff>
    </xdr:from>
    <xdr:to>
      <xdr:col>7</xdr:col>
      <xdr:colOff>9525</xdr:colOff>
      <xdr:row>22</xdr:row>
      <xdr:rowOff>44451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11</xdr:col>
      <xdr:colOff>200025</xdr:colOff>
      <xdr:row>21</xdr:row>
      <xdr:rowOff>61912</xdr:rowOff>
    </xdr:from>
    <xdr:ext cx="11695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700-000003000000}"/>
                </a:ext>
              </a:extLst>
            </xdr:cNvPr>
            <xdr:cNvSpPr txBox="1"/>
          </xdr:nvSpPr>
          <xdr:spPr>
            <a:xfrm>
              <a:off x="8582025" y="4138612"/>
              <a:ext cx="11695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PT" sz="1100" i="1">
                        <a:latin typeface="Cambria Math" panose="02040503050406030204" pitchFamily="18" charset="0"/>
                        <a:sym typeface="Symbol" panose="05050102010706020507" pitchFamily="18" charset="2"/>
                      </a:rPr>
                      <m:t></m:t>
                    </m:r>
                  </m:oMath>
                </m:oMathPara>
              </a14:m>
              <a:endParaRPr lang="pt-PT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8582025" y="4138612"/>
              <a:ext cx="11695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PT" sz="1100" i="0">
                  <a:latin typeface="Cambria Math" panose="02040503050406030204" pitchFamily="18" charset="0"/>
                  <a:sym typeface="Symbol" panose="05050102010706020507" pitchFamily="18" charset="2"/>
                </a:rPr>
                <a:t></a:t>
              </a:r>
              <a:endParaRPr lang="pt-PT" sz="1100"/>
            </a:p>
          </xdr:txBody>
        </xdr:sp>
      </mc:Fallback>
    </mc:AlternateContent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</xdr:colOff>
          <xdr:row>29</xdr:row>
          <xdr:rowOff>76200</xdr:rowOff>
        </xdr:from>
        <xdr:to>
          <xdr:col>3</xdr:col>
          <xdr:colOff>326092</xdr:colOff>
          <xdr:row>31</xdr:row>
          <xdr:rowOff>50800</xdr:rowOff>
        </xdr:to>
        <xdr:sp macro="" textlink="">
          <xdr:nvSpPr>
            <xdr:cNvPr id="8196" name="Object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7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6</xdr:col>
      <xdr:colOff>28575</xdr:colOff>
      <xdr:row>29</xdr:row>
      <xdr:rowOff>38101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10</xdr:row>
      <xdr:rowOff>0</xdr:rowOff>
    </xdr:from>
    <xdr:to>
      <xdr:col>11</xdr:col>
      <xdr:colOff>28575</xdr:colOff>
      <xdr:row>29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295275</xdr:colOff>
      <xdr:row>11</xdr:row>
      <xdr:rowOff>152400</xdr:rowOff>
    </xdr:from>
    <xdr:to>
      <xdr:col>5</xdr:col>
      <xdr:colOff>504825</xdr:colOff>
      <xdr:row>14</xdr:row>
      <xdr:rowOff>95250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3343275" y="2333625"/>
          <a:ext cx="971550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pfs(2)=1</a:t>
          </a:r>
        </a:p>
        <a:p>
          <a:r>
            <a:rPr lang="en-GB" sz="1100"/>
            <a:t>pfs(20)=0.25</a:t>
          </a:r>
        </a:p>
      </xdr:txBody>
    </xdr:sp>
    <xdr:clientData/>
  </xdr:twoCellAnchor>
  <xdr:twoCellAnchor>
    <xdr:from>
      <xdr:col>7</xdr:col>
      <xdr:colOff>114300</xdr:colOff>
      <xdr:row>11</xdr:row>
      <xdr:rowOff>142875</xdr:rowOff>
    </xdr:from>
    <xdr:to>
      <xdr:col>8</xdr:col>
      <xdr:colOff>323850</xdr:colOff>
      <xdr:row>14</xdr:row>
      <xdr:rowOff>85725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5448300" y="2324100"/>
          <a:ext cx="971550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pfs(2)=1</a:t>
          </a:r>
        </a:p>
        <a:p>
          <a:r>
            <a:rPr lang="en-GB" sz="1100"/>
            <a:t>pfs(20)=0.25</a:t>
          </a:r>
        </a:p>
      </xdr:txBody>
    </xdr:sp>
    <xdr:clientData/>
  </xdr:twoCellAnchor>
  <xdr:twoCellAnchor>
    <xdr:from>
      <xdr:col>13</xdr:col>
      <xdr:colOff>0</xdr:colOff>
      <xdr:row>10</xdr:row>
      <xdr:rowOff>1</xdr:rowOff>
    </xdr:from>
    <xdr:to>
      <xdr:col>18</xdr:col>
      <xdr:colOff>28575</xdr:colOff>
      <xdr:row>29</xdr:row>
      <xdr:rowOff>38101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10</xdr:row>
      <xdr:rowOff>0</xdr:rowOff>
    </xdr:from>
    <xdr:to>
      <xdr:col>23</xdr:col>
      <xdr:colOff>28575</xdr:colOff>
      <xdr:row>29</xdr:row>
      <xdr:rowOff>38100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295275</xdr:colOff>
      <xdr:row>11</xdr:row>
      <xdr:rowOff>152400</xdr:rowOff>
    </xdr:from>
    <xdr:to>
      <xdr:col>17</xdr:col>
      <xdr:colOff>504825</xdr:colOff>
      <xdr:row>14</xdr:row>
      <xdr:rowOff>95250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 txBox="1"/>
      </xdr:nvSpPr>
      <xdr:spPr>
        <a:xfrm>
          <a:off x="3343275" y="2333625"/>
          <a:ext cx="971550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pfs(2)=1</a:t>
          </a:r>
        </a:p>
        <a:p>
          <a:r>
            <a:rPr lang="en-GB" sz="1100"/>
            <a:t>pfs(20)=0.25</a:t>
          </a:r>
        </a:p>
      </xdr:txBody>
    </xdr:sp>
    <xdr:clientData/>
  </xdr:twoCellAnchor>
  <xdr:twoCellAnchor>
    <xdr:from>
      <xdr:col>19</xdr:col>
      <xdr:colOff>114300</xdr:colOff>
      <xdr:row>11</xdr:row>
      <xdr:rowOff>142875</xdr:rowOff>
    </xdr:from>
    <xdr:to>
      <xdr:col>20</xdr:col>
      <xdr:colOff>323850</xdr:colOff>
      <xdr:row>14</xdr:row>
      <xdr:rowOff>85725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 txBox="1"/>
      </xdr:nvSpPr>
      <xdr:spPr>
        <a:xfrm>
          <a:off x="5448300" y="2324100"/>
          <a:ext cx="971550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pfs(2)=1</a:t>
          </a:r>
        </a:p>
        <a:p>
          <a:r>
            <a:rPr lang="en-GB" sz="1100"/>
            <a:t>pfs(20)=0.25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158750</xdr:colOff>
          <xdr:row>2</xdr:row>
          <xdr:rowOff>63500</xdr:rowOff>
        </xdr:from>
        <xdr:to>
          <xdr:col>7</xdr:col>
          <xdr:colOff>669290</xdr:colOff>
          <xdr:row>5</xdr:row>
          <xdr:rowOff>7620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8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120650</xdr:colOff>
          <xdr:row>7</xdr:row>
          <xdr:rowOff>44450</xdr:rowOff>
        </xdr:from>
        <xdr:to>
          <xdr:col>7</xdr:col>
          <xdr:colOff>673100</xdr:colOff>
          <xdr:row>8</xdr:row>
          <xdr:rowOff>155787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8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garida/Dropbox/4%20ModelosDeProducao/3PG/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P-QI"/>
      <sheetName val="RadIntercept"/>
      <sheetName val="fT"/>
      <sheetName val="fF"/>
      <sheetName val="fSW"/>
      <sheetName val="fVPD"/>
      <sheetName val="fage"/>
      <sheetName val="RootPartitioning"/>
      <sheetName val="AbgPartitioning"/>
      <sheetName val="Litter-fall"/>
      <sheetName val="Self-thinning"/>
      <sheetName val="StomatalConductance"/>
    </sheetNames>
    <sheetDataSet>
      <sheetData sheetId="0" refreshError="1"/>
      <sheetData sheetId="1">
        <row r="7">
          <cell r="B7">
            <v>0.5</v>
          </cell>
        </row>
      </sheetData>
      <sheetData sheetId="2">
        <row r="5">
          <cell r="B5">
            <v>6</v>
          </cell>
        </row>
        <row r="6">
          <cell r="B6">
            <v>16</v>
          </cell>
        </row>
        <row r="7">
          <cell r="B7">
            <v>40</v>
          </cell>
        </row>
      </sheetData>
      <sheetData sheetId="3">
        <row r="5">
          <cell r="B5">
            <v>1</v>
          </cell>
        </row>
      </sheetData>
      <sheetData sheetId="4" refreshError="1"/>
      <sheetData sheetId="5">
        <row r="5">
          <cell r="B5">
            <v>0.05</v>
          </cell>
        </row>
      </sheetData>
      <sheetData sheetId="6" refreshError="1"/>
      <sheetData sheetId="7" refreshError="1"/>
      <sheetData sheetId="8">
        <row r="5">
          <cell r="B5">
            <v>1</v>
          </cell>
        </row>
        <row r="6">
          <cell r="B6">
            <v>0.25</v>
          </cell>
        </row>
        <row r="7">
          <cell r="B7">
            <v>-0.60205999132796229</v>
          </cell>
        </row>
        <row r="8">
          <cell r="B8">
            <v>1.517882369490865</v>
          </cell>
        </row>
        <row r="9">
          <cell r="B9">
            <v>0.4</v>
          </cell>
        </row>
      </sheetData>
      <sheetData sheetId="9">
        <row r="4">
          <cell r="B4">
            <v>1.2999999999999999E-2</v>
          </cell>
        </row>
        <row r="5">
          <cell r="B5">
            <v>1E-3</v>
          </cell>
        </row>
        <row r="6">
          <cell r="B6">
            <v>6</v>
          </cell>
        </row>
      </sheetData>
      <sheetData sheetId="10">
        <row r="5">
          <cell r="B5">
            <v>300</v>
          </cell>
        </row>
        <row r="6">
          <cell r="B6">
            <v>1.5</v>
          </cell>
        </row>
      </sheetData>
      <sheetData sheetId="11">
        <row r="5">
          <cell r="B5">
            <v>0.02</v>
          </cell>
        </row>
        <row r="6">
          <cell r="B6">
            <v>3.33</v>
          </cell>
        </row>
        <row r="7">
          <cell r="B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0.bin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11.xml"/><Relationship Id="rId4" Type="http://schemas.openxmlformats.org/officeDocument/2006/relationships/image" Target="../media/image10.emf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4" Type="http://schemas.openxmlformats.org/officeDocument/2006/relationships/image" Target="../media/image2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Relationship Id="rId4" Type="http://schemas.openxmlformats.org/officeDocument/2006/relationships/image" Target="../media/image3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.bin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Relationship Id="rId4" Type="http://schemas.openxmlformats.org/officeDocument/2006/relationships/image" Target="../media/image4.emf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.bin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6.xml"/><Relationship Id="rId4" Type="http://schemas.openxmlformats.org/officeDocument/2006/relationships/image" Target="../media/image5.emf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6.emf"/><Relationship Id="rId4" Type="http://schemas.openxmlformats.org/officeDocument/2006/relationships/oleObject" Target="../embeddings/oleObject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7.emf"/><Relationship Id="rId4" Type="http://schemas.openxmlformats.org/officeDocument/2006/relationships/oleObject" Target="../embeddings/oleObject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8.bin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9.xml"/><Relationship Id="rId6" Type="http://schemas.openxmlformats.org/officeDocument/2006/relationships/image" Target="../media/image9.emf"/><Relationship Id="rId5" Type="http://schemas.openxmlformats.org/officeDocument/2006/relationships/oleObject" Target="../embeddings/oleObject9.bin"/><Relationship Id="rId4" Type="http://schemas.openxmlformats.org/officeDocument/2006/relationships/image" Target="../media/image8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9"/>
  <sheetViews>
    <sheetView topLeftCell="A22" workbookViewId="0">
      <selection activeCell="I36" sqref="I36"/>
    </sheetView>
  </sheetViews>
  <sheetFormatPr defaultRowHeight="15.5"/>
  <sheetData>
    <row r="2" spans="1:9">
      <c r="A2" t="s">
        <v>21</v>
      </c>
      <c r="B2" t="s">
        <v>20</v>
      </c>
      <c r="C2" t="s">
        <v>19</v>
      </c>
      <c r="D2" t="s">
        <v>23</v>
      </c>
      <c r="E2" t="s">
        <v>24</v>
      </c>
    </row>
    <row r="3" spans="1:9" ht="18.5">
      <c r="A3" t="s">
        <v>27</v>
      </c>
      <c r="C3" t="s">
        <v>28</v>
      </c>
      <c r="D3" s="5" t="s">
        <v>26</v>
      </c>
      <c r="E3" s="5" t="s">
        <v>26</v>
      </c>
    </row>
    <row r="4" spans="1:9">
      <c r="A4">
        <v>35.700000000000003</v>
      </c>
      <c r="B4">
        <v>0.91</v>
      </c>
      <c r="C4">
        <f>4.88*1000*B4</f>
        <v>4440.8</v>
      </c>
      <c r="D4" s="6">
        <f>A4/C4*100</f>
        <v>0.80390920554854972</v>
      </c>
      <c r="E4">
        <f>D4/0.47</f>
        <v>1.7104451181884037</v>
      </c>
      <c r="G4" s="2" t="s">
        <v>22</v>
      </c>
      <c r="H4">
        <f>E4/(24*2.3)</f>
        <v>3.0986324604862388E-2</v>
      </c>
      <c r="I4" t="s">
        <v>25</v>
      </c>
    </row>
    <row r="5" spans="1:9">
      <c r="A5">
        <v>29.5</v>
      </c>
      <c r="B5">
        <v>0.78</v>
      </c>
      <c r="C5">
        <f t="shared" ref="C5:C7" si="0">4.88*1000*B5</f>
        <v>3806.4</v>
      </c>
      <c r="D5" s="6">
        <f t="shared" ref="D5:D7" si="1">A5/C5*100</f>
        <v>0.77501050861706589</v>
      </c>
      <c r="E5">
        <f t="shared" ref="E5:E7" si="2">D5/0.47</f>
        <v>1.6489585289724806</v>
      </c>
    </row>
    <row r="6" spans="1:9">
      <c r="A6">
        <v>26.9</v>
      </c>
      <c r="B6">
        <v>0.77</v>
      </c>
      <c r="C6">
        <f t="shared" si="0"/>
        <v>3757.6</v>
      </c>
      <c r="D6" s="6">
        <f t="shared" si="1"/>
        <v>0.71588247817756012</v>
      </c>
      <c r="E6">
        <f t="shared" si="2"/>
        <v>1.5231542088884258</v>
      </c>
    </row>
    <row r="7" spans="1:9">
      <c r="A7">
        <v>23.7</v>
      </c>
      <c r="B7">
        <v>0.71</v>
      </c>
      <c r="C7">
        <f t="shared" si="0"/>
        <v>3464.7999999999997</v>
      </c>
      <c r="D7" s="6">
        <f t="shared" si="1"/>
        <v>0.68402216578157482</v>
      </c>
      <c r="E7">
        <f t="shared" si="2"/>
        <v>1.4553663101735634</v>
      </c>
    </row>
    <row r="32" spans="1:5">
      <c r="A32" t="s">
        <v>29</v>
      </c>
      <c r="D32" s="5"/>
      <c r="E32" s="5"/>
    </row>
    <row r="33" spans="1:9">
      <c r="D33" s="6"/>
      <c r="G33" s="2"/>
    </row>
    <row r="34" spans="1:9">
      <c r="A34" t="s">
        <v>30</v>
      </c>
      <c r="B34" t="s">
        <v>21</v>
      </c>
      <c r="C34" t="s">
        <v>20</v>
      </c>
      <c r="D34" t="s">
        <v>19</v>
      </c>
      <c r="E34" t="s">
        <v>23</v>
      </c>
      <c r="F34" t="s">
        <v>24</v>
      </c>
    </row>
    <row r="35" spans="1:9" ht="18.5">
      <c r="B35" t="s">
        <v>27</v>
      </c>
      <c r="D35" t="s">
        <v>28</v>
      </c>
      <c r="E35" s="5" t="s">
        <v>26</v>
      </c>
      <c r="F35" s="5" t="s">
        <v>26</v>
      </c>
    </row>
    <row r="36" spans="1:9">
      <c r="A36">
        <v>4</v>
      </c>
      <c r="B36">
        <f>(A4-A36)*0.2+A4+A36</f>
        <v>46.040000000000006</v>
      </c>
      <c r="C36">
        <v>0.91</v>
      </c>
      <c r="D36">
        <f>4.88*1000*C36</f>
        <v>4440.8</v>
      </c>
      <c r="E36" s="6">
        <f>B36/D36*100</f>
        <v>1.0367501351107911</v>
      </c>
      <c r="F36">
        <f>E36/0.47</f>
        <v>2.2058513512995557</v>
      </c>
      <c r="H36" s="2" t="s">
        <v>22</v>
      </c>
      <c r="I36">
        <f>F36/(24*2.3)</f>
        <v>3.9961075204702101E-2</v>
      </c>
    </row>
    <row r="37" spans="1:9">
      <c r="A37">
        <v>2.79</v>
      </c>
      <c r="B37">
        <f t="shared" ref="B37:B39" si="3">(A5-A37)*0.2+A5+A37</f>
        <v>37.631999999999998</v>
      </c>
      <c r="C37">
        <v>0.78</v>
      </c>
      <c r="D37">
        <f t="shared" ref="D37:D39" si="4">4.88*1000*C37</f>
        <v>3806.4</v>
      </c>
      <c r="E37" s="6">
        <f t="shared" ref="E37:E39" si="5">B37/D37*100</f>
        <v>0.98865069356872637</v>
      </c>
      <c r="F37">
        <f t="shared" ref="F37:F39" si="6">E37/0.47</f>
        <v>2.1035121139760138</v>
      </c>
    </row>
    <row r="38" spans="1:9">
      <c r="A38">
        <v>3.19</v>
      </c>
      <c r="B38">
        <f t="shared" si="3"/>
        <v>34.832000000000001</v>
      </c>
      <c r="C38">
        <v>0.77</v>
      </c>
      <c r="D38">
        <f t="shared" si="4"/>
        <v>3757.6</v>
      </c>
      <c r="E38" s="6">
        <f t="shared" si="5"/>
        <v>0.92697466467958278</v>
      </c>
      <c r="F38">
        <f t="shared" si="6"/>
        <v>1.9722865205948572</v>
      </c>
    </row>
    <row r="39" spans="1:9">
      <c r="A39">
        <v>1.97</v>
      </c>
      <c r="B39">
        <f t="shared" si="3"/>
        <v>30.015999999999998</v>
      </c>
      <c r="C39">
        <v>0.71</v>
      </c>
      <c r="D39">
        <f t="shared" si="4"/>
        <v>3464.7999999999997</v>
      </c>
      <c r="E39" s="6">
        <f t="shared" si="5"/>
        <v>0.86631262987762647</v>
      </c>
      <c r="F39">
        <f t="shared" si="6"/>
        <v>1.8432183614417585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7"/>
  <sheetViews>
    <sheetView topLeftCell="A31" workbookViewId="0">
      <selection activeCell="C42" sqref="C42"/>
    </sheetView>
  </sheetViews>
  <sheetFormatPr defaultRowHeight="15.5"/>
  <sheetData>
    <row r="1" spans="1:8" ht="20.5" thickBot="1">
      <c r="A1" s="29" t="s">
        <v>52</v>
      </c>
      <c r="B1" s="30"/>
      <c r="C1" s="30"/>
      <c r="D1" s="30"/>
      <c r="E1" s="30"/>
      <c r="F1" s="30"/>
      <c r="G1" s="30"/>
      <c r="H1" s="31"/>
    </row>
    <row r="2" spans="1:8">
      <c r="A2" s="1"/>
      <c r="B2" s="1"/>
      <c r="C2" s="1"/>
      <c r="D2" s="1"/>
      <c r="E2" s="1"/>
      <c r="F2" s="1"/>
      <c r="G2" s="1"/>
      <c r="H2" s="1"/>
    </row>
    <row r="4" spans="1:8">
      <c r="A4" t="s">
        <v>53</v>
      </c>
      <c r="B4">
        <v>1.2999999999999999E-2</v>
      </c>
    </row>
    <row r="5" spans="1:8">
      <c r="A5" t="s">
        <v>54</v>
      </c>
      <c r="B5">
        <v>1E-3</v>
      </c>
    </row>
    <row r="6" spans="1:8">
      <c r="A6" t="s">
        <v>55</v>
      </c>
      <c r="B6">
        <v>6</v>
      </c>
    </row>
    <row r="35" spans="1:4">
      <c r="B35" s="7"/>
      <c r="C35" s="7"/>
      <c r="D35" s="7"/>
    </row>
    <row r="36" spans="1:4">
      <c r="B36" s="3"/>
      <c r="C36" s="7"/>
      <c r="D36" s="7"/>
    </row>
    <row r="37" spans="1:4">
      <c r="A37" t="s">
        <v>34</v>
      </c>
      <c r="B37" s="14" t="s">
        <v>8</v>
      </c>
      <c r="C37" s="14"/>
      <c r="D37" s="10"/>
    </row>
    <row r="38" spans="1:4">
      <c r="A38">
        <v>1</v>
      </c>
      <c r="B38">
        <v>0.4398428882692097</v>
      </c>
      <c r="C38">
        <v>1.4891774527195974E-3</v>
      </c>
    </row>
    <row r="39" spans="1:4">
      <c r="A39">
        <f>A38+2</f>
        <v>3</v>
      </c>
      <c r="B39">
        <v>0.4398428882692097</v>
      </c>
      <c r="C39">
        <v>3.0899888641287288E-3</v>
      </c>
    </row>
    <row r="40" spans="1:4">
      <c r="A40">
        <f t="shared" ref="A40:A47" si="0">A39+2</f>
        <v>5</v>
      </c>
      <c r="B40">
        <v>0.4398428882692097</v>
      </c>
      <c r="C40">
        <v>5.5777645471458605E-3</v>
      </c>
    </row>
    <row r="41" spans="1:4">
      <c r="A41">
        <f t="shared" si="0"/>
        <v>7</v>
      </c>
      <c r="B41">
        <v>0.4398428882692097</v>
      </c>
      <c r="C41">
        <v>8.3756520915356826E-3</v>
      </c>
    </row>
    <row r="42" spans="1:4">
      <c r="A42">
        <f t="shared" si="0"/>
        <v>9</v>
      </c>
      <c r="B42">
        <v>0.4398428882692097</v>
      </c>
      <c r="C42">
        <v>1.0577007795109887E-2</v>
      </c>
    </row>
    <row r="43" spans="1:4">
      <c r="A43">
        <f t="shared" si="0"/>
        <v>11</v>
      </c>
      <c r="B43">
        <v>0.4398428882692097</v>
      </c>
      <c r="C43">
        <v>1.1871617340563715E-2</v>
      </c>
    </row>
    <row r="44" spans="1:4">
      <c r="A44">
        <f t="shared" si="0"/>
        <v>13</v>
      </c>
      <c r="B44">
        <v>0.4398428882692097</v>
      </c>
      <c r="C44">
        <v>1.250677053037845E-2</v>
      </c>
    </row>
    <row r="45" spans="1:4">
      <c r="A45">
        <f t="shared" si="0"/>
        <v>15</v>
      </c>
      <c r="B45">
        <v>0.4398428882692097</v>
      </c>
      <c r="C45">
        <v>1.2790706523846895E-2</v>
      </c>
    </row>
    <row r="46" spans="1:4">
      <c r="A46">
        <f t="shared" si="0"/>
        <v>17</v>
      </c>
      <c r="B46">
        <v>0.4398428882692097</v>
      </c>
      <c r="C46">
        <v>1.2912335596251738E-2</v>
      </c>
    </row>
    <row r="47" spans="1:4">
      <c r="A47">
        <f t="shared" si="0"/>
        <v>19</v>
      </c>
      <c r="B47">
        <v>0.4398428882692097</v>
      </c>
      <c r="C47">
        <v>1.2963482797867023E-2</v>
      </c>
    </row>
  </sheetData>
  <mergeCells count="1">
    <mergeCell ref="A1:H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SZ993"/>
  <sheetViews>
    <sheetView tabSelected="1" workbookViewId="0">
      <selection activeCell="C17" sqref="C17"/>
    </sheetView>
  </sheetViews>
  <sheetFormatPr defaultRowHeight="15.5"/>
  <cols>
    <col min="4" max="5" width="4.4609375" customWidth="1"/>
  </cols>
  <sheetData>
    <row r="1" spans="1:10" ht="20.5" thickBot="1">
      <c r="A1" s="29" t="s">
        <v>56</v>
      </c>
      <c r="B1" s="30"/>
      <c r="C1" s="30"/>
      <c r="D1" s="30"/>
      <c r="E1" s="30"/>
      <c r="F1" s="30"/>
      <c r="G1" s="30"/>
      <c r="H1" s="30"/>
      <c r="I1" s="30"/>
      <c r="J1" s="31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5" spans="1:10">
      <c r="A5" t="s">
        <v>57</v>
      </c>
      <c r="B5">
        <v>300</v>
      </c>
    </row>
    <row r="6" spans="1:10">
      <c r="A6" t="s">
        <v>58</v>
      </c>
      <c r="B6">
        <v>1.5</v>
      </c>
    </row>
    <row r="7" spans="1:10">
      <c r="A7" s="36"/>
      <c r="B7" s="36"/>
      <c r="C7" s="36"/>
      <c r="D7" s="36"/>
      <c r="E7" s="37"/>
    </row>
    <row r="8" spans="1:10">
      <c r="A8" s="36"/>
      <c r="B8" s="36"/>
      <c r="C8" s="36"/>
      <c r="D8" s="36"/>
      <c r="E8" s="37"/>
    </row>
    <row r="9" spans="1:10">
      <c r="A9" s="36"/>
      <c r="B9" s="36"/>
      <c r="C9" s="36"/>
      <c r="D9" s="36"/>
      <c r="E9" s="37"/>
    </row>
    <row r="10" spans="1:10">
      <c r="A10" s="36"/>
      <c r="B10" s="36"/>
      <c r="C10" s="36"/>
      <c r="D10" s="36"/>
      <c r="E10" s="37"/>
    </row>
    <row r="11" spans="1:10">
      <c r="A11" s="36"/>
      <c r="B11" s="36"/>
      <c r="C11" s="36"/>
      <c r="D11" s="36"/>
      <c r="E11" s="37"/>
    </row>
    <row r="12" spans="1:10">
      <c r="A12" s="36"/>
      <c r="B12" s="36"/>
      <c r="C12" s="36"/>
      <c r="D12" s="36"/>
      <c r="E12" s="37"/>
    </row>
    <row r="13" spans="1:10">
      <c r="A13" s="36"/>
      <c r="B13" s="36"/>
      <c r="C13" s="36"/>
      <c r="D13" s="36"/>
      <c r="E13" s="37"/>
    </row>
    <row r="14" spans="1:10">
      <c r="A14" s="36"/>
      <c r="B14" s="36"/>
      <c r="C14" s="36"/>
      <c r="D14" s="36"/>
      <c r="E14" s="37"/>
    </row>
    <row r="25" spans="1:3">
      <c r="A25" t="s">
        <v>59</v>
      </c>
      <c r="B25" t="s">
        <v>8</v>
      </c>
      <c r="C25" s="14" t="s">
        <v>60</v>
      </c>
    </row>
    <row r="26" spans="1:3">
      <c r="A26">
        <v>200</v>
      </c>
      <c r="B26">
        <f>B5</f>
        <v>300</v>
      </c>
      <c r="C26">
        <f>B26*(1000/A26)^(1/1.5)</f>
        <v>877.20532146385972</v>
      </c>
    </row>
    <row r="27" spans="1:3">
      <c r="A27">
        <f>A26+200</f>
        <v>400</v>
      </c>
      <c r="B27">
        <f>B26</f>
        <v>300</v>
      </c>
      <c r="C27">
        <f t="shared" ref="C27:C50" si="0">B27*(1000/A27)^(1/1.5)</f>
        <v>552.60472479605801</v>
      </c>
    </row>
    <row r="28" spans="1:3">
      <c r="A28">
        <f t="shared" ref="A28:A50" si="1">A27+200</f>
        <v>600</v>
      </c>
      <c r="B28">
        <f t="shared" ref="B28:B50" si="2">B27</f>
        <v>300</v>
      </c>
      <c r="C28">
        <f t="shared" si="0"/>
        <v>421.71633265087462</v>
      </c>
    </row>
    <row r="29" spans="1:3">
      <c r="A29">
        <f t="shared" si="1"/>
        <v>800</v>
      </c>
      <c r="B29">
        <f t="shared" si="2"/>
        <v>300</v>
      </c>
      <c r="C29">
        <f t="shared" si="0"/>
        <v>348.11916252095847</v>
      </c>
    </row>
    <row r="30" spans="1:3">
      <c r="A30">
        <f t="shared" si="1"/>
        <v>1000</v>
      </c>
      <c r="B30">
        <f t="shared" si="2"/>
        <v>300</v>
      </c>
      <c r="C30">
        <f t="shared" si="0"/>
        <v>300</v>
      </c>
    </row>
    <row r="31" spans="1:3">
      <c r="A31">
        <f t="shared" si="1"/>
        <v>1200</v>
      </c>
      <c r="B31">
        <f t="shared" si="2"/>
        <v>300</v>
      </c>
      <c r="C31">
        <f t="shared" si="0"/>
        <v>265.66464229565275</v>
      </c>
    </row>
    <row r="32" spans="1:3">
      <c r="A32">
        <f t="shared" si="1"/>
        <v>1400</v>
      </c>
      <c r="B32">
        <f t="shared" si="2"/>
        <v>300</v>
      </c>
      <c r="C32">
        <f t="shared" si="0"/>
        <v>239.71905901744216</v>
      </c>
    </row>
    <row r="33" spans="1:3">
      <c r="A33">
        <f t="shared" si="1"/>
        <v>1600</v>
      </c>
      <c r="B33">
        <f t="shared" si="2"/>
        <v>300</v>
      </c>
      <c r="C33">
        <f t="shared" si="0"/>
        <v>219.30133036596496</v>
      </c>
    </row>
    <row r="34" spans="1:3">
      <c r="A34">
        <f t="shared" si="1"/>
        <v>1800</v>
      </c>
      <c r="B34">
        <f t="shared" si="2"/>
        <v>300</v>
      </c>
      <c r="C34">
        <f t="shared" si="0"/>
        <v>202.74006651911333</v>
      </c>
    </row>
    <row r="35" spans="1:3">
      <c r="A35">
        <f t="shared" si="1"/>
        <v>2000</v>
      </c>
      <c r="B35">
        <f t="shared" si="2"/>
        <v>300</v>
      </c>
      <c r="C35">
        <f t="shared" si="0"/>
        <v>188.98815748423098</v>
      </c>
    </row>
    <row r="36" spans="1:3">
      <c r="A36">
        <f>A35+200</f>
        <v>2200</v>
      </c>
      <c r="B36">
        <f t="shared" si="2"/>
        <v>300</v>
      </c>
      <c r="C36">
        <f t="shared" si="0"/>
        <v>177.35337911609821</v>
      </c>
    </row>
    <row r="37" spans="1:3">
      <c r="A37">
        <f t="shared" si="1"/>
        <v>2400</v>
      </c>
      <c r="B37">
        <f t="shared" si="2"/>
        <v>300</v>
      </c>
      <c r="C37">
        <f t="shared" si="0"/>
        <v>167.35823752054242</v>
      </c>
    </row>
    <row r="38" spans="1:3">
      <c r="A38">
        <f t="shared" si="1"/>
        <v>2600</v>
      </c>
      <c r="B38">
        <f t="shared" si="2"/>
        <v>300</v>
      </c>
      <c r="C38">
        <f t="shared" si="0"/>
        <v>158.66179235470861</v>
      </c>
    </row>
    <row r="39" spans="1:3">
      <c r="A39">
        <f t="shared" si="1"/>
        <v>2800</v>
      </c>
      <c r="B39">
        <f t="shared" si="2"/>
        <v>300</v>
      </c>
      <c r="C39">
        <f t="shared" si="0"/>
        <v>151.01354425853341</v>
      </c>
    </row>
    <row r="40" spans="1:3">
      <c r="A40">
        <f t="shared" si="1"/>
        <v>3000</v>
      </c>
      <c r="B40">
        <f t="shared" si="2"/>
        <v>300</v>
      </c>
      <c r="C40">
        <f t="shared" si="0"/>
        <v>144.22495703074082</v>
      </c>
    </row>
    <row r="41" spans="1:3">
      <c r="A41">
        <f t="shared" si="1"/>
        <v>3200</v>
      </c>
      <c r="B41">
        <f t="shared" si="2"/>
        <v>300</v>
      </c>
      <c r="C41">
        <f t="shared" si="0"/>
        <v>138.1511811990145</v>
      </c>
    </row>
    <row r="42" spans="1:3">
      <c r="A42">
        <f t="shared" si="1"/>
        <v>3400</v>
      </c>
      <c r="B42">
        <f t="shared" si="2"/>
        <v>300</v>
      </c>
      <c r="C42">
        <f t="shared" si="0"/>
        <v>132.67893495926248</v>
      </c>
    </row>
    <row r="43" spans="1:3">
      <c r="A43">
        <f t="shared" si="1"/>
        <v>3600</v>
      </c>
      <c r="B43">
        <f t="shared" si="2"/>
        <v>300</v>
      </c>
      <c r="C43">
        <f t="shared" si="0"/>
        <v>127.71823873225887</v>
      </c>
    </row>
    <row r="44" spans="1:3">
      <c r="A44">
        <f t="shared" si="1"/>
        <v>3800</v>
      </c>
      <c r="B44">
        <f t="shared" si="2"/>
        <v>300</v>
      </c>
      <c r="C44">
        <f t="shared" si="0"/>
        <v>123.19663821378037</v>
      </c>
    </row>
    <row r="45" spans="1:3">
      <c r="A45">
        <f t="shared" si="1"/>
        <v>4000</v>
      </c>
      <c r="B45">
        <f t="shared" si="2"/>
        <v>300</v>
      </c>
      <c r="C45">
        <f t="shared" si="0"/>
        <v>119.05507889761496</v>
      </c>
    </row>
    <row r="46" spans="1:3">
      <c r="A46">
        <f t="shared" si="1"/>
        <v>4200</v>
      </c>
      <c r="B46">
        <f t="shared" si="2"/>
        <v>300</v>
      </c>
      <c r="C46">
        <f t="shared" si="0"/>
        <v>115.24490328746741</v>
      </c>
    </row>
    <row r="47" spans="1:3">
      <c r="A47">
        <f t="shared" si="1"/>
        <v>4400</v>
      </c>
      <c r="B47">
        <f t="shared" si="2"/>
        <v>300</v>
      </c>
      <c r="C47">
        <f t="shared" si="0"/>
        <v>111.72562780917897</v>
      </c>
    </row>
    <row r="48" spans="1:3">
      <c r="A48">
        <f t="shared" si="1"/>
        <v>4600</v>
      </c>
      <c r="B48">
        <f t="shared" si="2"/>
        <v>300</v>
      </c>
      <c r="C48">
        <f t="shared" si="0"/>
        <v>108.4632716635282</v>
      </c>
    </row>
    <row r="49" spans="1:3">
      <c r="A49">
        <f t="shared" si="1"/>
        <v>4800</v>
      </c>
      <c r="B49">
        <f t="shared" si="2"/>
        <v>300</v>
      </c>
      <c r="C49">
        <f t="shared" si="0"/>
        <v>105.42908316271867</v>
      </c>
    </row>
    <row r="50" spans="1:3">
      <c r="A50">
        <f t="shared" si="1"/>
        <v>5000</v>
      </c>
      <c r="B50">
        <f t="shared" si="2"/>
        <v>300</v>
      </c>
      <c r="C50">
        <f t="shared" si="0"/>
        <v>102.59855680060184</v>
      </c>
    </row>
    <row r="993" spans="16068:16068">
      <c r="WSZ993" t="s">
        <v>57</v>
      </c>
    </row>
  </sheetData>
  <mergeCells count="1">
    <mergeCell ref="A1:J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shapeId="11265" r:id="rId3">
          <objectPr defaultSize="0" autoPict="0" r:id="rId4">
            <anchor moveWithCells="1">
              <from>
                <xdr:col>10</xdr:col>
                <xdr:colOff>749300</xdr:colOff>
                <xdr:row>5</xdr:row>
                <xdr:rowOff>38100</xdr:rowOff>
              </from>
              <to>
                <xdr:col>12</xdr:col>
                <xdr:colOff>717550</xdr:colOff>
                <xdr:row>8</xdr:row>
                <xdr:rowOff>82550</xdr:rowOff>
              </to>
            </anchor>
          </objectPr>
        </oleObject>
      </mc:Choice>
      <mc:Fallback>
        <oleObject shapeId="11265" r:id="rId3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5"/>
  <sheetViews>
    <sheetView topLeftCell="A10" workbookViewId="0">
      <selection activeCell="B34" sqref="B34"/>
    </sheetView>
  </sheetViews>
  <sheetFormatPr defaultRowHeight="15.5"/>
  <sheetData>
    <row r="1" spans="1:8" ht="20.5" thickBot="1">
      <c r="A1" s="29" t="s">
        <v>61</v>
      </c>
      <c r="B1" s="30"/>
      <c r="C1" s="30"/>
      <c r="D1" s="30"/>
      <c r="E1" s="30"/>
      <c r="F1" s="30"/>
      <c r="G1" s="30"/>
      <c r="H1" s="31"/>
    </row>
    <row r="2" spans="1:8">
      <c r="A2" s="1"/>
      <c r="B2" s="1"/>
      <c r="C2" s="1"/>
      <c r="D2" s="1"/>
      <c r="E2" s="1"/>
      <c r="F2" s="1"/>
      <c r="G2" s="1"/>
      <c r="H2" s="1"/>
    </row>
    <row r="5" spans="1:8">
      <c r="A5" t="s">
        <v>62</v>
      </c>
      <c r="B5">
        <v>0.02</v>
      </c>
    </row>
    <row r="6" spans="1:8">
      <c r="A6" t="s">
        <v>63</v>
      </c>
      <c r="B6">
        <v>3.33</v>
      </c>
    </row>
    <row r="7" spans="1:8">
      <c r="A7" s="15" t="s">
        <v>64</v>
      </c>
      <c r="B7">
        <v>1</v>
      </c>
    </row>
    <row r="29" spans="1:4">
      <c r="B29" s="3"/>
      <c r="C29" s="7"/>
      <c r="D29" s="7"/>
    </row>
    <row r="32" spans="1:4">
      <c r="A32" t="s">
        <v>3</v>
      </c>
      <c r="B32" s="14" t="s">
        <v>65</v>
      </c>
    </row>
    <row r="33" spans="1:2">
      <c r="A33">
        <v>0</v>
      </c>
      <c r="B33">
        <v>0</v>
      </c>
    </row>
    <row r="34" spans="1:2">
      <c r="A34">
        <f>A33+0.5</f>
        <v>0.5</v>
      </c>
      <c r="B34">
        <v>3.003003003003003E-3</v>
      </c>
    </row>
    <row r="35" spans="1:2">
      <c r="A35">
        <f t="shared" ref="A35:A45" si="0">A34+0.5</f>
        <v>1</v>
      </c>
      <c r="B35">
        <v>6.006006006006006E-3</v>
      </c>
    </row>
    <row r="36" spans="1:2">
      <c r="A36">
        <f t="shared" si="0"/>
        <v>1.5</v>
      </c>
      <c r="B36">
        <v>9.0090090090090089E-3</v>
      </c>
    </row>
    <row r="37" spans="1:2">
      <c r="A37">
        <f t="shared" si="0"/>
        <v>2</v>
      </c>
      <c r="B37">
        <v>1.2012012012012012E-2</v>
      </c>
    </row>
    <row r="38" spans="1:2">
      <c r="A38">
        <f t="shared" si="0"/>
        <v>2.5</v>
      </c>
      <c r="B38">
        <v>1.5015015015015015E-2</v>
      </c>
    </row>
    <row r="39" spans="1:2">
      <c r="A39">
        <f t="shared" si="0"/>
        <v>3</v>
      </c>
      <c r="B39">
        <v>1.8018018018018018E-2</v>
      </c>
    </row>
    <row r="40" spans="1:2">
      <c r="A40">
        <f t="shared" si="0"/>
        <v>3.5</v>
      </c>
      <c r="B40">
        <v>0.02</v>
      </c>
    </row>
    <row r="41" spans="1:2">
      <c r="A41">
        <f>A40+0.5</f>
        <v>4</v>
      </c>
      <c r="B41">
        <v>0.02</v>
      </c>
    </row>
    <row r="42" spans="1:2">
      <c r="A42">
        <f t="shared" si="0"/>
        <v>4.5</v>
      </c>
      <c r="B42">
        <v>0.02</v>
      </c>
    </row>
    <row r="43" spans="1:2">
      <c r="A43">
        <f t="shared" si="0"/>
        <v>5</v>
      </c>
      <c r="B43">
        <v>0.02</v>
      </c>
    </row>
    <row r="44" spans="1:2">
      <c r="A44">
        <f t="shared" si="0"/>
        <v>5.5</v>
      </c>
      <c r="B44">
        <v>0.02</v>
      </c>
    </row>
    <row r="45" spans="1:2">
      <c r="A45">
        <f t="shared" si="0"/>
        <v>6</v>
      </c>
      <c r="B45">
        <v>0.02</v>
      </c>
    </row>
  </sheetData>
  <mergeCells count="1">
    <mergeCell ref="A1:H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9"/>
  <sheetViews>
    <sheetView workbookViewId="0">
      <selection activeCell="D39" sqref="D39"/>
    </sheetView>
  </sheetViews>
  <sheetFormatPr defaultRowHeight="15.5"/>
  <sheetData>
    <row r="1" spans="1:9" ht="20.5" thickBot="1">
      <c r="A1" s="29" t="s">
        <v>0</v>
      </c>
      <c r="B1" s="30"/>
      <c r="C1" s="30"/>
      <c r="D1" s="30"/>
      <c r="E1" s="30"/>
      <c r="F1" s="30"/>
      <c r="G1" s="30"/>
      <c r="H1" s="30"/>
      <c r="I1" s="31"/>
    </row>
    <row r="2" spans="1:9" ht="10" customHeight="1">
      <c r="A2" s="1"/>
      <c r="B2" s="1"/>
      <c r="C2" s="1"/>
      <c r="D2" s="1"/>
      <c r="E2" s="1"/>
      <c r="F2" s="1"/>
      <c r="G2" s="1"/>
      <c r="H2" s="1"/>
      <c r="I2" s="1"/>
    </row>
    <row r="4" spans="1:9">
      <c r="A4" t="s">
        <v>1</v>
      </c>
    </row>
    <row r="6" spans="1:9">
      <c r="A6" t="s">
        <v>2</v>
      </c>
    </row>
    <row r="7" spans="1:9">
      <c r="A7" s="2" t="s">
        <v>90</v>
      </c>
      <c r="B7" s="18">
        <v>0.5</v>
      </c>
    </row>
    <row r="35" spans="1:4" ht="16.5">
      <c r="A35" s="2" t="s">
        <v>9</v>
      </c>
      <c r="B35" t="s">
        <v>3</v>
      </c>
      <c r="C35" t="s">
        <v>5</v>
      </c>
      <c r="D35" t="s">
        <v>71</v>
      </c>
    </row>
    <row r="36" spans="1:4" ht="18.5">
      <c r="A36" t="s">
        <v>4</v>
      </c>
      <c r="C36" t="s">
        <v>4</v>
      </c>
    </row>
    <row r="37" spans="1:4">
      <c r="A37">
        <v>500</v>
      </c>
      <c r="B37">
        <v>0</v>
      </c>
      <c r="C37">
        <f>$A$37*(1-EXP(-k*B37))</f>
        <v>0</v>
      </c>
      <c r="D37">
        <f t="shared" ref="D37:D49" si="0">C37/$A$37*100</f>
        <v>0</v>
      </c>
    </row>
    <row r="38" spans="1:4">
      <c r="B38">
        <f>B37+0.5</f>
        <v>0.5</v>
      </c>
      <c r="C38">
        <f t="shared" ref="C38:C49" si="1">$A$37*(1-EXP(-k*B38))</f>
        <v>110.59960846429756</v>
      </c>
      <c r="D38">
        <f t="shared" si="0"/>
        <v>22.119921692859513</v>
      </c>
    </row>
    <row r="39" spans="1:4">
      <c r="B39">
        <f t="shared" ref="B39:B48" si="2">B38+0.5</f>
        <v>1</v>
      </c>
      <c r="C39">
        <f t="shared" si="1"/>
        <v>196.73467014368327</v>
      </c>
      <c r="D39">
        <f t="shared" si="0"/>
        <v>39.346934028736655</v>
      </c>
    </row>
    <row r="40" spans="1:4">
      <c r="B40">
        <f t="shared" si="2"/>
        <v>1.5</v>
      </c>
      <c r="C40">
        <f>$A$37*(1-EXP(-k*B40))</f>
        <v>263.81672362949263</v>
      </c>
      <c r="D40">
        <f t="shared" si="0"/>
        <v>52.763344725898534</v>
      </c>
    </row>
    <row r="41" spans="1:4">
      <c r="B41">
        <f t="shared" si="2"/>
        <v>2</v>
      </c>
      <c r="C41">
        <f t="shared" si="1"/>
        <v>316.06027941427885</v>
      </c>
      <c r="D41">
        <f t="shared" si="0"/>
        <v>63.212055882855765</v>
      </c>
    </row>
    <row r="42" spans="1:4">
      <c r="B42">
        <f t="shared" si="2"/>
        <v>2.5</v>
      </c>
      <c r="C42">
        <f t="shared" si="1"/>
        <v>356.74760156990493</v>
      </c>
      <c r="D42">
        <f t="shared" si="0"/>
        <v>71.349520313980989</v>
      </c>
    </row>
    <row r="43" spans="1:4">
      <c r="B43">
        <f t="shared" si="2"/>
        <v>3</v>
      </c>
      <c r="C43">
        <f t="shared" si="1"/>
        <v>388.4349199257851</v>
      </c>
      <c r="D43">
        <f t="shared" si="0"/>
        <v>77.686983985157028</v>
      </c>
    </row>
    <row r="44" spans="1:4">
      <c r="B44">
        <f t="shared" si="2"/>
        <v>3.5</v>
      </c>
      <c r="C44">
        <f t="shared" si="1"/>
        <v>413.11302827477743</v>
      </c>
      <c r="D44">
        <f t="shared" si="0"/>
        <v>82.622605654955478</v>
      </c>
    </row>
    <row r="45" spans="1:4">
      <c r="B45">
        <f t="shared" si="2"/>
        <v>4</v>
      </c>
      <c r="C45">
        <f t="shared" si="1"/>
        <v>432.33235838169367</v>
      </c>
      <c r="D45">
        <f t="shared" si="0"/>
        <v>86.466471676338728</v>
      </c>
    </row>
    <row r="46" spans="1:4">
      <c r="B46">
        <f t="shared" si="2"/>
        <v>4.5</v>
      </c>
      <c r="C46">
        <f t="shared" si="1"/>
        <v>447.30038771906783</v>
      </c>
      <c r="D46">
        <f t="shared" si="0"/>
        <v>89.460077543813568</v>
      </c>
    </row>
    <row r="47" spans="1:4">
      <c r="B47">
        <f t="shared" si="2"/>
        <v>5</v>
      </c>
      <c r="C47">
        <f t="shared" si="1"/>
        <v>458.95750068805057</v>
      </c>
      <c r="D47">
        <f t="shared" si="0"/>
        <v>91.791500137610115</v>
      </c>
    </row>
    <row r="48" spans="1:4">
      <c r="B48">
        <f t="shared" si="2"/>
        <v>5.5</v>
      </c>
      <c r="C48">
        <f t="shared" si="1"/>
        <v>468.03606939664621</v>
      </c>
      <c r="D48">
        <f t="shared" si="0"/>
        <v>93.607213879329237</v>
      </c>
    </row>
    <row r="49" spans="2:4">
      <c r="B49">
        <f>B48+0.5</f>
        <v>6</v>
      </c>
      <c r="C49">
        <f t="shared" si="1"/>
        <v>475.10646581606801</v>
      </c>
      <c r="D49">
        <f t="shared" si="0"/>
        <v>95.021293163213599</v>
      </c>
    </row>
  </sheetData>
  <mergeCells count="1">
    <mergeCell ref="A1:I1"/>
  </mergeCells>
  <pageMargins left="0.7" right="0.7" top="0.75" bottom="0.75" header="0.3" footer="0.3"/>
  <pageSetup paperSize="9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shapeId="2049" r:id="rId4">
          <objectPr defaultSize="0" autoPict="0" r:id="rId5">
            <anchor moveWithCells="1">
              <from>
                <xdr:col>3</xdr:col>
                <xdr:colOff>425450</xdr:colOff>
                <xdr:row>2</xdr:row>
                <xdr:rowOff>171450</xdr:rowOff>
              </from>
              <to>
                <xdr:col>5</xdr:col>
                <xdr:colOff>514350</xdr:colOff>
                <xdr:row>4</xdr:row>
                <xdr:rowOff>101600</xdr:rowOff>
              </to>
            </anchor>
          </objectPr>
        </oleObject>
      </mc:Choice>
      <mc:Fallback>
        <oleObject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4"/>
  <sheetViews>
    <sheetView topLeftCell="A28" workbookViewId="0">
      <selection activeCell="B38" sqref="B38"/>
    </sheetView>
  </sheetViews>
  <sheetFormatPr defaultRowHeight="15.5"/>
  <sheetData>
    <row r="1" spans="1:8" ht="20.5" thickBot="1">
      <c r="A1" s="29" t="s">
        <v>6</v>
      </c>
      <c r="B1" s="30"/>
      <c r="C1" s="30"/>
      <c r="D1" s="30"/>
      <c r="E1" s="30"/>
      <c r="F1" s="30"/>
      <c r="G1" s="30"/>
      <c r="H1" s="31"/>
    </row>
    <row r="2" spans="1:8" ht="10" customHeight="1">
      <c r="A2" s="1"/>
      <c r="B2" s="1"/>
      <c r="C2" s="1"/>
      <c r="D2" s="1"/>
      <c r="E2" s="1"/>
      <c r="F2" s="1"/>
      <c r="G2" s="1"/>
      <c r="H2" s="1"/>
    </row>
    <row r="4" spans="1:8">
      <c r="A4" t="s">
        <v>10</v>
      </c>
    </row>
    <row r="5" spans="1:8" ht="16.5">
      <c r="A5" s="3" t="s">
        <v>72</v>
      </c>
      <c r="B5" s="4">
        <v>6</v>
      </c>
    </row>
    <row r="6" spans="1:8" ht="16.5">
      <c r="A6" s="3" t="s">
        <v>73</v>
      </c>
      <c r="B6" s="4">
        <v>16</v>
      </c>
    </row>
    <row r="7" spans="1:8" ht="16.5">
      <c r="A7" s="3" t="s">
        <v>74</v>
      </c>
      <c r="B7" s="4">
        <v>40</v>
      </c>
    </row>
    <row r="35" spans="1:2" ht="16.5">
      <c r="A35" t="s">
        <v>7</v>
      </c>
      <c r="B35" t="s">
        <v>75</v>
      </c>
    </row>
    <row r="36" spans="1:2">
      <c r="A36">
        <v>6</v>
      </c>
      <c r="B36">
        <f t="shared" ref="B36:B64" si="0">((A36-Tmin)/(Topt-Tmin))*((Tmax-A36)/(Tmax-Topt))^((Tmax-Topt)/(Topt-Tmin))</f>
        <v>0</v>
      </c>
    </row>
    <row r="37" spans="1:2">
      <c r="A37">
        <f>A36+1</f>
        <v>7</v>
      </c>
      <c r="B37">
        <f t="shared" si="0"/>
        <v>0.21474668853934475</v>
      </c>
    </row>
    <row r="38" spans="1:2">
      <c r="A38">
        <f t="shared" ref="A38:A64" si="1">A37+1</f>
        <v>8</v>
      </c>
      <c r="B38">
        <f t="shared" si="0"/>
        <v>0.39891738504753754</v>
      </c>
    </row>
    <row r="39" spans="1:2">
      <c r="A39">
        <f t="shared" si="1"/>
        <v>9</v>
      </c>
      <c r="B39">
        <f t="shared" si="0"/>
        <v>0.55447547267583852</v>
      </c>
    </row>
    <row r="40" spans="1:2">
      <c r="A40">
        <f t="shared" si="1"/>
        <v>10</v>
      </c>
      <c r="B40">
        <f t="shared" si="0"/>
        <v>0.68335129621454882</v>
      </c>
    </row>
    <row r="41" spans="1:2">
      <c r="A41">
        <f t="shared" si="1"/>
        <v>11</v>
      </c>
      <c r="B41">
        <f t="shared" si="0"/>
        <v>0.78744135458199283</v>
      </c>
    </row>
    <row r="42" spans="1:2">
      <c r="A42">
        <f t="shared" si="1"/>
        <v>12</v>
      </c>
      <c r="B42">
        <f t="shared" si="0"/>
        <v>0.86860744106822652</v>
      </c>
    </row>
    <row r="43" spans="1:2">
      <c r="A43">
        <f t="shared" si="1"/>
        <v>13</v>
      </c>
      <c r="B43">
        <f t="shared" si="0"/>
        <v>0.92867572580504387</v>
      </c>
    </row>
    <row r="44" spans="1:2">
      <c r="A44">
        <f t="shared" si="1"/>
        <v>14</v>
      </c>
      <c r="B44">
        <f t="shared" si="0"/>
        <v>0.96943577411141701</v>
      </c>
    </row>
    <row r="45" spans="1:2">
      <c r="A45">
        <f t="shared" si="1"/>
        <v>15</v>
      </c>
      <c r="B45">
        <f t="shared" si="0"/>
        <v>0.99263949338129465</v>
      </c>
    </row>
    <row r="46" spans="1:2">
      <c r="A46">
        <f t="shared" si="1"/>
        <v>16</v>
      </c>
      <c r="B46">
        <f t="shared" si="0"/>
        <v>1</v>
      </c>
    </row>
    <row r="47" spans="1:2">
      <c r="A47">
        <f t="shared" si="1"/>
        <v>17</v>
      </c>
      <c r="B47">
        <f t="shared" si="0"/>
        <v>0.99319039634604955</v>
      </c>
    </row>
    <row r="48" spans="1:2">
      <c r="A48">
        <f t="shared" si="1"/>
        <v>18</v>
      </c>
      <c r="B48">
        <f t="shared" si="0"/>
        <v>0.97384244619141702</v>
      </c>
    </row>
    <row r="49" spans="1:2">
      <c r="A49">
        <f t="shared" si="1"/>
        <v>19</v>
      </c>
      <c r="B49">
        <f t="shared" si="0"/>
        <v>0.94354513466836643</v>
      </c>
    </row>
    <row r="50" spans="1:2">
      <c r="A50">
        <f t="shared" si="1"/>
        <v>20</v>
      </c>
      <c r="B50">
        <f t="shared" si="0"/>
        <v>0.90384309630888815</v>
      </c>
    </row>
    <row r="51" spans="1:2">
      <c r="A51">
        <f t="shared" si="1"/>
        <v>21</v>
      </c>
      <c r="B51">
        <f t="shared" si="0"/>
        <v>0.85623489132655406</v>
      </c>
    </row>
    <row r="52" spans="1:2">
      <c r="A52">
        <f t="shared" si="1"/>
        <v>22</v>
      </c>
      <c r="B52">
        <f t="shared" si="0"/>
        <v>0.80217110608470166</v>
      </c>
    </row>
    <row r="53" spans="1:2">
      <c r="A53">
        <f t="shared" si="1"/>
        <v>23</v>
      </c>
      <c r="B53">
        <f t="shared" si="0"/>
        <v>0.74305224827919492</v>
      </c>
    </row>
    <row r="54" spans="1:2">
      <c r="A54">
        <f t="shared" si="1"/>
        <v>24</v>
      </c>
      <c r="B54">
        <f t="shared" si="0"/>
        <v>0.68022640033375514</v>
      </c>
    </row>
    <row r="55" spans="1:2">
      <c r="A55">
        <f t="shared" si="1"/>
        <v>25</v>
      </c>
      <c r="B55">
        <f t="shared" si="0"/>
        <v>0.61498658524863026</v>
      </c>
    </row>
    <row r="56" spans="1:2">
      <c r="A56">
        <f t="shared" si="1"/>
        <v>26</v>
      </c>
      <c r="B56">
        <f t="shared" si="0"/>
        <v>0.5485677867588814</v>
      </c>
    </row>
    <row r="57" spans="1:2">
      <c r="A57">
        <f t="shared" si="1"/>
        <v>27</v>
      </c>
      <c r="B57">
        <f t="shared" si="0"/>
        <v>0.48214354879310389</v>
      </c>
    </row>
    <row r="58" spans="1:2">
      <c r="A58">
        <f t="shared" si="1"/>
        <v>28</v>
      </c>
      <c r="B58">
        <f t="shared" si="0"/>
        <v>0.41682205579035947</v>
      </c>
    </row>
    <row r="59" spans="1:2">
      <c r="A59">
        <f t="shared" si="1"/>
        <v>29</v>
      </c>
      <c r="B59">
        <f t="shared" si="0"/>
        <v>0.35364156212350889</v>
      </c>
    </row>
    <row r="60" spans="1:2">
      <c r="A60">
        <f t="shared" si="1"/>
        <v>30</v>
      </c>
      <c r="B60">
        <f t="shared" si="0"/>
        <v>0.29356499027173616</v>
      </c>
    </row>
    <row r="61" spans="1:2">
      <c r="A61">
        <f t="shared" si="1"/>
        <v>31</v>
      </c>
      <c r="B61">
        <f t="shared" si="0"/>
        <v>0.23747344427120165</v>
      </c>
    </row>
    <row r="62" spans="1:2">
      <c r="A62">
        <f t="shared" si="1"/>
        <v>32</v>
      </c>
      <c r="B62">
        <f t="shared" si="0"/>
        <v>0.18615827099342899</v>
      </c>
    </row>
    <row r="63" spans="1:2">
      <c r="A63">
        <f t="shared" si="1"/>
        <v>33</v>
      </c>
      <c r="B63">
        <f t="shared" si="0"/>
        <v>0.14031111637873911</v>
      </c>
    </row>
    <row r="64" spans="1:2">
      <c r="A64">
        <f t="shared" si="1"/>
        <v>34</v>
      </c>
      <c r="B64">
        <f t="shared" si="0"/>
        <v>0.10051110606224056</v>
      </c>
    </row>
  </sheetData>
  <mergeCells count="1">
    <mergeCell ref="A1:H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shapeId="3073" r:id="rId3">
          <objectPr defaultSize="0" autoPict="0" r:id="rId4">
            <anchor moveWithCells="1">
              <from>
                <xdr:col>1</xdr:col>
                <xdr:colOff>501650</xdr:colOff>
                <xdr:row>3</xdr:row>
                <xdr:rowOff>120650</xdr:rowOff>
              </from>
              <to>
                <xdr:col>8</xdr:col>
                <xdr:colOff>355600</xdr:colOff>
                <xdr:row>7</xdr:row>
                <xdr:rowOff>139700</xdr:rowOff>
              </to>
            </anchor>
          </objectPr>
        </oleObject>
      </mc:Choice>
      <mc:Fallback>
        <oleObject shapeId="3073" r:id="rId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4"/>
  <sheetViews>
    <sheetView workbookViewId="0">
      <selection activeCell="B37" sqref="B37"/>
    </sheetView>
  </sheetViews>
  <sheetFormatPr defaultRowHeight="15.5"/>
  <sheetData>
    <row r="1" spans="1:8" ht="20.5" thickBot="1">
      <c r="A1" s="29" t="s">
        <v>11</v>
      </c>
      <c r="B1" s="30"/>
      <c r="C1" s="30"/>
      <c r="D1" s="30"/>
      <c r="E1" s="30"/>
      <c r="F1" s="30"/>
      <c r="G1" s="30"/>
      <c r="H1" s="31"/>
    </row>
    <row r="2" spans="1:8" ht="10" customHeight="1">
      <c r="A2" s="1"/>
      <c r="B2" s="1"/>
      <c r="C2" s="1"/>
      <c r="D2" s="1"/>
      <c r="E2" s="1"/>
      <c r="F2" s="1"/>
      <c r="G2" s="1"/>
      <c r="H2" s="1"/>
    </row>
    <row r="4" spans="1:8">
      <c r="A4" t="s">
        <v>10</v>
      </c>
    </row>
    <row r="5" spans="1:8" ht="16.5">
      <c r="A5" s="3" t="s">
        <v>78</v>
      </c>
      <c r="B5" s="4">
        <v>1</v>
      </c>
    </row>
    <row r="33" spans="1:2" ht="16.5">
      <c r="A33" t="s">
        <v>76</v>
      </c>
      <c r="B33" t="s">
        <v>77</v>
      </c>
    </row>
    <row r="34" spans="1:2">
      <c r="A34">
        <v>0</v>
      </c>
      <c r="B34">
        <f t="shared" ref="B34:B64" si="0">1-kF*(A34/30)</f>
        <v>1</v>
      </c>
    </row>
    <row r="35" spans="1:2">
      <c r="A35">
        <f>A34+1</f>
        <v>1</v>
      </c>
      <c r="B35">
        <f t="shared" si="0"/>
        <v>0.96666666666666667</v>
      </c>
    </row>
    <row r="36" spans="1:2">
      <c r="A36">
        <f t="shared" ref="A36:A64" si="1">A35+1</f>
        <v>2</v>
      </c>
      <c r="B36">
        <f t="shared" si="0"/>
        <v>0.93333333333333335</v>
      </c>
    </row>
    <row r="37" spans="1:2">
      <c r="A37">
        <f t="shared" si="1"/>
        <v>3</v>
      </c>
      <c r="B37">
        <f t="shared" si="0"/>
        <v>0.9</v>
      </c>
    </row>
    <row r="38" spans="1:2">
      <c r="A38">
        <f t="shared" si="1"/>
        <v>4</v>
      </c>
      <c r="B38">
        <f t="shared" si="0"/>
        <v>0.8666666666666667</v>
      </c>
    </row>
    <row r="39" spans="1:2">
      <c r="A39">
        <f t="shared" si="1"/>
        <v>5</v>
      </c>
      <c r="B39">
        <f t="shared" si="0"/>
        <v>0.83333333333333337</v>
      </c>
    </row>
    <row r="40" spans="1:2">
      <c r="A40">
        <f t="shared" si="1"/>
        <v>6</v>
      </c>
      <c r="B40">
        <f t="shared" si="0"/>
        <v>0.8</v>
      </c>
    </row>
    <row r="41" spans="1:2">
      <c r="A41">
        <f t="shared" si="1"/>
        <v>7</v>
      </c>
      <c r="B41">
        <f t="shared" si="0"/>
        <v>0.76666666666666661</v>
      </c>
    </row>
    <row r="42" spans="1:2">
      <c r="A42">
        <f t="shared" si="1"/>
        <v>8</v>
      </c>
      <c r="B42">
        <f t="shared" si="0"/>
        <v>0.73333333333333339</v>
      </c>
    </row>
    <row r="43" spans="1:2">
      <c r="A43">
        <f t="shared" si="1"/>
        <v>9</v>
      </c>
      <c r="B43">
        <f t="shared" si="0"/>
        <v>0.7</v>
      </c>
    </row>
    <row r="44" spans="1:2">
      <c r="A44">
        <f t="shared" si="1"/>
        <v>10</v>
      </c>
      <c r="B44">
        <f t="shared" si="0"/>
        <v>0.66666666666666674</v>
      </c>
    </row>
    <row r="45" spans="1:2">
      <c r="A45">
        <f t="shared" si="1"/>
        <v>11</v>
      </c>
      <c r="B45">
        <f t="shared" si="0"/>
        <v>0.6333333333333333</v>
      </c>
    </row>
    <row r="46" spans="1:2">
      <c r="A46">
        <f t="shared" si="1"/>
        <v>12</v>
      </c>
      <c r="B46">
        <f t="shared" si="0"/>
        <v>0.6</v>
      </c>
    </row>
    <row r="47" spans="1:2">
      <c r="A47">
        <f t="shared" si="1"/>
        <v>13</v>
      </c>
      <c r="B47">
        <f t="shared" si="0"/>
        <v>0.56666666666666665</v>
      </c>
    </row>
    <row r="48" spans="1:2">
      <c r="A48">
        <f t="shared" si="1"/>
        <v>14</v>
      </c>
      <c r="B48">
        <f t="shared" si="0"/>
        <v>0.53333333333333333</v>
      </c>
    </row>
    <row r="49" spans="1:2">
      <c r="A49">
        <f t="shared" si="1"/>
        <v>15</v>
      </c>
      <c r="B49">
        <f t="shared" si="0"/>
        <v>0.5</v>
      </c>
    </row>
    <row r="50" spans="1:2">
      <c r="A50">
        <f t="shared" si="1"/>
        <v>16</v>
      </c>
      <c r="B50">
        <f t="shared" si="0"/>
        <v>0.46666666666666667</v>
      </c>
    </row>
    <row r="51" spans="1:2">
      <c r="A51">
        <f t="shared" si="1"/>
        <v>17</v>
      </c>
      <c r="B51">
        <f t="shared" si="0"/>
        <v>0.43333333333333335</v>
      </c>
    </row>
    <row r="52" spans="1:2">
      <c r="A52">
        <f t="shared" si="1"/>
        <v>18</v>
      </c>
      <c r="B52">
        <f t="shared" si="0"/>
        <v>0.4</v>
      </c>
    </row>
    <row r="53" spans="1:2">
      <c r="A53">
        <f t="shared" si="1"/>
        <v>19</v>
      </c>
      <c r="B53">
        <f t="shared" si="0"/>
        <v>0.3666666666666667</v>
      </c>
    </row>
    <row r="54" spans="1:2">
      <c r="A54">
        <f t="shared" si="1"/>
        <v>20</v>
      </c>
      <c r="B54">
        <f t="shared" si="0"/>
        <v>0.33333333333333337</v>
      </c>
    </row>
    <row r="55" spans="1:2">
      <c r="A55">
        <f t="shared" si="1"/>
        <v>21</v>
      </c>
      <c r="B55">
        <f t="shared" si="0"/>
        <v>0.30000000000000004</v>
      </c>
    </row>
    <row r="56" spans="1:2">
      <c r="A56">
        <f t="shared" si="1"/>
        <v>22</v>
      </c>
      <c r="B56">
        <f t="shared" si="0"/>
        <v>0.26666666666666672</v>
      </c>
    </row>
    <row r="57" spans="1:2">
      <c r="A57">
        <f t="shared" si="1"/>
        <v>23</v>
      </c>
      <c r="B57">
        <f t="shared" si="0"/>
        <v>0.23333333333333328</v>
      </c>
    </row>
    <row r="58" spans="1:2">
      <c r="A58">
        <f t="shared" si="1"/>
        <v>24</v>
      </c>
      <c r="B58">
        <f t="shared" si="0"/>
        <v>0.19999999999999996</v>
      </c>
    </row>
    <row r="59" spans="1:2">
      <c r="A59">
        <f t="shared" si="1"/>
        <v>25</v>
      </c>
      <c r="B59">
        <f t="shared" si="0"/>
        <v>0.16666666666666663</v>
      </c>
    </row>
    <row r="60" spans="1:2">
      <c r="A60">
        <f t="shared" si="1"/>
        <v>26</v>
      </c>
      <c r="B60">
        <f t="shared" si="0"/>
        <v>0.1333333333333333</v>
      </c>
    </row>
    <row r="61" spans="1:2">
      <c r="A61">
        <f t="shared" si="1"/>
        <v>27</v>
      </c>
      <c r="B61">
        <f t="shared" si="0"/>
        <v>9.9999999999999978E-2</v>
      </c>
    </row>
    <row r="62" spans="1:2">
      <c r="A62">
        <f t="shared" si="1"/>
        <v>28</v>
      </c>
      <c r="B62">
        <f t="shared" si="0"/>
        <v>6.6666666666666652E-2</v>
      </c>
    </row>
    <row r="63" spans="1:2">
      <c r="A63">
        <f t="shared" si="1"/>
        <v>29</v>
      </c>
      <c r="B63">
        <f t="shared" si="0"/>
        <v>3.3333333333333326E-2</v>
      </c>
    </row>
    <row r="64" spans="1:2">
      <c r="A64">
        <f t="shared" si="1"/>
        <v>30</v>
      </c>
      <c r="B64">
        <f t="shared" si="0"/>
        <v>0</v>
      </c>
    </row>
  </sheetData>
  <mergeCells count="1">
    <mergeCell ref="A1:H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shapeId="4097" r:id="rId3">
          <objectPr defaultSize="0" autoPict="0" r:id="rId4">
            <anchor moveWithCells="1">
              <from>
                <xdr:col>1</xdr:col>
                <xdr:colOff>622300</xdr:colOff>
                <xdr:row>2</xdr:row>
                <xdr:rowOff>127000</xdr:rowOff>
              </from>
              <to>
                <xdr:col>3</xdr:col>
                <xdr:colOff>723900</xdr:colOff>
                <xdr:row>3</xdr:row>
                <xdr:rowOff>165100</xdr:rowOff>
              </to>
            </anchor>
          </objectPr>
        </oleObject>
      </mc:Choice>
      <mc:Fallback>
        <oleObject shapeId="4097" r:id="rId3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6"/>
  <sheetViews>
    <sheetView workbookViewId="0">
      <selection activeCell="D40" sqref="D40"/>
    </sheetView>
  </sheetViews>
  <sheetFormatPr defaultRowHeight="15.5"/>
  <sheetData>
    <row r="1" spans="1:8" ht="20.5" thickBot="1">
      <c r="A1" s="29" t="s">
        <v>12</v>
      </c>
      <c r="B1" s="30"/>
      <c r="C1" s="30"/>
      <c r="D1" s="30"/>
      <c r="E1" s="30"/>
      <c r="F1" s="30"/>
      <c r="G1" s="30"/>
      <c r="H1" s="31"/>
    </row>
    <row r="2" spans="1:8" ht="10" customHeight="1">
      <c r="A2" s="1"/>
      <c r="B2" s="1"/>
      <c r="C2" s="1"/>
      <c r="D2" s="1"/>
      <c r="E2" s="1"/>
      <c r="F2" s="1"/>
      <c r="G2" s="1"/>
      <c r="H2" s="1"/>
    </row>
    <row r="4" spans="1:8">
      <c r="A4" t="s">
        <v>10</v>
      </c>
    </row>
    <row r="5" spans="1:8" ht="16.5">
      <c r="A5" s="3" t="s">
        <v>79</v>
      </c>
      <c r="B5" s="4">
        <v>0.7</v>
      </c>
    </row>
    <row r="6" spans="1:8" ht="16.5">
      <c r="A6" s="3" t="s">
        <v>80</v>
      </c>
      <c r="B6" s="4">
        <v>9</v>
      </c>
    </row>
    <row r="30" spans="1:8">
      <c r="G30" s="21">
        <v>1</v>
      </c>
      <c r="H30" s="22" t="s">
        <v>85</v>
      </c>
    </row>
    <row r="31" spans="1:8">
      <c r="B31" s="20">
        <v>1</v>
      </c>
      <c r="C31" s="20">
        <v>2</v>
      </c>
      <c r="D31" s="20">
        <v>3</v>
      </c>
      <c r="E31" s="20">
        <v>4</v>
      </c>
      <c r="G31" s="21">
        <v>2</v>
      </c>
      <c r="H31" s="22" t="s">
        <v>86</v>
      </c>
    </row>
    <row r="32" spans="1:8" ht="16.5">
      <c r="A32" s="2" t="s">
        <v>83</v>
      </c>
      <c r="B32">
        <f>0.8-0.1*B31</f>
        <v>0.70000000000000007</v>
      </c>
      <c r="C32">
        <f t="shared" ref="C32:E32" si="0">0.8-0.1*C31</f>
        <v>0.60000000000000009</v>
      </c>
      <c r="D32">
        <f t="shared" si="0"/>
        <v>0.5</v>
      </c>
      <c r="E32">
        <f t="shared" si="0"/>
        <v>0.4</v>
      </c>
      <c r="G32" s="21">
        <v>3</v>
      </c>
      <c r="H32" s="22" t="s">
        <v>87</v>
      </c>
    </row>
    <row r="33" spans="1:8" ht="16.5">
      <c r="A33" s="2" t="s">
        <v>84</v>
      </c>
      <c r="B33">
        <f>11-2*B31</f>
        <v>9</v>
      </c>
      <c r="C33">
        <f t="shared" ref="C33:E33" si="1">11-2*C31</f>
        <v>7</v>
      </c>
      <c r="D33">
        <f t="shared" si="1"/>
        <v>5</v>
      </c>
      <c r="E33">
        <f t="shared" si="1"/>
        <v>3</v>
      </c>
      <c r="G33" s="21">
        <v>4</v>
      </c>
      <c r="H33" s="22" t="s">
        <v>16</v>
      </c>
    </row>
    <row r="34" spans="1:8" ht="16.5">
      <c r="B34" s="32" t="s">
        <v>81</v>
      </c>
      <c r="C34" s="32"/>
      <c r="D34" s="32"/>
    </row>
    <row r="35" spans="1:8" ht="16.5">
      <c r="A35" t="s">
        <v>82</v>
      </c>
      <c r="B35" s="19" t="s">
        <v>13</v>
      </c>
      <c r="C35" s="19" t="s">
        <v>15</v>
      </c>
      <c r="D35" s="19" t="s">
        <v>14</v>
      </c>
      <c r="E35" s="19" t="s">
        <v>16</v>
      </c>
    </row>
    <row r="36" spans="1:8">
      <c r="A36">
        <v>0</v>
      </c>
      <c r="B36">
        <f>1/(1+((1-$A36)/B$32)^B$33)</f>
        <v>3.8788356889889686E-2</v>
      </c>
      <c r="C36">
        <f t="shared" ref="C36:E36" si="2">1/(1+((1-$A36)/C$32)^C$33)</f>
        <v>2.7231297938041656E-2</v>
      </c>
      <c r="D36">
        <f t="shared" si="2"/>
        <v>3.0303030303030304E-2</v>
      </c>
      <c r="E36">
        <f t="shared" si="2"/>
        <v>6.0150375939849621E-2</v>
      </c>
    </row>
    <row r="37" spans="1:8">
      <c r="A37">
        <f>A36+0.05</f>
        <v>0.05</v>
      </c>
      <c r="B37">
        <f t="shared" ref="B37:E56" si="3">1/(1+((1-$A37)/B$32)^B$33)</f>
        <v>6.017510508243315E-2</v>
      </c>
      <c r="C37">
        <f t="shared" si="3"/>
        <v>3.8541111428071227E-2</v>
      </c>
      <c r="D37">
        <f t="shared" si="3"/>
        <v>3.8818383920804285E-2</v>
      </c>
      <c r="E37">
        <f t="shared" si="3"/>
        <v>6.9461402794736157E-2</v>
      </c>
    </row>
    <row r="38" spans="1:8">
      <c r="A38">
        <f t="shared" ref="A38:A56" si="4">A37+0.05</f>
        <v>0.1</v>
      </c>
      <c r="B38">
        <f t="shared" si="3"/>
        <v>9.4333919181492559E-2</v>
      </c>
      <c r="C38">
        <f t="shared" si="3"/>
        <v>5.5291576673866159E-2</v>
      </c>
      <c r="D38">
        <f t="shared" si="3"/>
        <v>5.0262167465500031E-2</v>
      </c>
      <c r="E38">
        <f t="shared" si="3"/>
        <v>8.0706179066834804E-2</v>
      </c>
    </row>
    <row r="39" spans="1:8">
      <c r="A39">
        <f t="shared" si="4"/>
        <v>0.15000000000000002</v>
      </c>
      <c r="B39">
        <f t="shared" si="3"/>
        <v>0.14837491233096764</v>
      </c>
      <c r="C39">
        <f t="shared" si="3"/>
        <v>8.0309678757075856E-2</v>
      </c>
      <c r="D39">
        <f t="shared" si="3"/>
        <v>6.5795663670990115E-2</v>
      </c>
      <c r="E39">
        <f t="shared" si="3"/>
        <v>9.4377880184331797E-2</v>
      </c>
    </row>
    <row r="40" spans="1:8">
      <c r="A40">
        <f t="shared" si="4"/>
        <v>0.2</v>
      </c>
      <c r="B40">
        <f t="shared" si="3"/>
        <v>0.23115826547353849</v>
      </c>
      <c r="C40">
        <f t="shared" si="3"/>
        <v>0.11776425609821767</v>
      </c>
      <c r="D40">
        <f t="shared" si="3"/>
        <v>8.7064330092218492E-2</v>
      </c>
      <c r="E40">
        <f t="shared" si="3"/>
        <v>0.1111111111111111</v>
      </c>
    </row>
    <row r="41" spans="1:8">
      <c r="A41">
        <f t="shared" si="4"/>
        <v>0.25</v>
      </c>
      <c r="B41">
        <f t="shared" si="3"/>
        <v>0.34956863839251839</v>
      </c>
      <c r="C41">
        <f t="shared" si="3"/>
        <v>0.17335915098033006</v>
      </c>
      <c r="D41">
        <f t="shared" si="3"/>
        <v>0.11636363636363636</v>
      </c>
      <c r="E41">
        <f t="shared" si="3"/>
        <v>0.13172112168767688</v>
      </c>
    </row>
    <row r="42" spans="1:8">
      <c r="A42">
        <f t="shared" si="4"/>
        <v>0.3</v>
      </c>
      <c r="B42">
        <f t="shared" si="3"/>
        <v>0.50000000000000022</v>
      </c>
      <c r="C42">
        <f t="shared" si="3"/>
        <v>0.25368493646005064</v>
      </c>
      <c r="D42">
        <f t="shared" si="3"/>
        <v>0.15678306241220152</v>
      </c>
      <c r="E42">
        <f t="shared" si="3"/>
        <v>0.15724815724815733</v>
      </c>
    </row>
    <row r="43" spans="1:8">
      <c r="A43">
        <f t="shared" si="4"/>
        <v>0.35</v>
      </c>
      <c r="B43">
        <f t="shared" si="3"/>
        <v>0.66082475195701107</v>
      </c>
      <c r="C43">
        <f t="shared" si="3"/>
        <v>0.36347829041951335</v>
      </c>
      <c r="D43">
        <f t="shared" si="3"/>
        <v>0.21218223058691724</v>
      </c>
      <c r="E43">
        <f t="shared" si="3"/>
        <v>0.18899963086009597</v>
      </c>
    </row>
    <row r="44" spans="1:8">
      <c r="A44">
        <f t="shared" si="4"/>
        <v>0.39999999999999997</v>
      </c>
      <c r="B44">
        <f t="shared" si="3"/>
        <v>0.80016982706157713</v>
      </c>
      <c r="C44">
        <f t="shared" si="3"/>
        <v>0.5</v>
      </c>
      <c r="D44">
        <f t="shared" si="3"/>
        <v>0.28667094761948431</v>
      </c>
      <c r="E44">
        <f t="shared" si="3"/>
        <v>0.22857142857142848</v>
      </c>
    </row>
    <row r="45" spans="1:8">
      <c r="A45">
        <f t="shared" si="4"/>
        <v>0.44999999999999996</v>
      </c>
      <c r="B45">
        <f t="shared" si="3"/>
        <v>0.89756513067671695</v>
      </c>
      <c r="C45">
        <f t="shared" si="3"/>
        <v>0.64773082670235116</v>
      </c>
      <c r="D45">
        <f t="shared" si="3"/>
        <v>0.38306691029722151</v>
      </c>
      <c r="E45">
        <f t="shared" si="3"/>
        <v>0.27780792186652198</v>
      </c>
    </row>
    <row r="46" spans="1:8">
      <c r="A46">
        <f t="shared" si="4"/>
        <v>0.49999999999999994</v>
      </c>
      <c r="B46">
        <f t="shared" si="3"/>
        <v>0.95383417939253734</v>
      </c>
      <c r="C46">
        <f t="shared" si="3"/>
        <v>0.78181092048561562</v>
      </c>
      <c r="D46">
        <f t="shared" si="3"/>
        <v>0.5</v>
      </c>
      <c r="E46">
        <f t="shared" si="3"/>
        <v>0.33862433862433861</v>
      </c>
    </row>
    <row r="47" spans="1:8">
      <c r="A47">
        <f t="shared" si="4"/>
        <v>0.54999999999999993</v>
      </c>
      <c r="B47">
        <f t="shared" si="3"/>
        <v>0.98159388595971708</v>
      </c>
      <c r="C47">
        <f t="shared" si="3"/>
        <v>0.88223574390178239</v>
      </c>
      <c r="D47">
        <f t="shared" si="3"/>
        <v>0.62873705587586204</v>
      </c>
      <c r="E47">
        <f t="shared" si="3"/>
        <v>0.41257050765511682</v>
      </c>
    </row>
    <row r="48" spans="1:8">
      <c r="A48">
        <f t="shared" si="4"/>
        <v>0.6</v>
      </c>
      <c r="B48">
        <f t="shared" si="3"/>
        <v>0.99354575519236366</v>
      </c>
      <c r="C48">
        <f t="shared" si="3"/>
        <v>0.94470842332613392</v>
      </c>
      <c r="D48">
        <f t="shared" si="3"/>
        <v>0.75319354061219557</v>
      </c>
      <c r="E48">
        <f t="shared" si="3"/>
        <v>0.5</v>
      </c>
    </row>
    <row r="49" spans="1:5">
      <c r="A49">
        <f t="shared" si="4"/>
        <v>0.65</v>
      </c>
      <c r="B49">
        <f t="shared" si="3"/>
        <v>0.99805068226120852</v>
      </c>
      <c r="C49">
        <f t="shared" si="3"/>
        <v>0.97753280278232779</v>
      </c>
      <c r="D49">
        <f t="shared" si="3"/>
        <v>0.85611307541500081</v>
      </c>
      <c r="E49">
        <f t="shared" si="3"/>
        <v>0.59883040935672527</v>
      </c>
    </row>
    <row r="50" spans="1:5">
      <c r="A50">
        <f t="shared" si="4"/>
        <v>0.70000000000000007</v>
      </c>
      <c r="B50">
        <f t="shared" si="3"/>
        <v>0.99951247470790716</v>
      </c>
      <c r="C50">
        <f t="shared" si="3"/>
        <v>0.99224806201550386</v>
      </c>
      <c r="D50">
        <f t="shared" si="3"/>
        <v>0.92785035629453694</v>
      </c>
      <c r="E50">
        <f t="shared" si="3"/>
        <v>0.70329670329670346</v>
      </c>
    </row>
    <row r="51" spans="1:5">
      <c r="A51">
        <f t="shared" si="4"/>
        <v>0.75000000000000011</v>
      </c>
      <c r="B51">
        <f t="shared" si="3"/>
        <v>0.99990547718101908</v>
      </c>
      <c r="C51">
        <f t="shared" si="3"/>
        <v>0.99782441810737998</v>
      </c>
      <c r="D51">
        <f t="shared" si="3"/>
        <v>0.96969696969696972</v>
      </c>
      <c r="E51">
        <f t="shared" si="3"/>
        <v>0.80376766091051832</v>
      </c>
    </row>
    <row r="52" spans="1:5">
      <c r="A52">
        <f t="shared" si="4"/>
        <v>0.80000000000000016</v>
      </c>
      <c r="B52">
        <f t="shared" si="3"/>
        <v>0.99998731232368121</v>
      </c>
      <c r="C52">
        <f t="shared" si="3"/>
        <v>0.9995429616087752</v>
      </c>
      <c r="D52">
        <f t="shared" si="3"/>
        <v>0.98986379474184349</v>
      </c>
      <c r="E52">
        <f t="shared" si="3"/>
        <v>0.88888888888888928</v>
      </c>
    </row>
    <row r="53" spans="1:5">
      <c r="A53">
        <f t="shared" si="4"/>
        <v>0.8500000000000002</v>
      </c>
      <c r="B53">
        <f t="shared" si="3"/>
        <v>0.99999904733862455</v>
      </c>
      <c r="C53">
        <f t="shared" si="3"/>
        <v>0.99993896856881292</v>
      </c>
      <c r="D53">
        <f t="shared" si="3"/>
        <v>0.99757589058587637</v>
      </c>
      <c r="E53">
        <f t="shared" si="3"/>
        <v>0.94990723562152157</v>
      </c>
    </row>
    <row r="54" spans="1:5">
      <c r="A54">
        <f t="shared" si="4"/>
        <v>0.90000000000000024</v>
      </c>
      <c r="B54">
        <f t="shared" si="3"/>
        <v>0.99999997521906847</v>
      </c>
      <c r="C54">
        <f t="shared" si="3"/>
        <v>0.99999642776767628</v>
      </c>
      <c r="D54">
        <f t="shared" si="3"/>
        <v>0.99968010236724236</v>
      </c>
      <c r="E54">
        <f t="shared" si="3"/>
        <v>0.98461538461538478</v>
      </c>
    </row>
    <row r="55" spans="1:5">
      <c r="A55">
        <f t="shared" si="4"/>
        <v>0.95000000000000029</v>
      </c>
      <c r="B55">
        <f t="shared" si="3"/>
        <v>0.99999999995159983</v>
      </c>
      <c r="C55">
        <f t="shared" si="3"/>
        <v>0.99999997209183611</v>
      </c>
      <c r="D55">
        <f t="shared" si="3"/>
        <v>0.99999000009999894</v>
      </c>
      <c r="E55">
        <f t="shared" si="3"/>
        <v>0.99805068226120852</v>
      </c>
    </row>
    <row r="56" spans="1:5">
      <c r="A56">
        <f t="shared" si="4"/>
        <v>1.0000000000000002</v>
      </c>
      <c r="B56">
        <f t="shared" si="3"/>
        <v>1</v>
      </c>
      <c r="C56">
        <f t="shared" si="3"/>
        <v>1</v>
      </c>
      <c r="D56">
        <f t="shared" si="3"/>
        <v>1</v>
      </c>
      <c r="E56">
        <f t="shared" si="3"/>
        <v>1</v>
      </c>
    </row>
  </sheetData>
  <mergeCells count="2">
    <mergeCell ref="A1:H1"/>
    <mergeCell ref="B34:D34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shapeId="5121" r:id="rId3">
          <objectPr defaultSize="0" autoPict="0" r:id="rId4">
            <anchor moveWithCells="1">
              <from>
                <xdr:col>2</xdr:col>
                <xdr:colOff>19050</xdr:colOff>
                <xdr:row>2</xdr:row>
                <xdr:rowOff>114300</xdr:rowOff>
              </from>
              <to>
                <xdr:col>4</xdr:col>
                <xdr:colOff>749300</xdr:colOff>
                <xdr:row>5</xdr:row>
                <xdr:rowOff>38100</xdr:rowOff>
              </to>
            </anchor>
          </objectPr>
        </oleObject>
      </mc:Choice>
      <mc:Fallback>
        <oleObject shapeId="5121" r:id="rId3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4"/>
  <sheetViews>
    <sheetView topLeftCell="A31" workbookViewId="0">
      <selection activeCell="B35" sqref="B35"/>
    </sheetView>
  </sheetViews>
  <sheetFormatPr defaultRowHeight="15.5"/>
  <sheetData>
    <row r="1" spans="1:8" ht="20.5" thickBot="1">
      <c r="A1" s="29" t="s">
        <v>31</v>
      </c>
      <c r="B1" s="30"/>
      <c r="C1" s="30"/>
      <c r="D1" s="30"/>
      <c r="E1" s="30"/>
      <c r="F1" s="30"/>
      <c r="G1" s="30"/>
      <c r="H1" s="31"/>
    </row>
    <row r="2" spans="1:8" ht="10" customHeight="1">
      <c r="A2" s="1"/>
      <c r="B2" s="1"/>
      <c r="C2" s="1"/>
      <c r="D2" s="1"/>
      <c r="E2" s="1"/>
      <c r="F2" s="1"/>
      <c r="G2" s="1"/>
      <c r="H2" s="1"/>
    </row>
    <row r="4" spans="1:8">
      <c r="A4" t="s">
        <v>10</v>
      </c>
    </row>
    <row r="5" spans="1:8" ht="16.5">
      <c r="A5" s="3" t="s">
        <v>88</v>
      </c>
      <c r="B5" s="4">
        <v>0.05</v>
      </c>
      <c r="C5" t="s">
        <v>17</v>
      </c>
    </row>
    <row r="33" spans="1:2" ht="16.5">
      <c r="A33" s="16" t="s">
        <v>89</v>
      </c>
      <c r="B33" t="s">
        <v>18</v>
      </c>
    </row>
    <row r="34" spans="1:2">
      <c r="A34">
        <v>0</v>
      </c>
      <c r="B34">
        <f>EXP(-kD*A34)</f>
        <v>1</v>
      </c>
    </row>
    <row r="35" spans="1:2">
      <c r="A35">
        <f>A34+1</f>
        <v>1</v>
      </c>
      <c r="B35">
        <f>EXP(-kD*A35)</f>
        <v>0.95122942450071402</v>
      </c>
    </row>
    <row r="36" spans="1:2">
      <c r="A36">
        <f t="shared" ref="A36:A44" si="0">A35+1</f>
        <v>2</v>
      </c>
      <c r="B36">
        <f t="shared" ref="B36:B44" si="1">EXP(-kD*A36)</f>
        <v>0.90483741803595952</v>
      </c>
    </row>
    <row r="37" spans="1:2">
      <c r="A37">
        <f t="shared" si="0"/>
        <v>3</v>
      </c>
      <c r="B37">
        <f t="shared" si="1"/>
        <v>0.86070797642505781</v>
      </c>
    </row>
    <row r="38" spans="1:2">
      <c r="A38">
        <f t="shared" si="0"/>
        <v>4</v>
      </c>
      <c r="B38">
        <f t="shared" si="1"/>
        <v>0.81873075307798182</v>
      </c>
    </row>
    <row r="39" spans="1:2">
      <c r="A39">
        <f t="shared" si="0"/>
        <v>5</v>
      </c>
      <c r="B39">
        <f t="shared" si="1"/>
        <v>0.77880078307140488</v>
      </c>
    </row>
    <row r="40" spans="1:2">
      <c r="A40">
        <f t="shared" si="0"/>
        <v>6</v>
      </c>
      <c r="B40">
        <f t="shared" si="1"/>
        <v>0.74081822068171788</v>
      </c>
    </row>
    <row r="41" spans="1:2">
      <c r="A41">
        <f t="shared" si="0"/>
        <v>7</v>
      </c>
      <c r="B41">
        <f t="shared" si="1"/>
        <v>0.70468808971871344</v>
      </c>
    </row>
    <row r="42" spans="1:2">
      <c r="A42">
        <f t="shared" si="0"/>
        <v>8</v>
      </c>
      <c r="B42">
        <f t="shared" si="1"/>
        <v>0.67032004603563933</v>
      </c>
    </row>
    <row r="43" spans="1:2">
      <c r="A43">
        <f t="shared" si="0"/>
        <v>9</v>
      </c>
      <c r="B43">
        <f t="shared" si="1"/>
        <v>0.63762815162177333</v>
      </c>
    </row>
    <row r="44" spans="1:2">
      <c r="A44">
        <f t="shared" si="0"/>
        <v>10</v>
      </c>
      <c r="B44">
        <f t="shared" si="1"/>
        <v>0.60653065971263342</v>
      </c>
    </row>
  </sheetData>
  <mergeCells count="1">
    <mergeCell ref="A1:H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shapeId="6145" r:id="rId3">
          <objectPr defaultSize="0" autoPict="0" r:id="rId4">
            <anchor moveWithCells="1">
              <from>
                <xdr:col>4</xdr:col>
                <xdr:colOff>107950</xdr:colOff>
                <xdr:row>2</xdr:row>
                <xdr:rowOff>107950</xdr:rowOff>
              </from>
              <to>
                <xdr:col>5</xdr:col>
                <xdr:colOff>609600</xdr:colOff>
                <xdr:row>4</xdr:row>
                <xdr:rowOff>12700</xdr:rowOff>
              </to>
            </anchor>
          </objectPr>
        </oleObject>
      </mc:Choice>
      <mc:Fallback>
        <oleObject shapeId="6145" r:id="rId3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48"/>
  <sheetViews>
    <sheetView topLeftCell="A28" workbookViewId="0">
      <selection activeCell="C40" sqref="C40"/>
    </sheetView>
  </sheetViews>
  <sheetFormatPr defaultRowHeight="15.5"/>
  <sheetData>
    <row r="1" spans="1:8" ht="20.5" thickBot="1">
      <c r="A1" s="29" t="s">
        <v>32</v>
      </c>
      <c r="B1" s="30"/>
      <c r="C1" s="30"/>
      <c r="D1" s="30"/>
      <c r="E1" s="30"/>
      <c r="F1" s="30"/>
      <c r="G1" s="30"/>
      <c r="H1" s="31"/>
    </row>
    <row r="2" spans="1:8" ht="10" customHeight="1">
      <c r="A2" s="1"/>
      <c r="B2" s="1"/>
      <c r="C2" s="1"/>
      <c r="D2" s="1"/>
      <c r="E2" s="1"/>
      <c r="F2" s="1"/>
      <c r="G2" s="1"/>
      <c r="H2" s="1"/>
    </row>
    <row r="4" spans="1:8">
      <c r="A4" t="s">
        <v>10</v>
      </c>
    </row>
    <row r="5" spans="1:8" ht="16.5">
      <c r="A5" s="3" t="s">
        <v>67</v>
      </c>
      <c r="B5" s="17">
        <v>0.95</v>
      </c>
    </row>
    <row r="6" spans="1:8" ht="16.5">
      <c r="A6" s="3" t="s">
        <v>68</v>
      </c>
      <c r="B6" s="17">
        <v>200</v>
      </c>
      <c r="C6" t="s">
        <v>33</v>
      </c>
    </row>
    <row r="7" spans="1:8" ht="16.5">
      <c r="A7" s="3" t="s">
        <v>69</v>
      </c>
      <c r="B7" s="17">
        <v>4</v>
      </c>
      <c r="C7" t="s">
        <v>35</v>
      </c>
    </row>
    <row r="33" spans="1:13">
      <c r="A33" s="2" t="s">
        <v>66</v>
      </c>
      <c r="B33" s="18">
        <f>B6/10</f>
        <v>20</v>
      </c>
      <c r="I33" s="2" t="s">
        <v>66</v>
      </c>
      <c r="J33" s="18">
        <f>J6/10</f>
        <v>0</v>
      </c>
    </row>
    <row r="34" spans="1:13">
      <c r="A34" s="2"/>
      <c r="I34" s="2"/>
    </row>
    <row r="35" spans="1:13" ht="16.5">
      <c r="A35" s="2"/>
      <c r="B35" s="3" t="s">
        <v>69</v>
      </c>
      <c r="C35">
        <f>nage</f>
        <v>4</v>
      </c>
      <c r="D35">
        <v>4</v>
      </c>
      <c r="E35">
        <v>4</v>
      </c>
      <c r="I35" s="2"/>
      <c r="J35" s="3" t="s">
        <v>69</v>
      </c>
      <c r="K35">
        <v>2</v>
      </c>
      <c r="L35">
        <v>3</v>
      </c>
      <c r="M35">
        <v>4</v>
      </c>
    </row>
    <row r="36" spans="1:13" ht="16.5">
      <c r="B36" s="3" t="s">
        <v>67</v>
      </c>
      <c r="C36">
        <f>rage</f>
        <v>0.95</v>
      </c>
      <c r="D36">
        <v>0.85</v>
      </c>
      <c r="E36">
        <v>0.75</v>
      </c>
      <c r="J36" s="3" t="s">
        <v>67</v>
      </c>
      <c r="K36">
        <v>0.85</v>
      </c>
      <c r="L36">
        <v>0.85</v>
      </c>
      <c r="M36">
        <v>0.85</v>
      </c>
    </row>
    <row r="37" spans="1:13" ht="16.5">
      <c r="A37" s="16" t="s">
        <v>34</v>
      </c>
      <c r="B37" s="16" t="s">
        <v>70</v>
      </c>
      <c r="I37" s="16" t="s">
        <v>34</v>
      </c>
      <c r="J37" s="16" t="s">
        <v>70</v>
      </c>
    </row>
    <row r="38" spans="1:13">
      <c r="A38">
        <v>0</v>
      </c>
      <c r="B38">
        <f>A38/$B$6</f>
        <v>0</v>
      </c>
      <c r="C38">
        <f>1/(1+($B38/C$36)^C$35)</f>
        <v>1</v>
      </c>
      <c r="D38">
        <f t="shared" ref="D38:E38" si="0">1/(1+($B38/D$36)^D$35)</f>
        <v>1</v>
      </c>
      <c r="E38">
        <f t="shared" si="0"/>
        <v>1</v>
      </c>
      <c r="I38">
        <v>0</v>
      </c>
      <c r="J38">
        <f>I38/$B$6</f>
        <v>0</v>
      </c>
      <c r="K38">
        <f>1/(1+($B38/K$36)^K$35)</f>
        <v>1</v>
      </c>
      <c r="L38">
        <f t="shared" ref="L38:M48" si="1">1/(1+($B38/L$36)^L$35)</f>
        <v>1</v>
      </c>
      <c r="M38">
        <f t="shared" si="1"/>
        <v>1</v>
      </c>
    </row>
    <row r="39" spans="1:13">
      <c r="A39">
        <f>A38+$B$33</f>
        <v>20</v>
      </c>
      <c r="B39">
        <f>A39/$B$6</f>
        <v>0.1</v>
      </c>
      <c r="C39">
        <f t="shared" ref="C39:E48" si="2">1/(1+($B39/C$36)^C$35)</f>
        <v>0.99987724130523192</v>
      </c>
      <c r="D39">
        <f t="shared" si="2"/>
        <v>0.99980846810395396</v>
      </c>
      <c r="E39">
        <f t="shared" si="2"/>
        <v>0.99968405047293685</v>
      </c>
      <c r="I39">
        <f>I38+$B$33</f>
        <v>20</v>
      </c>
      <c r="J39">
        <f t="shared" ref="J39:J48" si="3">I39/$B$6</f>
        <v>0.1</v>
      </c>
      <c r="K39">
        <f>1/(1+($B39/K$36)^K$35)</f>
        <v>0.98634812286689422</v>
      </c>
      <c r="L39">
        <f t="shared" si="1"/>
        <v>0.99837431416378775</v>
      </c>
      <c r="M39">
        <f t="shared" si="1"/>
        <v>0.99980846810395396</v>
      </c>
    </row>
    <row r="40" spans="1:13">
      <c r="A40">
        <f t="shared" ref="A40:A48" si="4">A39+$B$33</f>
        <v>40</v>
      </c>
      <c r="B40">
        <f t="shared" ref="B40:B48" si="5">A40/$B$6</f>
        <v>0.2</v>
      </c>
      <c r="C40">
        <f t="shared" si="2"/>
        <v>0.99803947096349288</v>
      </c>
      <c r="D40">
        <f t="shared" si="2"/>
        <v>0.99694426871337005</v>
      </c>
      <c r="E40">
        <f t="shared" si="2"/>
        <v>0.99496865234566922</v>
      </c>
      <c r="I40">
        <f t="shared" ref="I40:I48" si="6">I39+$B$33</f>
        <v>40</v>
      </c>
      <c r="J40">
        <f t="shared" si="3"/>
        <v>0.2</v>
      </c>
      <c r="K40">
        <f t="shared" ref="K40:K48" si="7">1/(1+($B40/K$36)^K$35)</f>
        <v>0.94754098360655736</v>
      </c>
      <c r="L40">
        <f t="shared" si="1"/>
        <v>0.98714084790034162</v>
      </c>
      <c r="M40">
        <f t="shared" si="1"/>
        <v>0.99694426871337005</v>
      </c>
    </row>
    <row r="41" spans="1:13">
      <c r="A41">
        <f t="shared" si="4"/>
        <v>60</v>
      </c>
      <c r="B41">
        <f t="shared" si="5"/>
        <v>0.3</v>
      </c>
      <c r="C41">
        <f t="shared" si="2"/>
        <v>0.99015324768077062</v>
      </c>
      <c r="D41">
        <f t="shared" si="2"/>
        <v>0.98472004433073557</v>
      </c>
      <c r="E41">
        <f t="shared" si="2"/>
        <v>0.97503900156006229</v>
      </c>
      <c r="I41">
        <f t="shared" si="6"/>
        <v>60</v>
      </c>
      <c r="J41">
        <f t="shared" si="3"/>
        <v>0.3</v>
      </c>
      <c r="K41">
        <f t="shared" si="7"/>
        <v>0.88923076923076916</v>
      </c>
      <c r="L41">
        <f t="shared" si="1"/>
        <v>0.95788652758822379</v>
      </c>
      <c r="M41">
        <f t="shared" si="1"/>
        <v>0.98472004433073557</v>
      </c>
    </row>
    <row r="42" spans="1:13">
      <c r="A42">
        <f t="shared" si="4"/>
        <v>80</v>
      </c>
      <c r="B42">
        <f t="shared" si="5"/>
        <v>0.4</v>
      </c>
      <c r="C42">
        <f t="shared" si="2"/>
        <v>0.96952766391155876</v>
      </c>
      <c r="D42">
        <f t="shared" si="2"/>
        <v>0.95325108141114157</v>
      </c>
      <c r="E42">
        <f t="shared" si="2"/>
        <v>0.92514756674768373</v>
      </c>
      <c r="I42">
        <f t="shared" si="6"/>
        <v>80</v>
      </c>
      <c r="J42">
        <f t="shared" si="3"/>
        <v>0.4</v>
      </c>
      <c r="K42">
        <f t="shared" si="7"/>
        <v>0.81869688385269113</v>
      </c>
      <c r="L42">
        <f t="shared" si="1"/>
        <v>0.9056221198156682</v>
      </c>
      <c r="M42">
        <f t="shared" si="1"/>
        <v>0.95325108141114157</v>
      </c>
    </row>
    <row r="43" spans="1:13">
      <c r="A43">
        <f t="shared" si="4"/>
        <v>100</v>
      </c>
      <c r="B43">
        <f t="shared" si="5"/>
        <v>0.5</v>
      </c>
      <c r="C43">
        <f t="shared" si="2"/>
        <v>0.92873482942681418</v>
      </c>
      <c r="D43">
        <f t="shared" si="2"/>
        <v>0.89307214422429182</v>
      </c>
      <c r="E43">
        <f t="shared" si="2"/>
        <v>0.83505154639175261</v>
      </c>
      <c r="I43">
        <f t="shared" si="6"/>
        <v>100</v>
      </c>
      <c r="J43">
        <f t="shared" si="3"/>
        <v>0.5</v>
      </c>
      <c r="K43">
        <f t="shared" si="7"/>
        <v>0.74293059125964012</v>
      </c>
      <c r="L43">
        <f t="shared" si="1"/>
        <v>0.8308811094199221</v>
      </c>
      <c r="M43">
        <f t="shared" si="1"/>
        <v>0.89307214422429182</v>
      </c>
    </row>
    <row r="44" spans="1:13">
      <c r="A44">
        <f t="shared" si="4"/>
        <v>120</v>
      </c>
      <c r="B44">
        <f t="shared" si="5"/>
        <v>0.6</v>
      </c>
      <c r="C44">
        <f t="shared" si="2"/>
        <v>0.86272731485465759</v>
      </c>
      <c r="D44">
        <f t="shared" si="2"/>
        <v>0.80110688011356546</v>
      </c>
      <c r="E44">
        <f t="shared" si="2"/>
        <v>0.70942111237230432</v>
      </c>
      <c r="I44">
        <f t="shared" si="6"/>
        <v>120</v>
      </c>
      <c r="J44">
        <f t="shared" si="3"/>
        <v>0.6</v>
      </c>
      <c r="K44">
        <f t="shared" si="7"/>
        <v>0.66743648960739022</v>
      </c>
      <c r="L44">
        <f t="shared" si="1"/>
        <v>0.73979822315916277</v>
      </c>
      <c r="M44">
        <f t="shared" si="1"/>
        <v>0.80110688011356546</v>
      </c>
    </row>
    <row r="45" spans="1:13">
      <c r="A45">
        <f t="shared" si="4"/>
        <v>140</v>
      </c>
      <c r="B45">
        <f t="shared" si="5"/>
        <v>0.7</v>
      </c>
      <c r="C45">
        <f t="shared" si="2"/>
        <v>0.77233209076847398</v>
      </c>
      <c r="D45">
        <f t="shared" si="2"/>
        <v>0.68495206541082698</v>
      </c>
      <c r="E45">
        <f t="shared" si="2"/>
        <v>0.56855830460125123</v>
      </c>
      <c r="I45">
        <f t="shared" si="6"/>
        <v>140</v>
      </c>
      <c r="J45">
        <f t="shared" si="3"/>
        <v>0.7</v>
      </c>
      <c r="K45">
        <f t="shared" si="7"/>
        <v>0.59587628865979381</v>
      </c>
      <c r="L45">
        <f t="shared" si="1"/>
        <v>0.6416351051325585</v>
      </c>
      <c r="M45">
        <f t="shared" si="1"/>
        <v>0.68495206541082698</v>
      </c>
    </row>
    <row r="46" spans="1:13">
      <c r="A46">
        <f t="shared" si="4"/>
        <v>160</v>
      </c>
      <c r="B46">
        <f t="shared" si="5"/>
        <v>0.8</v>
      </c>
      <c r="C46">
        <f t="shared" si="2"/>
        <v>0.66538852325931663</v>
      </c>
      <c r="D46">
        <f t="shared" si="2"/>
        <v>0.56032927001080124</v>
      </c>
      <c r="E46">
        <f t="shared" si="2"/>
        <v>0.43581752911906751</v>
      </c>
      <c r="I46">
        <f t="shared" si="6"/>
        <v>160</v>
      </c>
      <c r="J46">
        <f t="shared" si="3"/>
        <v>0.8</v>
      </c>
      <c r="K46">
        <f t="shared" si="7"/>
        <v>0.53027522935779814</v>
      </c>
      <c r="L46">
        <f t="shared" si="1"/>
        <v>0.54534354534354523</v>
      </c>
      <c r="M46">
        <f t="shared" si="1"/>
        <v>0.56032927001080124</v>
      </c>
    </row>
    <row r="47" spans="1:13">
      <c r="A47">
        <f t="shared" si="4"/>
        <v>180</v>
      </c>
      <c r="B47">
        <f t="shared" si="5"/>
        <v>0.9</v>
      </c>
      <c r="C47">
        <f t="shared" si="2"/>
        <v>0.55385746524605062</v>
      </c>
      <c r="D47">
        <f t="shared" si="2"/>
        <v>0.44308927993548963</v>
      </c>
      <c r="E47">
        <f t="shared" si="2"/>
        <v>0.32535137948984905</v>
      </c>
      <c r="I47">
        <f t="shared" si="6"/>
        <v>180</v>
      </c>
      <c r="J47">
        <f t="shared" si="3"/>
        <v>0.9</v>
      </c>
      <c r="K47">
        <f t="shared" si="7"/>
        <v>0.47145187601957578</v>
      </c>
      <c r="L47">
        <f t="shared" si="1"/>
        <v>0.45723592368543503</v>
      </c>
      <c r="M47">
        <f t="shared" si="1"/>
        <v>0.44308927993548963</v>
      </c>
    </row>
    <row r="48" spans="1:13">
      <c r="A48">
        <f t="shared" si="4"/>
        <v>200</v>
      </c>
      <c r="B48">
        <f t="shared" si="5"/>
        <v>1</v>
      </c>
      <c r="C48">
        <f t="shared" si="2"/>
        <v>0.44888588837872567</v>
      </c>
      <c r="D48">
        <f t="shared" si="2"/>
        <v>0.34297247465310998</v>
      </c>
      <c r="E48">
        <f t="shared" si="2"/>
        <v>0.24035608308605341</v>
      </c>
      <c r="I48">
        <f t="shared" si="6"/>
        <v>200</v>
      </c>
      <c r="J48">
        <f t="shared" si="3"/>
        <v>1</v>
      </c>
      <c r="K48">
        <f t="shared" si="7"/>
        <v>0.41944847605224966</v>
      </c>
      <c r="L48">
        <f t="shared" si="1"/>
        <v>0.38046929450940914</v>
      </c>
      <c r="M48">
        <f t="shared" si="1"/>
        <v>0.34297247465310998</v>
      </c>
    </row>
  </sheetData>
  <mergeCells count="1">
    <mergeCell ref="A1:H1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shapeId="7169" r:id="rId4">
          <objectPr defaultSize="0" autoPict="0" r:id="rId5">
            <anchor moveWithCells="1">
              <from>
                <xdr:col>6</xdr:col>
                <xdr:colOff>590550</xdr:colOff>
                <xdr:row>2</xdr:row>
                <xdr:rowOff>146050</xdr:rowOff>
              </from>
              <to>
                <xdr:col>10</xdr:col>
                <xdr:colOff>501650</xdr:colOff>
                <xdr:row>6</xdr:row>
                <xdr:rowOff>82550</xdr:rowOff>
              </to>
            </anchor>
          </objectPr>
        </oleObject>
      </mc:Choice>
      <mc:Fallback>
        <oleObject shapeId="7169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51"/>
  <sheetViews>
    <sheetView topLeftCell="A15" workbookViewId="0">
      <selection activeCell="B28" sqref="B28"/>
    </sheetView>
  </sheetViews>
  <sheetFormatPr defaultRowHeight="15.5"/>
  <sheetData>
    <row r="1" spans="1:18" ht="20.5" thickBot="1">
      <c r="A1" s="29" t="s">
        <v>36</v>
      </c>
      <c r="B1" s="30"/>
      <c r="C1" s="30"/>
      <c r="D1" s="30"/>
      <c r="E1" s="30"/>
      <c r="F1" s="30"/>
      <c r="G1" s="30"/>
      <c r="H1" s="31"/>
    </row>
    <row r="2" spans="1:18">
      <c r="A2" s="1"/>
      <c r="B2" s="1"/>
      <c r="C2" s="1"/>
      <c r="D2" s="1"/>
      <c r="E2" s="1"/>
      <c r="F2" s="1"/>
      <c r="G2" s="1"/>
      <c r="H2" s="1"/>
    </row>
    <row r="4" spans="1:18">
      <c r="A4" t="s">
        <v>10</v>
      </c>
    </row>
    <row r="5" spans="1:18" ht="16.5">
      <c r="A5" s="26" t="s">
        <v>93</v>
      </c>
      <c r="B5" s="4">
        <v>0</v>
      </c>
    </row>
    <row r="6" spans="1:18" ht="17.5">
      <c r="A6" s="27" t="s">
        <v>95</v>
      </c>
      <c r="B6" s="4" t="s">
        <v>96</v>
      </c>
    </row>
    <row r="7" spans="1:18" ht="17.5">
      <c r="A7" s="27" t="s">
        <v>94</v>
      </c>
      <c r="B7" s="4" t="s">
        <v>97</v>
      </c>
    </row>
    <row r="9" spans="1:18">
      <c r="R9" s="15"/>
    </row>
    <row r="26" spans="2:10">
      <c r="B26" s="35" t="s">
        <v>102</v>
      </c>
    </row>
    <row r="27" spans="2:10">
      <c r="B27" s="35"/>
    </row>
    <row r="28" spans="2:10" ht="18.5">
      <c r="B28" s="34" t="s">
        <v>101</v>
      </c>
    </row>
    <row r="31" spans="2:10" ht="25.5">
      <c r="H31" s="33"/>
      <c r="I31" s="33"/>
      <c r="J31" s="33"/>
    </row>
    <row r="35" spans="1:16">
      <c r="C35" s="20" t="s">
        <v>37</v>
      </c>
      <c r="D35" s="20"/>
      <c r="E35" s="20" t="s">
        <v>38</v>
      </c>
      <c r="F35" s="20"/>
      <c r="G35" s="20" t="s">
        <v>39</v>
      </c>
      <c r="H35" s="20"/>
      <c r="I35" s="20"/>
      <c r="J35" s="20"/>
      <c r="N35" s="20"/>
      <c r="O35" s="20"/>
      <c r="P35" s="20"/>
    </row>
    <row r="36" spans="1:16" ht="16.5">
      <c r="B36" s="3" t="s">
        <v>91</v>
      </c>
      <c r="C36" s="7">
        <v>0.8</v>
      </c>
      <c r="D36" s="25"/>
      <c r="E36" s="7">
        <f>C36</f>
        <v>0.8</v>
      </c>
      <c r="F36" s="25"/>
      <c r="G36" s="7">
        <f>E36</f>
        <v>0.8</v>
      </c>
      <c r="H36" s="23"/>
      <c r="I36" s="23"/>
      <c r="J36" s="23"/>
      <c r="M36" s="3"/>
      <c r="N36" s="7"/>
      <c r="O36" s="7"/>
      <c r="P36" s="7"/>
    </row>
    <row r="37" spans="1:16" ht="16.5">
      <c r="B37" s="3" t="s">
        <v>92</v>
      </c>
      <c r="C37" s="7">
        <f>0.8/(1+2.5)</f>
        <v>0.22857142857142859</v>
      </c>
      <c r="D37" s="25"/>
      <c r="E37" s="7">
        <f>C37</f>
        <v>0.22857142857142859</v>
      </c>
      <c r="F37" s="25"/>
      <c r="G37" s="7">
        <f>E37</f>
        <v>0.22857142857142859</v>
      </c>
      <c r="H37" s="23"/>
      <c r="I37" s="23"/>
      <c r="J37" s="23"/>
      <c r="M37" s="3"/>
      <c r="N37" s="7"/>
      <c r="O37" s="7"/>
      <c r="P37" s="7"/>
    </row>
    <row r="38" spans="1:16">
      <c r="A38" s="28" t="s">
        <v>98</v>
      </c>
      <c r="B38" s="8" t="s">
        <v>40</v>
      </c>
      <c r="C38" s="7">
        <v>1</v>
      </c>
      <c r="D38" s="25"/>
      <c r="E38" s="9">
        <v>0.7</v>
      </c>
      <c r="F38" s="9"/>
      <c r="G38" s="10">
        <v>0.4</v>
      </c>
      <c r="H38" s="10"/>
      <c r="I38" s="10"/>
      <c r="J38" s="10"/>
      <c r="L38" s="24"/>
      <c r="M38" s="8"/>
      <c r="N38" s="7"/>
      <c r="O38" s="9"/>
      <c r="P38" s="10"/>
    </row>
    <row r="39" spans="1:16">
      <c r="A39" s="28"/>
      <c r="B39" s="8" t="s">
        <v>100</v>
      </c>
      <c r="C39" s="25">
        <v>0</v>
      </c>
      <c r="D39" s="25"/>
      <c r="E39" s="9">
        <v>0</v>
      </c>
      <c r="F39" s="9"/>
      <c r="G39" s="10">
        <v>0</v>
      </c>
      <c r="H39" s="10"/>
      <c r="I39" s="10"/>
      <c r="J39" s="10"/>
      <c r="L39" s="24"/>
      <c r="M39" s="8"/>
      <c r="N39" s="25"/>
      <c r="O39" s="9"/>
      <c r="P39" s="10"/>
    </row>
    <row r="40" spans="1:16">
      <c r="B40" s="8"/>
      <c r="C40" s="25" t="s">
        <v>99</v>
      </c>
      <c r="D40" s="25"/>
      <c r="E40" s="25" t="s">
        <v>99</v>
      </c>
      <c r="F40" s="9"/>
      <c r="G40" s="25" t="s">
        <v>99</v>
      </c>
      <c r="H40" s="10"/>
    </row>
    <row r="41" spans="1:16">
      <c r="A41">
        <v>0</v>
      </c>
      <c r="C41">
        <f t="shared" ref="C41:C51" si="0">(C$39+(1-C$39)*C$38)*A41</f>
        <v>0</v>
      </c>
      <c r="D41">
        <f>C$36*C$37/(C$37+(C$36-C$37)*C41)</f>
        <v>0.8</v>
      </c>
      <c r="E41">
        <f t="shared" ref="E41:E51" si="1">(E$39+(1-E$39)*E$38)*A41</f>
        <v>0</v>
      </c>
      <c r="F41">
        <f>E$36*E$37/(E$37+(E$36-E$37)*E41)</f>
        <v>0.8</v>
      </c>
      <c r="G41">
        <f>(G$39+(1-G$39)*G$38)*A41</f>
        <v>0</v>
      </c>
      <c r="H41">
        <f>G$36*G$37/(G$37+(G$36-G$37)*G41)</f>
        <v>0.8</v>
      </c>
    </row>
    <row r="42" spans="1:16">
      <c r="A42">
        <f>A41+0.1</f>
        <v>0.1</v>
      </c>
      <c r="C42">
        <f t="shared" si="0"/>
        <v>0.1</v>
      </c>
      <c r="D42">
        <f t="shared" ref="D42:D51" si="2">C$36*C$37/(C$37+(C$36-C$37)*C42)</f>
        <v>0.64</v>
      </c>
      <c r="E42">
        <f t="shared" si="1"/>
        <v>6.9999999999999993E-2</v>
      </c>
      <c r="F42">
        <f t="shared" ref="F42:F51" si="3">E$36*E$37/(E$37+(E$36-E$37)*E42)</f>
        <v>0.68085106382978733</v>
      </c>
      <c r="G42">
        <f t="shared" ref="G42:G51" si="4">(G$39+(1-G$39)*G$38)*A42</f>
        <v>4.0000000000000008E-2</v>
      </c>
      <c r="H42">
        <f t="shared" ref="H42:H51" si="5">G$36*G$37/(G$37+(G$36-G$37)*G42)</f>
        <v>0.72727272727272729</v>
      </c>
    </row>
    <row r="43" spans="1:16">
      <c r="A43">
        <f t="shared" ref="A43:A51" si="6">A42+0.1</f>
        <v>0.2</v>
      </c>
      <c r="C43">
        <f t="shared" si="0"/>
        <v>0.2</v>
      </c>
      <c r="D43">
        <f t="shared" si="2"/>
        <v>0.53333333333333344</v>
      </c>
      <c r="E43">
        <f t="shared" si="1"/>
        <v>0.13999999999999999</v>
      </c>
      <c r="F43">
        <f t="shared" si="3"/>
        <v>0.59259259259259256</v>
      </c>
      <c r="G43">
        <f t="shared" si="4"/>
        <v>8.0000000000000016E-2</v>
      </c>
      <c r="H43">
        <f t="shared" si="5"/>
        <v>0.66666666666666674</v>
      </c>
    </row>
    <row r="44" spans="1:16">
      <c r="A44">
        <f t="shared" si="6"/>
        <v>0.30000000000000004</v>
      </c>
      <c r="C44">
        <f t="shared" si="0"/>
        <v>0.30000000000000004</v>
      </c>
      <c r="D44">
        <f t="shared" si="2"/>
        <v>0.45714285714285718</v>
      </c>
      <c r="E44">
        <f t="shared" si="1"/>
        <v>0.21000000000000002</v>
      </c>
      <c r="F44">
        <f t="shared" si="3"/>
        <v>0.52459016393442626</v>
      </c>
      <c r="G44">
        <f t="shared" si="4"/>
        <v>0.12000000000000002</v>
      </c>
      <c r="H44">
        <f t="shared" si="5"/>
        <v>0.61538461538461542</v>
      </c>
    </row>
    <row r="45" spans="1:16">
      <c r="A45">
        <f t="shared" si="6"/>
        <v>0.4</v>
      </c>
      <c r="C45">
        <f t="shared" si="0"/>
        <v>0.4</v>
      </c>
      <c r="D45">
        <f t="shared" si="2"/>
        <v>0.4</v>
      </c>
      <c r="E45">
        <f t="shared" si="1"/>
        <v>0.27999999999999997</v>
      </c>
      <c r="F45">
        <f t="shared" si="3"/>
        <v>0.4705882352941177</v>
      </c>
      <c r="G45">
        <f t="shared" si="4"/>
        <v>0.16000000000000003</v>
      </c>
      <c r="H45">
        <f t="shared" si="5"/>
        <v>0.5714285714285714</v>
      </c>
    </row>
    <row r="46" spans="1:16">
      <c r="A46">
        <f t="shared" si="6"/>
        <v>0.5</v>
      </c>
      <c r="C46">
        <f t="shared" si="0"/>
        <v>0.5</v>
      </c>
      <c r="D46">
        <f t="shared" si="2"/>
        <v>0.35555555555555562</v>
      </c>
      <c r="E46">
        <f t="shared" si="1"/>
        <v>0.35</v>
      </c>
      <c r="F46">
        <f t="shared" si="3"/>
        <v>0.42666666666666669</v>
      </c>
      <c r="G46">
        <f t="shared" si="4"/>
        <v>0.2</v>
      </c>
      <c r="H46">
        <f t="shared" si="5"/>
        <v>0.53333333333333344</v>
      </c>
    </row>
    <row r="47" spans="1:16">
      <c r="A47">
        <f t="shared" si="6"/>
        <v>0.6</v>
      </c>
      <c r="C47">
        <f t="shared" si="0"/>
        <v>0.6</v>
      </c>
      <c r="D47">
        <f t="shared" si="2"/>
        <v>0.32000000000000006</v>
      </c>
      <c r="E47">
        <f t="shared" si="1"/>
        <v>0.42</v>
      </c>
      <c r="F47">
        <f t="shared" si="3"/>
        <v>0.39024390243902446</v>
      </c>
      <c r="G47">
        <f t="shared" si="4"/>
        <v>0.24</v>
      </c>
      <c r="H47">
        <f t="shared" si="5"/>
        <v>0.50000000000000011</v>
      </c>
    </row>
    <row r="48" spans="1:16">
      <c r="A48">
        <f t="shared" si="6"/>
        <v>0.7</v>
      </c>
      <c r="C48">
        <f t="shared" si="0"/>
        <v>0.7</v>
      </c>
      <c r="D48">
        <f t="shared" si="2"/>
        <v>0.29090909090909095</v>
      </c>
      <c r="E48">
        <f t="shared" si="1"/>
        <v>0.48999999999999994</v>
      </c>
      <c r="F48">
        <f t="shared" si="3"/>
        <v>0.35955056179775285</v>
      </c>
      <c r="G48">
        <f t="shared" si="4"/>
        <v>0.27999999999999997</v>
      </c>
      <c r="H48">
        <f t="shared" si="5"/>
        <v>0.4705882352941177</v>
      </c>
    </row>
    <row r="49" spans="1:8">
      <c r="A49">
        <f t="shared" si="6"/>
        <v>0.79999999999999993</v>
      </c>
      <c r="C49">
        <f t="shared" si="0"/>
        <v>0.79999999999999993</v>
      </c>
      <c r="D49">
        <f t="shared" si="2"/>
        <v>0.26666666666666672</v>
      </c>
      <c r="E49">
        <f t="shared" si="1"/>
        <v>0.55999999999999994</v>
      </c>
      <c r="F49">
        <f t="shared" si="3"/>
        <v>0.33333333333333343</v>
      </c>
      <c r="G49">
        <f t="shared" si="4"/>
        <v>0.32</v>
      </c>
      <c r="H49">
        <f t="shared" si="5"/>
        <v>0.44444444444444448</v>
      </c>
    </row>
    <row r="50" spans="1:8">
      <c r="A50">
        <f t="shared" si="6"/>
        <v>0.89999999999999991</v>
      </c>
      <c r="C50">
        <f t="shared" si="0"/>
        <v>0.89999999999999991</v>
      </c>
      <c r="D50">
        <f t="shared" si="2"/>
        <v>0.2461538461538462</v>
      </c>
      <c r="E50">
        <f t="shared" si="1"/>
        <v>0.62999999999999989</v>
      </c>
      <c r="F50">
        <f t="shared" si="3"/>
        <v>0.31067961165048552</v>
      </c>
      <c r="G50">
        <f t="shared" si="4"/>
        <v>0.36</v>
      </c>
      <c r="H50">
        <f t="shared" si="5"/>
        <v>0.42105263157894746</v>
      </c>
    </row>
    <row r="51" spans="1:8">
      <c r="A51">
        <f t="shared" si="6"/>
        <v>0.99999999999999989</v>
      </c>
      <c r="C51">
        <f t="shared" si="0"/>
        <v>0.99999999999999989</v>
      </c>
      <c r="D51">
        <f t="shared" si="2"/>
        <v>0.22857142857142865</v>
      </c>
      <c r="E51">
        <f t="shared" si="1"/>
        <v>0.69999999999999984</v>
      </c>
      <c r="F51">
        <f t="shared" si="3"/>
        <v>0.29090909090909095</v>
      </c>
      <c r="G51">
        <f t="shared" si="4"/>
        <v>0.39999999999999997</v>
      </c>
      <c r="H51">
        <f t="shared" si="5"/>
        <v>0.40000000000000008</v>
      </c>
    </row>
  </sheetData>
  <mergeCells count="1">
    <mergeCell ref="A1:H1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shapeId="8196" r:id="rId4">
          <objectPr defaultSize="0" autoPict="0" r:id="rId5">
            <anchor moveWithCells="1">
              <from>
                <xdr:col>1</xdr:col>
                <xdr:colOff>0</xdr:colOff>
                <xdr:row>29</xdr:row>
                <xdr:rowOff>76200</xdr:rowOff>
              </from>
              <to>
                <xdr:col>3</xdr:col>
                <xdr:colOff>323850</xdr:colOff>
                <xdr:row>31</xdr:row>
                <xdr:rowOff>50800</xdr:rowOff>
              </to>
            </anchor>
          </objectPr>
        </oleObject>
      </mc:Choice>
      <mc:Fallback>
        <oleObject shapeId="8196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76"/>
  <sheetViews>
    <sheetView zoomScale="75" zoomScaleNormal="75" workbookViewId="0">
      <selection activeCell="G34" sqref="G34"/>
    </sheetView>
  </sheetViews>
  <sheetFormatPr defaultRowHeight="15.5"/>
  <sheetData>
    <row r="1" spans="1:16" ht="20.5" thickBot="1">
      <c r="A1" s="29" t="s">
        <v>41</v>
      </c>
      <c r="B1" s="30"/>
      <c r="C1" s="30"/>
      <c r="D1" s="30"/>
      <c r="E1" s="30"/>
      <c r="F1" s="30"/>
      <c r="G1" s="30"/>
      <c r="H1" s="31"/>
    </row>
    <row r="2" spans="1:16">
      <c r="A2" s="1"/>
      <c r="B2" s="1"/>
      <c r="C2" s="1"/>
      <c r="D2" s="1"/>
      <c r="E2" s="1"/>
      <c r="F2" s="1"/>
      <c r="G2" s="1"/>
      <c r="H2" s="1"/>
    </row>
    <row r="4" spans="1:16">
      <c r="A4" t="s">
        <v>10</v>
      </c>
      <c r="M4" t="s">
        <v>10</v>
      </c>
    </row>
    <row r="5" spans="1:16">
      <c r="A5" s="2" t="s">
        <v>42</v>
      </c>
      <c r="B5" s="11">
        <v>1</v>
      </c>
      <c r="D5">
        <v>0.3</v>
      </c>
      <c r="M5" s="2" t="s">
        <v>42</v>
      </c>
      <c r="N5" s="11">
        <v>1</v>
      </c>
      <c r="P5">
        <v>0.3</v>
      </c>
    </row>
    <row r="6" spans="1:16">
      <c r="A6" s="2" t="s">
        <v>43</v>
      </c>
      <c r="B6" s="11">
        <v>0.25</v>
      </c>
      <c r="D6">
        <v>0.09</v>
      </c>
      <c r="M6" s="2" t="s">
        <v>43</v>
      </c>
      <c r="N6" s="11">
        <v>0.5</v>
      </c>
      <c r="P6">
        <v>0.09</v>
      </c>
    </row>
    <row r="7" spans="1:16">
      <c r="A7" s="3" t="s">
        <v>44</v>
      </c>
      <c r="B7" s="12">
        <f>LN(B6/B5)/LN(20/2)</f>
        <v>-0.60205999132796229</v>
      </c>
      <c r="M7" s="3" t="s">
        <v>44</v>
      </c>
      <c r="N7" s="12">
        <f>LN(N6/N5)/LN(20/2)</f>
        <v>-0.30102999566398114</v>
      </c>
    </row>
    <row r="8" spans="1:16">
      <c r="A8" s="3" t="s">
        <v>45</v>
      </c>
      <c r="B8" s="12">
        <v>1.517882369490865</v>
      </c>
      <c r="M8" s="3" t="s">
        <v>45</v>
      </c>
      <c r="N8" s="12">
        <v>1.517882369490865</v>
      </c>
    </row>
    <row r="9" spans="1:16">
      <c r="A9" s="3" t="s">
        <v>46</v>
      </c>
      <c r="B9" s="13">
        <v>0.4</v>
      </c>
      <c r="M9" s="3" t="s">
        <v>46</v>
      </c>
      <c r="N9" s="13">
        <v>0.4</v>
      </c>
    </row>
    <row r="35" spans="1:16">
      <c r="B35" s="7"/>
      <c r="C35" s="7"/>
      <c r="D35" s="7"/>
      <c r="N35" s="7"/>
      <c r="O35" s="7"/>
      <c r="P35" s="7"/>
    </row>
    <row r="36" spans="1:16">
      <c r="B36" s="3" t="s">
        <v>47</v>
      </c>
      <c r="C36" s="7" t="s">
        <v>48</v>
      </c>
      <c r="D36" s="7"/>
      <c r="N36" s="3" t="s">
        <v>47</v>
      </c>
      <c r="O36" s="7" t="s">
        <v>48</v>
      </c>
      <c r="P36" s="7"/>
    </row>
    <row r="37" spans="1:16">
      <c r="A37" t="s">
        <v>49</v>
      </c>
      <c r="B37" s="14" t="s">
        <v>50</v>
      </c>
      <c r="C37" s="14" t="s">
        <v>51</v>
      </c>
      <c r="D37" s="10"/>
      <c r="M37" t="s">
        <v>49</v>
      </c>
      <c r="N37" s="14" t="s">
        <v>50</v>
      </c>
      <c r="O37" s="14" t="s">
        <v>51</v>
      </c>
      <c r="P37" s="10"/>
    </row>
    <row r="38" spans="1:16">
      <c r="A38">
        <v>0.1</v>
      </c>
      <c r="B38">
        <f>(1-$B$9)/(1+$B$8*A38^$B$7)</f>
        <v>8.4847274110889381E-2</v>
      </c>
      <c r="C38">
        <f>$B$8*A38^$B$7*B38</f>
        <v>0.51515272588911065</v>
      </c>
      <c r="D38">
        <f>C38/B38</f>
        <v>6.0715294779634581</v>
      </c>
      <c r="M38">
        <v>0.1</v>
      </c>
      <c r="N38">
        <f>(1-$N$9)/(1+$N$8*M38^$N$7)</f>
        <v>0.14867070773589913</v>
      </c>
      <c r="O38">
        <f>$N$8*M38^$N$7*N38</f>
        <v>0.45132929226410073</v>
      </c>
      <c r="P38">
        <f>O38/N38</f>
        <v>3.035764738981729</v>
      </c>
    </row>
    <row r="39" spans="1:16">
      <c r="A39">
        <f>A38+0.1</f>
        <v>0.2</v>
      </c>
      <c r="B39">
        <f t="shared" ref="B39:B76" si="0">(1-$B$9)/(1+$B$8*A39^$B$7)</f>
        <v>0.12000000000000004</v>
      </c>
      <c r="C39">
        <f t="shared" ref="C39:C76" si="1">$B$8*A39^$B$7*B39</f>
        <v>0.48</v>
      </c>
      <c r="D39">
        <f t="shared" ref="D39:D76" si="2">C39/B39</f>
        <v>3.9999999999999987</v>
      </c>
      <c r="M39">
        <f>M38+0.1</f>
        <v>0.2</v>
      </c>
      <c r="N39">
        <f t="shared" ref="N39:N76" si="3">(1-$N$9)/(1+$N$8*M39^$N$7)</f>
        <v>0.1732077926873358</v>
      </c>
      <c r="O39">
        <f t="shared" ref="O39:O76" si="4">$N$8*M39^$N$7*N39</f>
        <v>0.42679220731266421</v>
      </c>
      <c r="P39">
        <f t="shared" ref="P39:P76" si="5">O39/N39</f>
        <v>2.4640473773780123</v>
      </c>
    </row>
    <row r="40" spans="1:16">
      <c r="A40">
        <f t="shared" ref="A40:A47" si="6">A39+0.1</f>
        <v>0.30000000000000004</v>
      </c>
      <c r="B40">
        <f t="shared" si="0"/>
        <v>0.14515219656226094</v>
      </c>
      <c r="C40">
        <f t="shared" si="1"/>
        <v>0.45484780343773912</v>
      </c>
      <c r="D40">
        <f t="shared" si="2"/>
        <v>3.1335922859606105</v>
      </c>
      <c r="M40">
        <f t="shared" ref="M40:M47" si="7">M39+0.1</f>
        <v>0.30000000000000004</v>
      </c>
      <c r="N40">
        <f t="shared" si="3"/>
        <v>0.18862450553432919</v>
      </c>
      <c r="O40">
        <f t="shared" si="4"/>
        <v>0.41137549446567073</v>
      </c>
      <c r="P40">
        <f t="shared" si="5"/>
        <v>2.1809228514626984</v>
      </c>
    </row>
    <row r="41" spans="1:16">
      <c r="A41">
        <f t="shared" si="6"/>
        <v>0.4</v>
      </c>
      <c r="B41">
        <f t="shared" si="0"/>
        <v>0.16505053219874133</v>
      </c>
      <c r="C41">
        <f t="shared" si="1"/>
        <v>0.43494946780125865</v>
      </c>
      <c r="D41">
        <f t="shared" si="2"/>
        <v>2.6352503200506225</v>
      </c>
      <c r="M41">
        <f t="shared" si="7"/>
        <v>0.4</v>
      </c>
      <c r="N41">
        <f t="shared" si="3"/>
        <v>0.2</v>
      </c>
      <c r="O41">
        <f t="shared" si="4"/>
        <v>0.39999999999999991</v>
      </c>
      <c r="P41">
        <f t="shared" si="5"/>
        <v>1.9999999999999996</v>
      </c>
    </row>
    <row r="42" spans="1:16">
      <c r="A42">
        <f t="shared" si="6"/>
        <v>0.5</v>
      </c>
      <c r="B42">
        <f t="shared" si="0"/>
        <v>0.18159988293157661</v>
      </c>
      <c r="C42">
        <f t="shared" si="1"/>
        <v>0.41840011706842334</v>
      </c>
      <c r="D42">
        <f t="shared" si="2"/>
        <v>2.3039668876112027</v>
      </c>
      <c r="M42">
        <f t="shared" si="7"/>
        <v>0.5</v>
      </c>
      <c r="N42">
        <f t="shared" si="3"/>
        <v>0.20905435047478577</v>
      </c>
      <c r="O42">
        <f t="shared" si="4"/>
        <v>0.39094564952521416</v>
      </c>
      <c r="P42">
        <f t="shared" si="5"/>
        <v>1.8700670358561444</v>
      </c>
    </row>
    <row r="43" spans="1:16">
      <c r="A43">
        <f>A42+0.1</f>
        <v>0.6</v>
      </c>
      <c r="B43">
        <f t="shared" si="0"/>
        <v>0.19579369751636816</v>
      </c>
      <c r="C43">
        <f t="shared" si="1"/>
        <v>0.40420630248363187</v>
      </c>
      <c r="D43">
        <f t="shared" si="2"/>
        <v>2.0644500186214656</v>
      </c>
      <c r="M43">
        <f>M42+0.1</f>
        <v>0.6</v>
      </c>
      <c r="N43">
        <f t="shared" si="3"/>
        <v>0.21659120777805846</v>
      </c>
      <c r="O43">
        <f t="shared" si="4"/>
        <v>0.38340879222194152</v>
      </c>
      <c r="P43">
        <f t="shared" si="5"/>
        <v>1.7701955502035958</v>
      </c>
    </row>
    <row r="44" spans="1:16">
      <c r="A44">
        <f t="shared" si="6"/>
        <v>0.7</v>
      </c>
      <c r="B44">
        <f t="shared" si="0"/>
        <v>0.20822670910535648</v>
      </c>
      <c r="C44">
        <f t="shared" si="1"/>
        <v>0.39177329089464352</v>
      </c>
      <c r="D44">
        <f t="shared" si="2"/>
        <v>1.8814747280879225</v>
      </c>
      <c r="M44">
        <f t="shared" si="7"/>
        <v>0.7</v>
      </c>
      <c r="N44">
        <f t="shared" si="3"/>
        <v>0.22305428084710677</v>
      </c>
      <c r="O44">
        <f t="shared" si="4"/>
        <v>0.37694571915289327</v>
      </c>
      <c r="P44">
        <f t="shared" si="5"/>
        <v>1.6899281991869586</v>
      </c>
    </row>
    <row r="45" spans="1:16">
      <c r="A45">
        <f t="shared" si="6"/>
        <v>0.79999999999999993</v>
      </c>
      <c r="B45">
        <f t="shared" si="0"/>
        <v>0.21928734037030367</v>
      </c>
      <c r="C45">
        <f t="shared" si="1"/>
        <v>0.3807126596296963</v>
      </c>
      <c r="D45">
        <f t="shared" si="2"/>
        <v>1.7361360623317277</v>
      </c>
      <c r="M45">
        <f t="shared" si="7"/>
        <v>0.79999999999999993</v>
      </c>
      <c r="N45">
        <f t="shared" si="3"/>
        <v>0.22871559258689977</v>
      </c>
      <c r="O45">
        <f t="shared" si="4"/>
        <v>0.3712844074131002</v>
      </c>
      <c r="P45">
        <f t="shared" si="5"/>
        <v>1.623345409963826</v>
      </c>
    </row>
    <row r="46" spans="1:16">
      <c r="A46">
        <f>A45+0.1</f>
        <v>0.89999999999999991</v>
      </c>
      <c r="B46">
        <f t="shared" si="0"/>
        <v>0.22924508921447995</v>
      </c>
      <c r="C46">
        <f t="shared" si="1"/>
        <v>0.37075491078551998</v>
      </c>
      <c r="D46">
        <f t="shared" si="2"/>
        <v>1.6172861632758664</v>
      </c>
      <c r="M46">
        <f>M45+0.1</f>
        <v>0.89999999999999991</v>
      </c>
      <c r="N46">
        <f t="shared" si="3"/>
        <v>0.23375444194930892</v>
      </c>
      <c r="O46">
        <f t="shared" si="4"/>
        <v>0.36624555805069098</v>
      </c>
      <c r="P46">
        <f t="shared" si="5"/>
        <v>1.5667961429803057</v>
      </c>
    </row>
    <row r="47" spans="1:16">
      <c r="A47">
        <f t="shared" si="6"/>
        <v>0.99999999999999989</v>
      </c>
      <c r="B47">
        <f t="shared" si="0"/>
        <v>0.23829548483685703</v>
      </c>
      <c r="C47">
        <f t="shared" si="1"/>
        <v>0.36170451516314306</v>
      </c>
      <c r="D47">
        <f t="shared" si="2"/>
        <v>1.517882369490865</v>
      </c>
      <c r="M47">
        <f t="shared" si="7"/>
        <v>0.99999999999999989</v>
      </c>
      <c r="N47">
        <f t="shared" si="3"/>
        <v>0.23829548483685703</v>
      </c>
      <c r="O47">
        <f t="shared" si="4"/>
        <v>0.36170451516314306</v>
      </c>
      <c r="P47">
        <f t="shared" si="5"/>
        <v>1.517882369490865</v>
      </c>
    </row>
    <row r="48" spans="1:16">
      <c r="A48">
        <f t="shared" ref="A48:A76" si="8">A47+1</f>
        <v>2</v>
      </c>
      <c r="B48">
        <f t="shared" si="0"/>
        <v>0.3</v>
      </c>
      <c r="C48">
        <f t="shared" si="1"/>
        <v>0.3</v>
      </c>
      <c r="D48">
        <f t="shared" si="2"/>
        <v>1</v>
      </c>
      <c r="M48">
        <f t="shared" ref="M48:M76" si="9">M47+1</f>
        <v>2</v>
      </c>
      <c r="N48">
        <f t="shared" si="3"/>
        <v>0.2688143513173975</v>
      </c>
      <c r="O48">
        <f t="shared" si="4"/>
        <v>0.33118564868260247</v>
      </c>
      <c r="P48">
        <f t="shared" si="5"/>
        <v>1.2320236886890061</v>
      </c>
    </row>
    <row r="49" spans="1:16">
      <c r="A49">
        <f t="shared" si="8"/>
        <v>3</v>
      </c>
      <c r="B49">
        <f t="shared" si="0"/>
        <v>0.33643638489451672</v>
      </c>
      <c r="C49">
        <f t="shared" si="1"/>
        <v>0.26356361510548321</v>
      </c>
      <c r="D49">
        <f t="shared" si="2"/>
        <v>0.78339807149015295</v>
      </c>
      <c r="M49">
        <f t="shared" si="9"/>
        <v>3</v>
      </c>
      <c r="N49">
        <f t="shared" si="3"/>
        <v>0.28701797249862654</v>
      </c>
      <c r="O49">
        <f t="shared" si="4"/>
        <v>0.31298202750137355</v>
      </c>
      <c r="P49">
        <f t="shared" si="5"/>
        <v>1.0904614257313494</v>
      </c>
    </row>
    <row r="50" spans="1:16">
      <c r="A50">
        <f t="shared" si="8"/>
        <v>4</v>
      </c>
      <c r="B50">
        <f t="shared" si="0"/>
        <v>0.36170451516314295</v>
      </c>
      <c r="C50">
        <f t="shared" si="1"/>
        <v>0.23829548483685697</v>
      </c>
      <c r="D50">
        <f t="shared" si="2"/>
        <v>0.65881258001265575</v>
      </c>
      <c r="M50">
        <f t="shared" si="9"/>
        <v>4</v>
      </c>
      <c r="N50">
        <f t="shared" si="3"/>
        <v>0.3</v>
      </c>
      <c r="O50">
        <f t="shared" si="4"/>
        <v>0.3</v>
      </c>
      <c r="P50">
        <f t="shared" si="5"/>
        <v>1</v>
      </c>
    </row>
    <row r="51" spans="1:16">
      <c r="A51">
        <f t="shared" si="8"/>
        <v>5</v>
      </c>
      <c r="B51">
        <f t="shared" si="0"/>
        <v>0.3807126596296963</v>
      </c>
      <c r="C51">
        <f t="shared" si="1"/>
        <v>0.21928734037030367</v>
      </c>
      <c r="D51">
        <f t="shared" si="2"/>
        <v>0.57599172190280079</v>
      </c>
      <c r="M51">
        <f t="shared" si="9"/>
        <v>5</v>
      </c>
      <c r="N51">
        <f t="shared" si="3"/>
        <v>0.31007214833283459</v>
      </c>
      <c r="O51">
        <f t="shared" si="4"/>
        <v>0.28992785166716534</v>
      </c>
      <c r="P51">
        <f t="shared" si="5"/>
        <v>0.93503351792807221</v>
      </c>
    </row>
    <row r="52" spans="1:16">
      <c r="A52">
        <f t="shared" si="8"/>
        <v>6</v>
      </c>
      <c r="B52">
        <f t="shared" si="0"/>
        <v>0.39574899498397603</v>
      </c>
      <c r="C52">
        <f t="shared" si="1"/>
        <v>0.204251005016024</v>
      </c>
      <c r="D52">
        <f t="shared" si="2"/>
        <v>0.51611250465536662</v>
      </c>
      <c r="M52">
        <f t="shared" si="9"/>
        <v>6</v>
      </c>
      <c r="N52">
        <f t="shared" si="3"/>
        <v>0.31828587775379402</v>
      </c>
      <c r="O52">
        <f t="shared" si="4"/>
        <v>0.2817141222462059</v>
      </c>
      <c r="P52">
        <f t="shared" si="5"/>
        <v>0.88509777510179788</v>
      </c>
    </row>
    <row r="53" spans="1:16">
      <c r="A53">
        <f t="shared" si="8"/>
        <v>7</v>
      </c>
      <c r="B53">
        <f t="shared" si="0"/>
        <v>0.40806092195523957</v>
      </c>
      <c r="C53">
        <f t="shared" si="1"/>
        <v>0.19193907804476046</v>
      </c>
      <c r="D53">
        <f t="shared" si="2"/>
        <v>0.4703686820219809</v>
      </c>
      <c r="M53">
        <f t="shared" si="9"/>
        <v>7</v>
      </c>
      <c r="N53">
        <f t="shared" si="3"/>
        <v>0.32520958003042139</v>
      </c>
      <c r="O53">
        <f t="shared" si="4"/>
        <v>0.27479041996957865</v>
      </c>
      <c r="P53">
        <f t="shared" si="5"/>
        <v>0.84496409959347962</v>
      </c>
    </row>
    <row r="54" spans="1:16">
      <c r="A54">
        <f t="shared" si="8"/>
        <v>8</v>
      </c>
      <c r="B54">
        <f t="shared" si="0"/>
        <v>0.41840011706842334</v>
      </c>
      <c r="C54">
        <f t="shared" si="1"/>
        <v>0.18159988293157667</v>
      </c>
      <c r="D54">
        <f t="shared" si="2"/>
        <v>0.43403401558293209</v>
      </c>
      <c r="M54">
        <f t="shared" si="9"/>
        <v>8</v>
      </c>
      <c r="N54">
        <f t="shared" si="3"/>
        <v>0.33118564868260242</v>
      </c>
      <c r="O54">
        <f t="shared" si="4"/>
        <v>0.2688143513173975</v>
      </c>
      <c r="P54">
        <f t="shared" si="5"/>
        <v>0.81167270498191324</v>
      </c>
    </row>
    <row r="55" spans="1:16">
      <c r="A55">
        <f t="shared" si="8"/>
        <v>9</v>
      </c>
      <c r="B55">
        <f t="shared" si="0"/>
        <v>0.42725257895716273</v>
      </c>
      <c r="C55">
        <f t="shared" si="1"/>
        <v>0.17274742104283722</v>
      </c>
      <c r="D55">
        <f t="shared" si="2"/>
        <v>0.4043215408189666</v>
      </c>
      <c r="M55">
        <f t="shared" si="9"/>
        <v>9</v>
      </c>
      <c r="N55">
        <f t="shared" si="3"/>
        <v>0.33643638489451672</v>
      </c>
      <c r="O55">
        <f t="shared" si="4"/>
        <v>0.26356361510548321</v>
      </c>
      <c r="P55">
        <f t="shared" si="5"/>
        <v>0.78339807149015295</v>
      </c>
    </row>
    <row r="56" spans="1:16">
      <c r="A56">
        <f t="shared" si="8"/>
        <v>10</v>
      </c>
      <c r="B56">
        <f t="shared" si="0"/>
        <v>0.4349494678012587</v>
      </c>
      <c r="C56">
        <f t="shared" si="1"/>
        <v>0.1650505321987413</v>
      </c>
      <c r="D56">
        <f t="shared" si="2"/>
        <v>0.37947059237271624</v>
      </c>
      <c r="M56">
        <f t="shared" si="9"/>
        <v>10</v>
      </c>
      <c r="N56">
        <f t="shared" si="3"/>
        <v>0.3411143051305815</v>
      </c>
      <c r="O56">
        <f t="shared" si="4"/>
        <v>0.25888569486941848</v>
      </c>
      <c r="P56">
        <f t="shared" si="5"/>
        <v>0.75894118474543248</v>
      </c>
    </row>
    <row r="57" spans="1:16">
      <c r="A57">
        <f t="shared" si="8"/>
        <v>11</v>
      </c>
      <c r="B57">
        <f t="shared" si="0"/>
        <v>0.44172583099167212</v>
      </c>
      <c r="C57">
        <f t="shared" si="1"/>
        <v>0.15827416900832791</v>
      </c>
      <c r="D57">
        <f t="shared" si="2"/>
        <v>0.35830861114235329</v>
      </c>
      <c r="M57">
        <f t="shared" si="9"/>
        <v>11</v>
      </c>
      <c r="N57">
        <f t="shared" si="3"/>
        <v>0.34532858201161998</v>
      </c>
      <c r="O57">
        <f t="shared" si="4"/>
        <v>0.25467141798838</v>
      </c>
      <c r="P57">
        <f t="shared" si="5"/>
        <v>0.7374756427772623</v>
      </c>
    </row>
    <row r="58" spans="1:16">
      <c r="A58">
        <f t="shared" si="8"/>
        <v>12</v>
      </c>
      <c r="B58">
        <f t="shared" si="0"/>
        <v>0.44775403973267008</v>
      </c>
      <c r="C58">
        <f t="shared" si="1"/>
        <v>0.15224596026732995</v>
      </c>
      <c r="D58">
        <f t="shared" si="2"/>
        <v>0.34002141076879583</v>
      </c>
      <c r="M58">
        <f t="shared" si="9"/>
        <v>12</v>
      </c>
      <c r="N58">
        <f t="shared" si="3"/>
        <v>0.34916003916459587</v>
      </c>
      <c r="O58">
        <f t="shared" si="4"/>
        <v>0.25083996083540416</v>
      </c>
      <c r="P58">
        <f t="shared" si="5"/>
        <v>0.71840970529034942</v>
      </c>
    </row>
    <row r="59" spans="1:16">
      <c r="A59">
        <f t="shared" si="8"/>
        <v>13</v>
      </c>
      <c r="B59">
        <f t="shared" si="0"/>
        <v>0.45316393670262001</v>
      </c>
      <c r="C59">
        <f t="shared" si="1"/>
        <v>0.14683606329737994</v>
      </c>
      <c r="D59">
        <f t="shared" si="2"/>
        <v>0.32402415859878597</v>
      </c>
      <c r="M59">
        <f t="shared" si="9"/>
        <v>13</v>
      </c>
      <c r="N59">
        <f t="shared" si="3"/>
        <v>0.35267017594274108</v>
      </c>
      <c r="O59">
        <f t="shared" si="4"/>
        <v>0.2473298240572589</v>
      </c>
      <c r="P59">
        <f t="shared" si="5"/>
        <v>0.70130632224885081</v>
      </c>
    </row>
    <row r="60" spans="1:16">
      <c r="A60">
        <f t="shared" si="8"/>
        <v>14</v>
      </c>
      <c r="B60">
        <f t="shared" si="0"/>
        <v>0.45805554635645807</v>
      </c>
      <c r="C60">
        <f t="shared" si="1"/>
        <v>0.14194445364354186</v>
      </c>
      <c r="D60">
        <f t="shared" si="2"/>
        <v>0.30988480496005372</v>
      </c>
      <c r="M60">
        <f t="shared" si="9"/>
        <v>14</v>
      </c>
      <c r="N60">
        <f t="shared" si="3"/>
        <v>0.35590686540563571</v>
      </c>
      <c r="O60">
        <f t="shared" si="4"/>
        <v>0.24409313459436427</v>
      </c>
      <c r="P60">
        <f t="shared" si="5"/>
        <v>0.68583429632964621</v>
      </c>
    </row>
    <row r="61" spans="1:16">
      <c r="A61">
        <f t="shared" si="8"/>
        <v>15</v>
      </c>
      <c r="B61">
        <f t="shared" si="0"/>
        <v>0.46250740378648697</v>
      </c>
      <c r="C61">
        <f t="shared" si="1"/>
        <v>0.13749259621351304</v>
      </c>
      <c r="D61">
        <f t="shared" si="2"/>
        <v>0.29727653025201178</v>
      </c>
      <c r="M61">
        <f t="shared" si="9"/>
        <v>15</v>
      </c>
      <c r="N61">
        <f t="shared" si="3"/>
        <v>0.35890809661432355</v>
      </c>
      <c r="O61">
        <f t="shared" si="4"/>
        <v>0.24109190338567646</v>
      </c>
      <c r="P61">
        <f t="shared" si="5"/>
        <v>0.67173715405130485</v>
      </c>
    </row>
    <row r="62" spans="1:16">
      <c r="A62">
        <f t="shared" si="8"/>
        <v>16</v>
      </c>
      <c r="B62">
        <f t="shared" si="0"/>
        <v>0.46658219002556639</v>
      </c>
      <c r="C62">
        <f t="shared" si="1"/>
        <v>0.13341780997443359</v>
      </c>
      <c r="D62">
        <f t="shared" si="2"/>
        <v>0.28594706961944466</v>
      </c>
      <c r="M62">
        <f t="shared" si="9"/>
        <v>16</v>
      </c>
      <c r="N62">
        <f t="shared" si="3"/>
        <v>0.36170451516314295</v>
      </c>
      <c r="O62">
        <f t="shared" si="4"/>
        <v>0.23829548483685697</v>
      </c>
      <c r="P62">
        <f t="shared" si="5"/>
        <v>0.65881258001265575</v>
      </c>
    </row>
    <row r="63" spans="1:16">
      <c r="A63">
        <f t="shared" si="8"/>
        <v>17</v>
      </c>
      <c r="B63">
        <f t="shared" si="0"/>
        <v>0.47033065067743424</v>
      </c>
      <c r="C63">
        <f t="shared" si="1"/>
        <v>0.12966934932256574</v>
      </c>
      <c r="D63">
        <f t="shared" si="2"/>
        <v>0.27569827553402759</v>
      </c>
      <c r="M63">
        <f t="shared" si="9"/>
        <v>17</v>
      </c>
      <c r="N63">
        <f t="shared" si="3"/>
        <v>0.3643211971512833</v>
      </c>
      <c r="O63">
        <f t="shared" si="4"/>
        <v>0.23567880284871667</v>
      </c>
      <c r="P63">
        <f t="shared" si="5"/>
        <v>0.64689840912784369</v>
      </c>
    </row>
    <row r="64" spans="1:16">
      <c r="A64">
        <f t="shared" si="8"/>
        <v>18</v>
      </c>
      <c r="B64">
        <f t="shared" si="0"/>
        <v>0.47379438612614333</v>
      </c>
      <c r="C64">
        <f t="shared" si="1"/>
        <v>0.12620561387385665</v>
      </c>
      <c r="D64">
        <f t="shared" si="2"/>
        <v>0.26637211746163575</v>
      </c>
      <c r="M64">
        <f t="shared" si="9"/>
        <v>18</v>
      </c>
      <c r="N64">
        <f t="shared" si="3"/>
        <v>0.36677891834793525</v>
      </c>
      <c r="O64">
        <f t="shared" si="4"/>
        <v>0.23322108165206479</v>
      </c>
      <c r="P64">
        <f t="shared" si="5"/>
        <v>0.63586283176402658</v>
      </c>
    </row>
    <row r="65" spans="1:16">
      <c r="A65">
        <f t="shared" si="8"/>
        <v>19</v>
      </c>
      <c r="B65">
        <f t="shared" si="0"/>
        <v>0.4770078798393686</v>
      </c>
      <c r="C65">
        <f t="shared" si="1"/>
        <v>0.12299212016063138</v>
      </c>
      <c r="D65">
        <f t="shared" si="2"/>
        <v>0.2578408562182426</v>
      </c>
      <c r="M65">
        <f t="shared" si="9"/>
        <v>19</v>
      </c>
      <c r="N65">
        <f t="shared" si="3"/>
        <v>0.36909508162599425</v>
      </c>
      <c r="O65">
        <f t="shared" si="4"/>
        <v>0.23090491837400576</v>
      </c>
      <c r="P65">
        <f t="shared" si="5"/>
        <v>0.62559738633413375</v>
      </c>
    </row>
    <row r="66" spans="1:16">
      <c r="A66">
        <f t="shared" si="8"/>
        <v>20</v>
      </c>
      <c r="B66">
        <f t="shared" si="0"/>
        <v>0.48</v>
      </c>
      <c r="C66">
        <f t="shared" si="1"/>
        <v>0.12000000000000005</v>
      </c>
      <c r="D66">
        <f t="shared" si="2"/>
        <v>0.25000000000000011</v>
      </c>
      <c r="M66">
        <f t="shared" si="9"/>
        <v>20</v>
      </c>
      <c r="N66">
        <f t="shared" si="3"/>
        <v>0.3712844074131002</v>
      </c>
      <c r="O66">
        <f t="shared" si="4"/>
        <v>0.22871559258689977</v>
      </c>
      <c r="P66">
        <f t="shared" si="5"/>
        <v>0.61601184434450318</v>
      </c>
    </row>
    <row r="67" spans="1:16">
      <c r="A67">
        <f t="shared" si="8"/>
        <v>21</v>
      </c>
      <c r="B67">
        <f t="shared" si="0"/>
        <v>0.48279512942822816</v>
      </c>
      <c r="C67">
        <f t="shared" si="1"/>
        <v>0.1172048705717719</v>
      </c>
      <c r="D67">
        <f t="shared" si="2"/>
        <v>0.24276315858980813</v>
      </c>
      <c r="M67">
        <f t="shared" si="9"/>
        <v>21</v>
      </c>
      <c r="N67">
        <f t="shared" si="3"/>
        <v>0.37335945626935502</v>
      </c>
      <c r="O67">
        <f t="shared" si="4"/>
        <v>0.22664054373064499</v>
      </c>
      <c r="P67">
        <f t="shared" si="5"/>
        <v>0.60703040976987688</v>
      </c>
    </row>
    <row r="68" spans="1:16">
      <c r="A68">
        <f t="shared" si="8"/>
        <v>22</v>
      </c>
      <c r="B68">
        <f t="shared" si="0"/>
        <v>0.48541402826014335</v>
      </c>
      <c r="C68">
        <f t="shared" si="1"/>
        <v>0.1145859717398567</v>
      </c>
      <c r="D68">
        <f t="shared" si="2"/>
        <v>0.23605822054744516</v>
      </c>
      <c r="M68">
        <f t="shared" si="9"/>
        <v>22</v>
      </c>
      <c r="N68">
        <f t="shared" si="3"/>
        <v>0.37533103027918657</v>
      </c>
      <c r="O68">
        <f t="shared" si="4"/>
        <v>0.22466896972081346</v>
      </c>
      <c r="P68">
        <f t="shared" si="5"/>
        <v>0.59858884983129557</v>
      </c>
    </row>
    <row r="69" spans="1:16">
      <c r="A69">
        <f t="shared" si="8"/>
        <v>23</v>
      </c>
      <c r="B69">
        <f t="shared" si="0"/>
        <v>0.48787450127317122</v>
      </c>
      <c r="C69">
        <f t="shared" si="1"/>
        <v>0.11212549872682871</v>
      </c>
      <c r="D69">
        <f t="shared" si="2"/>
        <v>0.2298244700926628</v>
      </c>
      <c r="M69">
        <f t="shared" si="9"/>
        <v>23</v>
      </c>
      <c r="N69">
        <f t="shared" si="3"/>
        <v>0.37720848546915869</v>
      </c>
      <c r="O69">
        <f t="shared" si="4"/>
        <v>0.22279151453084126</v>
      </c>
      <c r="P69">
        <f t="shared" si="5"/>
        <v>0.5906322978226245</v>
      </c>
    </row>
    <row r="70" spans="1:16">
      <c r="A70">
        <f t="shared" si="8"/>
        <v>24</v>
      </c>
      <c r="B70">
        <f t="shared" si="0"/>
        <v>0.49019192025500657</v>
      </c>
      <c r="C70">
        <f t="shared" si="1"/>
        <v>0.10980807974499336</v>
      </c>
      <c r="D70">
        <f t="shared" si="2"/>
        <v>0.22401038288813338</v>
      </c>
      <c r="M70">
        <f t="shared" si="9"/>
        <v>24</v>
      </c>
      <c r="N70">
        <f t="shared" si="3"/>
        <v>0.37899997789990053</v>
      </c>
      <c r="O70">
        <f t="shared" si="4"/>
        <v>0.22100002210009947</v>
      </c>
      <c r="P70">
        <f t="shared" si="5"/>
        <v>0.58311354877827681</v>
      </c>
    </row>
    <row r="71" spans="1:16">
      <c r="A71">
        <f t="shared" si="8"/>
        <v>25</v>
      </c>
      <c r="B71">
        <f t="shared" si="0"/>
        <v>0.49237963734074297</v>
      </c>
      <c r="C71">
        <f t="shared" si="1"/>
        <v>0.10762036265925702</v>
      </c>
      <c r="D71">
        <f t="shared" si="2"/>
        <v>0.21857191991223671</v>
      </c>
      <c r="M71">
        <f t="shared" si="9"/>
        <v>25</v>
      </c>
      <c r="N71">
        <f t="shared" si="3"/>
        <v>0.3807126596296963</v>
      </c>
      <c r="O71">
        <f t="shared" si="4"/>
        <v>0.21928734037030367</v>
      </c>
      <c r="P71">
        <f t="shared" si="5"/>
        <v>0.57599172190280079</v>
      </c>
    </row>
    <row r="72" spans="1:16">
      <c r="A72">
        <f t="shared" si="8"/>
        <v>26</v>
      </c>
      <c r="B72">
        <f t="shared" si="0"/>
        <v>0.49444931531845415</v>
      </c>
      <c r="C72">
        <f t="shared" si="1"/>
        <v>0.10555068468154581</v>
      </c>
      <c r="D72">
        <f t="shared" si="2"/>
        <v>0.21347119191289612</v>
      </c>
      <c r="M72">
        <f t="shared" si="9"/>
        <v>26</v>
      </c>
      <c r="N72">
        <f t="shared" si="3"/>
        <v>0.38235283631417449</v>
      </c>
      <c r="O72">
        <f t="shared" si="4"/>
        <v>0.21764716368582548</v>
      </c>
      <c r="P72">
        <f t="shared" si="5"/>
        <v>0.56923119960064206</v>
      </c>
    </row>
    <row r="73" spans="1:16">
      <c r="A73">
        <f t="shared" si="8"/>
        <v>27</v>
      </c>
      <c r="B73">
        <f t="shared" si="0"/>
        <v>0.49641119398317662</v>
      </c>
      <c r="C73">
        <f t="shared" si="1"/>
        <v>0.10358880601682335</v>
      </c>
      <c r="D73">
        <f t="shared" si="2"/>
        <v>0.20867540311819394</v>
      </c>
      <c r="M73">
        <f t="shared" si="9"/>
        <v>27</v>
      </c>
      <c r="N73">
        <f t="shared" si="3"/>
        <v>0.38392609510775144</v>
      </c>
      <c r="O73">
        <f t="shared" si="4"/>
        <v>0.21607390489224851</v>
      </c>
      <c r="P73">
        <f t="shared" si="5"/>
        <v>0.56280077766426873</v>
      </c>
    </row>
    <row r="74" spans="1:16">
      <c r="A74">
        <f t="shared" si="8"/>
        <v>28</v>
      </c>
      <c r="B74">
        <f t="shared" si="0"/>
        <v>0.49827430671967948</v>
      </c>
      <c r="C74">
        <f t="shared" si="1"/>
        <v>0.10172569328032047</v>
      </c>
      <c r="D74">
        <f t="shared" si="2"/>
        <v>0.20415600786245153</v>
      </c>
      <c r="M74">
        <f t="shared" si="9"/>
        <v>28</v>
      </c>
      <c r="N74">
        <f t="shared" si="3"/>
        <v>0.38543740933258641</v>
      </c>
      <c r="O74">
        <f t="shared" si="4"/>
        <v>0.21456259066741354</v>
      </c>
      <c r="P74">
        <f t="shared" si="5"/>
        <v>0.55667297847125075</v>
      </c>
    </row>
    <row r="75" spans="1:16">
      <c r="A75">
        <f t="shared" si="8"/>
        <v>29</v>
      </c>
      <c r="B75">
        <f t="shared" si="0"/>
        <v>0.50004665797673098</v>
      </c>
      <c r="C75">
        <f t="shared" si="1"/>
        <v>9.9953342023269054E-2</v>
      </c>
      <c r="D75">
        <f t="shared" si="2"/>
        <v>0.19988803130431132</v>
      </c>
      <c r="M75">
        <f t="shared" si="9"/>
        <v>29</v>
      </c>
      <c r="N75">
        <f t="shared" si="3"/>
        <v>0.38689122479671767</v>
      </c>
      <c r="O75">
        <f t="shared" si="4"/>
        <v>0.21310877520328228</v>
      </c>
      <c r="P75">
        <f t="shared" si="5"/>
        <v>0.5508234913191814</v>
      </c>
    </row>
    <row r="76" spans="1:16">
      <c r="A76">
        <f t="shared" si="8"/>
        <v>30</v>
      </c>
      <c r="B76">
        <f t="shared" si="0"/>
        <v>0.5017353697373419</v>
      </c>
      <c r="C76">
        <f t="shared" si="1"/>
        <v>9.8264630262658123E-2</v>
      </c>
      <c r="D76">
        <f t="shared" si="2"/>
        <v>0.19584951787253824</v>
      </c>
      <c r="M76">
        <f t="shared" si="9"/>
        <v>30</v>
      </c>
      <c r="N76">
        <f t="shared" si="3"/>
        <v>0.38829153148741313</v>
      </c>
      <c r="O76">
        <f t="shared" si="4"/>
        <v>0.21170846851258687</v>
      </c>
      <c r="P76">
        <f t="shared" si="5"/>
        <v>0.54523071286567482</v>
      </c>
    </row>
  </sheetData>
  <mergeCells count="1">
    <mergeCell ref="A1:H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shapeId="9217" r:id="rId3">
          <objectPr defaultSize="0" autoPict="0" r:id="rId4">
            <anchor moveWithCells="1">
              <from>
                <xdr:col>4</xdr:col>
                <xdr:colOff>158750</xdr:colOff>
                <xdr:row>2</xdr:row>
                <xdr:rowOff>63500</xdr:rowOff>
              </from>
              <to>
                <xdr:col>7</xdr:col>
                <xdr:colOff>666750</xdr:colOff>
                <xdr:row>5</xdr:row>
                <xdr:rowOff>6350</xdr:rowOff>
              </to>
            </anchor>
          </objectPr>
        </oleObject>
      </mc:Choice>
      <mc:Fallback>
        <oleObject shapeId="9217" r:id="rId3"/>
      </mc:Fallback>
    </mc:AlternateContent>
    <mc:AlternateContent xmlns:mc="http://schemas.openxmlformats.org/markup-compatibility/2006">
      <mc:Choice Requires="x14">
        <oleObject shapeId="9218" r:id="rId5">
          <objectPr defaultSize="0" autoPict="0" r:id="rId6">
            <anchor moveWithCells="1">
              <from>
                <xdr:col>4</xdr:col>
                <xdr:colOff>120650</xdr:colOff>
                <xdr:row>7</xdr:row>
                <xdr:rowOff>44450</xdr:rowOff>
              </from>
              <to>
                <xdr:col>7</xdr:col>
                <xdr:colOff>673100</xdr:colOff>
                <xdr:row>8</xdr:row>
                <xdr:rowOff>158750</xdr:rowOff>
              </to>
            </anchor>
          </objectPr>
        </oleObject>
      </mc:Choice>
      <mc:Fallback>
        <oleObject shapeId="9218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NPP-QI</vt:lpstr>
      <vt:lpstr>RadIntercept</vt:lpstr>
      <vt:lpstr>fT</vt:lpstr>
      <vt:lpstr>fF</vt:lpstr>
      <vt:lpstr>fSW</vt:lpstr>
      <vt:lpstr>fVPD</vt:lpstr>
      <vt:lpstr>fage</vt:lpstr>
      <vt:lpstr>RootPartitioning</vt:lpstr>
      <vt:lpstr>AbgPartitioning</vt:lpstr>
      <vt:lpstr>Litter-fall</vt:lpstr>
      <vt:lpstr>Self-thinning</vt:lpstr>
      <vt:lpstr>StomatalConductance</vt:lpstr>
      <vt:lpstr>Sheet3</vt:lpstr>
      <vt:lpstr>__pFS2</vt:lpstr>
      <vt:lpstr>__pFS20</vt:lpstr>
      <vt:lpstr>_pFS2</vt:lpstr>
      <vt:lpstr>_pFS20</vt:lpstr>
      <vt:lpstr>k</vt:lpstr>
      <vt:lpstr>kD</vt:lpstr>
      <vt:lpstr>kF</vt:lpstr>
      <vt:lpstr>nage</vt:lpstr>
      <vt:lpstr>rage</vt:lpstr>
      <vt:lpstr>Tmax</vt:lpstr>
      <vt:lpstr>Tmin</vt:lpstr>
      <vt:lpstr>Topt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MTome</dc:creator>
  <cp:lastModifiedBy>Margarida</cp:lastModifiedBy>
  <cp:lastPrinted>2011-05-01T09:48:58Z</cp:lastPrinted>
  <dcterms:created xsi:type="dcterms:W3CDTF">2011-05-01T09:45:55Z</dcterms:created>
  <dcterms:modified xsi:type="dcterms:W3CDTF">2020-11-08T00:18:48Z</dcterms:modified>
</cp:coreProperties>
</file>