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_Paula\aulas\2020-2021\6_IF\aula4_18_2_2021\"/>
    </mc:Choice>
  </mc:AlternateContent>
  <bookViews>
    <workbookView xWindow="480" yWindow="90" windowWidth="11325" windowHeight="6450"/>
  </bookViews>
  <sheets>
    <sheet name="3.2.5-pag27" sheetId="7" r:id="rId1"/>
    <sheet name="teste 1" sheetId="8" r:id="rId2"/>
  </sheets>
  <definedNames>
    <definedName name="UT">#REF!</definedName>
  </definedNames>
  <calcPr calcId="162913"/>
</workbook>
</file>

<file path=xl/calcChain.xml><?xml version="1.0" encoding="utf-8"?>
<calcChain xmlns="http://schemas.openxmlformats.org/spreadsheetml/2006/main">
  <c r="B22" i="8" l="1"/>
  <c r="B66" i="7"/>
  <c r="E31" i="8"/>
  <c r="E30" i="8"/>
  <c r="E33" i="8" s="1"/>
  <c r="E32" i="8"/>
  <c r="B32" i="8"/>
  <c r="B31" i="8"/>
  <c r="B30" i="8"/>
  <c r="B29" i="8"/>
  <c r="B27" i="8"/>
  <c r="B26" i="8"/>
  <c r="B25" i="8"/>
  <c r="D18" i="8"/>
  <c r="D17" i="8"/>
  <c r="B18" i="8"/>
  <c r="B19" i="8"/>
  <c r="B17" i="8"/>
  <c r="A6" i="8"/>
  <c r="A7" i="8" s="1"/>
  <c r="A8" i="8" s="1"/>
  <c r="A9" i="8" s="1"/>
  <c r="A10" i="8" s="1"/>
  <c r="A11" i="8" s="1"/>
  <c r="A12" i="8" s="1"/>
  <c r="A5" i="8"/>
  <c r="A4" i="8"/>
  <c r="A3" i="8"/>
  <c r="E4" i="8"/>
  <c r="E5" i="8"/>
  <c r="E6" i="8"/>
  <c r="E7" i="8"/>
  <c r="E8" i="8"/>
  <c r="E9" i="8"/>
  <c r="E10" i="8"/>
  <c r="E11" i="8"/>
  <c r="E3" i="8"/>
  <c r="B14" i="8"/>
  <c r="K81" i="7"/>
  <c r="H80" i="7"/>
  <c r="E80" i="7"/>
  <c r="B81" i="7"/>
  <c r="K68" i="7"/>
  <c r="K67" i="7"/>
  <c r="K66" i="7"/>
  <c r="E65" i="7"/>
  <c r="C62" i="7"/>
  <c r="B45" i="7"/>
  <c r="B46" i="7"/>
  <c r="B16" i="7"/>
  <c r="B15" i="7"/>
  <c r="B14" i="7"/>
  <c r="B36" i="7"/>
  <c r="B30" i="7"/>
  <c r="B29" i="7"/>
  <c r="H83" i="7" l="1"/>
  <c r="E66" i="7" l="1"/>
  <c r="B65" i="7"/>
  <c r="C14" i="7" l="1"/>
  <c r="C15" i="7"/>
  <c r="C16" i="7"/>
  <c r="C17" i="7"/>
  <c r="C18" i="7"/>
  <c r="C19" i="7"/>
  <c r="C20" i="7"/>
  <c r="C13" i="7"/>
  <c r="B20" i="7"/>
  <c r="B17" i="7"/>
  <c r="E29" i="7"/>
  <c r="B31" i="7"/>
  <c r="G8" i="7"/>
  <c r="B35" i="7" l="1"/>
  <c r="B37" i="7"/>
  <c r="E31" i="7" l="1"/>
  <c r="D13" i="7"/>
  <c r="B8" i="7"/>
  <c r="E37" i="7" l="1"/>
  <c r="I76" i="7"/>
  <c r="I62" i="7"/>
  <c r="B80" i="7" l="1"/>
  <c r="O52" i="7" l="1"/>
  <c r="D14" i="7" l="1"/>
  <c r="E14" i="7" l="1"/>
  <c r="D15" i="7"/>
  <c r="D16" i="7"/>
  <c r="D17" i="7"/>
  <c r="D18" i="7"/>
  <c r="D20" i="7"/>
  <c r="C77" i="7"/>
  <c r="C76" i="7"/>
  <c r="B18" i="7"/>
  <c r="B19" i="7"/>
  <c r="C43" i="7"/>
  <c r="B43" i="7"/>
  <c r="D43" i="7" s="1"/>
  <c r="B44" i="7"/>
  <c r="D44" i="7" s="1"/>
  <c r="C44" i="7"/>
  <c r="D45" i="7"/>
  <c r="C45" i="7"/>
  <c r="D46" i="7"/>
  <c r="C46" i="7"/>
  <c r="B47" i="7"/>
  <c r="D47" i="7" s="1"/>
  <c r="C47" i="7"/>
  <c r="B48" i="7"/>
  <c r="D48" i="7" s="1"/>
  <c r="C48" i="7"/>
  <c r="B49" i="7"/>
  <c r="D49" i="7" s="1"/>
  <c r="C49" i="7"/>
  <c r="B50" i="7"/>
  <c r="D50" i="7" s="1"/>
  <c r="C50" i="7"/>
  <c r="B51" i="7"/>
  <c r="D51" i="7" s="1"/>
  <c r="C51" i="7"/>
  <c r="B52" i="7"/>
  <c r="D52" i="7" s="1"/>
  <c r="E53" i="7" s="1"/>
  <c r="C52" i="7"/>
  <c r="C53" i="7"/>
  <c r="B53" i="7"/>
  <c r="D53" i="7" s="1"/>
  <c r="B13" i="7"/>
  <c r="E13" i="7" s="1"/>
  <c r="H65" i="7"/>
  <c r="E30" i="7"/>
  <c r="E36" i="7" s="1"/>
  <c r="D19" i="7" l="1"/>
  <c r="E20" i="7" s="1"/>
  <c r="E35" i="7"/>
  <c r="H66" i="7"/>
  <c r="E17" i="7"/>
  <c r="E34" i="7"/>
  <c r="E15" i="7"/>
  <c r="E52" i="7"/>
  <c r="H81" i="7"/>
  <c r="E45" i="7"/>
  <c r="E51" i="7"/>
  <c r="E46" i="7"/>
  <c r="H82" i="7"/>
  <c r="K82" i="7" s="1"/>
  <c r="K83" i="7"/>
  <c r="H67" i="7"/>
  <c r="H68" i="7"/>
  <c r="E16" i="7"/>
  <c r="B34" i="7"/>
  <c r="E48" i="7"/>
  <c r="E81" i="7"/>
  <c r="G53" i="7"/>
  <c r="E50" i="7"/>
  <c r="E49" i="7"/>
  <c r="E44" i="7"/>
  <c r="E43" i="7"/>
  <c r="E19" i="7"/>
  <c r="E18" i="7"/>
  <c r="E47" i="7"/>
  <c r="E55" i="7" l="1"/>
  <c r="K84" i="7"/>
  <c r="E22" i="7"/>
  <c r="G45" i="7"/>
  <c r="G52" i="7"/>
  <c r="G48" i="7"/>
  <c r="K69" i="7"/>
  <c r="B68" i="7"/>
  <c r="E68" i="7" s="1"/>
  <c r="B67" i="7"/>
  <c r="B82" i="7"/>
  <c r="E82" i="7" s="1"/>
  <c r="B83" i="7"/>
  <c r="E83" i="7" s="1"/>
  <c r="E84" i="7" l="1"/>
  <c r="E67" i="7"/>
  <c r="E69" i="7" s="1"/>
</calcChain>
</file>

<file path=xl/sharedStrings.xml><?xml version="1.0" encoding="utf-8"?>
<sst xmlns="http://schemas.openxmlformats.org/spreadsheetml/2006/main" count="154" uniqueCount="83">
  <si>
    <t>bicada</t>
  </si>
  <si>
    <t>m</t>
  </si>
  <si>
    <t>m3</t>
  </si>
  <si>
    <t>cm</t>
  </si>
  <si>
    <t>di</t>
  </si>
  <si>
    <t>d=</t>
  </si>
  <si>
    <t>h=</t>
  </si>
  <si>
    <t>v=</t>
  </si>
  <si>
    <t>v25=</t>
  </si>
  <si>
    <t>v18=</t>
  </si>
  <si>
    <t>&gt;25</t>
  </si>
  <si>
    <t>v(25;18)=</t>
  </si>
  <si>
    <t>hi</t>
  </si>
  <si>
    <t>htoro</t>
  </si>
  <si>
    <t>gi</t>
  </si>
  <si>
    <t>vi</t>
  </si>
  <si>
    <t>volume total=</t>
  </si>
  <si>
    <r>
      <t>d) Volume por cat. aprov. com uma EPT -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d (-2.1823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-1))</t>
    </r>
    <r>
      <rPr>
        <b/>
        <vertAlign val="superscript"/>
        <sz val="10"/>
        <rFont val="Arial"/>
        <family val="2"/>
      </rPr>
      <t>0.5</t>
    </r>
  </si>
  <si>
    <t>Árvore com d=25.5 cm e h=12.9 m</t>
  </si>
  <si>
    <t>Árvore com d=22.5 cm e h=11.9 m</t>
  </si>
  <si>
    <t>&lt; 25</t>
  </si>
  <si>
    <t>categoria 1</t>
  </si>
  <si>
    <t>categoria 2</t>
  </si>
  <si>
    <t>categoria 3</t>
  </si>
  <si>
    <t>não há madeira</t>
  </si>
  <si>
    <t>v25.29=</t>
  </si>
  <si>
    <t>v(25.29;18)=</t>
  </si>
  <si>
    <t>total</t>
  </si>
  <si>
    <t>Na aplicação da EPT: d (cm), h (m), hi (m)</t>
  </si>
  <si>
    <t>Independentemente do</t>
  </si>
  <si>
    <t>comprimento do toro</t>
  </si>
  <si>
    <t>d&gt;=25</t>
  </si>
  <si>
    <t>18&lt;=d&lt;25</t>
  </si>
  <si>
    <t xml:space="preserve">RESOLUÇÃO: </t>
  </si>
  <si>
    <t>data - what-if-analysis - goal seek</t>
  </si>
  <si>
    <t>dados - análise de hipóteses - atingir objetivo</t>
  </si>
  <si>
    <t>di(hi=2.15)</t>
  </si>
  <si>
    <t>EPT</t>
  </si>
  <si>
    <t>EVP</t>
  </si>
  <si>
    <t>Categorias de aproveitamento:</t>
  </si>
  <si>
    <r>
      <t>m</t>
    </r>
    <r>
      <rPr>
        <vertAlign val="superscript"/>
        <sz val="10"/>
        <rFont val="Arial"/>
        <family val="2"/>
      </rPr>
      <t>3</t>
    </r>
  </si>
  <si>
    <r>
      <t>c) Volume por categorias de aproveitamento com uma EVP - P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 xml:space="preserve"> = v</t>
    </r>
    <r>
      <rPr>
        <b/>
        <vertAlign val="subscript"/>
        <sz val="10"/>
        <rFont val="Arial"/>
        <family val="2"/>
      </rPr>
      <t>di</t>
    </r>
    <r>
      <rPr>
        <b/>
        <sz val="10"/>
        <rFont val="Arial"/>
        <family val="2"/>
      </rPr>
      <t>/v = exp(-0.7084 d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4.5317</t>
    </r>
    <r>
      <rPr>
        <b/>
        <sz val="10"/>
        <rFont val="Arial"/>
        <family val="2"/>
      </rPr>
      <t>/d</t>
    </r>
    <r>
      <rPr>
        <b/>
        <vertAlign val="superscript"/>
        <sz val="10"/>
        <rFont val="Arial"/>
        <family val="2"/>
      </rPr>
      <t>4.3164</t>
    </r>
    <r>
      <rPr>
        <b/>
        <sz val="10"/>
        <rFont val="Arial"/>
        <family val="2"/>
      </rPr>
      <t>)</t>
    </r>
  </si>
  <si>
    <t>di(hi=4.15)</t>
  </si>
  <si>
    <t>&lt; 25 cm   logo, o 2º toro já não é madeira</t>
  </si>
  <si>
    <t>Árvore: d=25.5 cm; h=12.9 m</t>
  </si>
  <si>
    <t>Árvore: d=22.5 cm; h=10.9 m</t>
  </si>
  <si>
    <r>
      <t>a) Volume total usando uma EVT    v = 0.00005126 d</t>
    </r>
    <r>
      <rPr>
        <b/>
        <vertAlign val="superscript"/>
        <sz val="10"/>
        <rFont val="Arial"/>
        <family val="2"/>
      </rPr>
      <t>2.0507</t>
    </r>
    <r>
      <rPr>
        <b/>
        <sz val="10"/>
        <rFont val="Arial"/>
        <family val="2"/>
      </rPr>
      <t xml:space="preserve"> h</t>
    </r>
    <r>
      <rPr>
        <b/>
        <vertAlign val="superscript"/>
        <sz val="10"/>
        <rFont val="Arial"/>
        <family val="2"/>
      </rPr>
      <t>0.8428</t>
    </r>
  </si>
  <si>
    <t>comprimento toro</t>
  </si>
  <si>
    <r>
      <t>No cálculo do volume total (soma vol toros): g (m</t>
    </r>
    <r>
      <rPr>
        <b/>
        <vertAlign val="superscript"/>
        <sz val="10"/>
        <color rgb="FFFF0000"/>
        <rFont val="Arial"/>
        <family val="2"/>
      </rPr>
      <t>2</t>
    </r>
    <r>
      <rPr>
        <b/>
        <sz val="10"/>
        <color rgb="FFFF0000"/>
        <rFont val="Arial"/>
        <family val="2"/>
      </rPr>
      <t>), htoro (m)</t>
    </r>
  </si>
  <si>
    <t>hi (m)</t>
  </si>
  <si>
    <t>di (cm)</t>
  </si>
  <si>
    <t>gi (m2)</t>
  </si>
  <si>
    <t>vi (m3)</t>
  </si>
  <si>
    <t>Árvore:  d=25.5 cm; h=12.9 m</t>
  </si>
  <si>
    <t>v6=</t>
  </si>
  <si>
    <t>v(18;6)=</t>
  </si>
  <si>
    <t>v(di&lt;6)=</t>
  </si>
  <si>
    <r>
      <t>(b) Volume total usando uma EPT    d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= d x [-2.1823 (h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>/h-1)+0.8591 (h</t>
    </r>
    <r>
      <rPr>
        <b/>
        <vertAlign val="subscript"/>
        <sz val="10"/>
        <rFont val="Arial"/>
        <family val="2"/>
      </rPr>
      <t>i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/h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-1)]</t>
    </r>
    <r>
      <rPr>
        <b/>
        <vertAlign val="superscript"/>
        <sz val="10"/>
        <rFont val="Arial"/>
        <family val="2"/>
      </rPr>
      <t>0.5</t>
    </r>
  </si>
  <si>
    <t>sqrt</t>
  </si>
  <si>
    <t>raizq</t>
  </si>
  <si>
    <r>
      <t xml:space="preserve">e) igual a c), mas com toros de madeira (d&gt;25 cm) </t>
    </r>
    <r>
      <rPr>
        <b/>
        <sz val="10"/>
        <color rgb="FFFF0000"/>
        <rFont val="Arial"/>
        <family val="2"/>
      </rPr>
      <t>com comp. &gt; 2 m</t>
    </r>
  </si>
  <si>
    <r>
      <t xml:space="preserve">f) igual a c), mas com toros de madeira (d&gt;25 cm) </t>
    </r>
    <r>
      <rPr>
        <b/>
        <sz val="10"/>
        <color rgb="FFFF0000"/>
        <rFont val="Arial"/>
        <family val="2"/>
      </rPr>
      <t>com comp. = 2 m</t>
    </r>
  </si>
  <si>
    <t>6&lt;=d&lt;18</t>
  </si>
  <si>
    <t>não há madeira (categoria 1)</t>
  </si>
  <si>
    <t>categoria 1 (madeira)</t>
  </si>
  <si>
    <t>h total</t>
  </si>
  <si>
    <t>dcc2(cm)</t>
  </si>
  <si>
    <t>dcc1 (cm)</t>
  </si>
  <si>
    <t>dcc(cm)</t>
  </si>
  <si>
    <t>comp toro(m)</t>
  </si>
  <si>
    <t>hcorte (m)</t>
  </si>
  <si>
    <t>vcc (m3)</t>
  </si>
  <si>
    <t>vsc (m3)</t>
  </si>
  <si>
    <t>%casca</t>
  </si>
  <si>
    <t>%casca=(vcc-vsc)/vcc</t>
  </si>
  <si>
    <t>d(hi=2.03)</t>
  </si>
  <si>
    <t>&lt;22 cm - não há madeira</t>
  </si>
  <si>
    <t>v(22)</t>
  </si>
  <si>
    <t>v(14)</t>
  </si>
  <si>
    <t>v(6)</t>
  </si>
  <si>
    <t>v22=</t>
  </si>
  <si>
    <t>v(22;14)=</t>
  </si>
  <si>
    <t>v(14;6)=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</si>
</sst>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10"/>
      <color theme="5" tint="0.39997558519241921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color theme="1" tint="0.499984740745262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2" borderId="0" xfId="0" applyFont="1" applyFill="1"/>
    <xf numFmtId="2" fontId="2" fillId="0" borderId="0" xfId="0" applyNumberFormat="1" applyFont="1"/>
    <xf numFmtId="0" fontId="2" fillId="0" borderId="2" xfId="0" applyFont="1" applyBorder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Border="1"/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5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165" fontId="0" fillId="0" borderId="0" xfId="0" applyNumberFormat="1"/>
    <xf numFmtId="0" fontId="2" fillId="0" borderId="0" xfId="0" applyFont="1"/>
    <xf numFmtId="165" fontId="0" fillId="0" borderId="0" xfId="0" applyNumberFormat="1" applyBorder="1"/>
    <xf numFmtId="165" fontId="0" fillId="0" borderId="1" xfId="0" applyNumberFormat="1" applyBorder="1"/>
    <xf numFmtId="165" fontId="0" fillId="0" borderId="1" xfId="0" applyNumberFormat="1" applyFill="1" applyBorder="1"/>
    <xf numFmtId="2" fontId="0" fillId="0" borderId="0" xfId="0" applyNumberFormat="1" applyAlignment="1">
      <alignment horizontal="center"/>
    </xf>
    <xf numFmtId="165" fontId="2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3" fillId="3" borderId="0" xfId="0" applyFont="1" applyFill="1"/>
    <xf numFmtId="2" fontId="0" fillId="0" borderId="0" xfId="0" applyNumberForma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165" fontId="0" fillId="0" borderId="2" xfId="0" applyNumberFormat="1" applyBorder="1"/>
    <xf numFmtId="165" fontId="0" fillId="0" borderId="3" xfId="0" applyNumberFormat="1" applyBorder="1"/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2" fillId="4" borderId="0" xfId="0" applyNumberFormat="1" applyFont="1" applyFill="1" applyAlignment="1">
      <alignment horizontal="center"/>
    </xf>
    <xf numFmtId="164" fontId="0" fillId="4" borderId="0" xfId="0" applyNumberFormat="1" applyFill="1" applyAlignment="1">
      <alignment horizontal="center"/>
    </xf>
    <xf numFmtId="2" fontId="0" fillId="4" borderId="0" xfId="0" applyNumberFormat="1" applyFill="1" applyBorder="1"/>
    <xf numFmtId="2" fontId="0" fillId="5" borderId="0" xfId="0" applyNumberFormat="1" applyFill="1"/>
    <xf numFmtId="2" fontId="0" fillId="6" borderId="0" xfId="0" applyNumberFormat="1" applyFill="1"/>
    <xf numFmtId="2" fontId="0" fillId="6" borderId="3" xfId="0" applyNumberFormat="1" applyFill="1" applyBorder="1"/>
    <xf numFmtId="2" fontId="0" fillId="7" borderId="2" xfId="0" applyNumberFormat="1" applyFill="1" applyBorder="1"/>
    <xf numFmtId="0" fontId="0" fillId="7" borderId="0" xfId="0" applyFill="1"/>
    <xf numFmtId="0" fontId="14" fillId="0" borderId="1" xfId="0" applyFont="1" applyBorder="1"/>
    <xf numFmtId="164" fontId="2" fillId="0" borderId="0" xfId="0" applyNumberFormat="1" applyFont="1" applyAlignment="1">
      <alignment horizontal="center"/>
    </xf>
    <xf numFmtId="165" fontId="0" fillId="7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0" applyNumberFormat="1" applyFill="1" applyBorder="1"/>
    <xf numFmtId="0" fontId="14" fillId="7" borderId="1" xfId="0" applyFont="1" applyFill="1" applyBorder="1"/>
    <xf numFmtId="165" fontId="0" fillId="7" borderId="1" xfId="0" applyNumberFormat="1" applyFill="1" applyBorder="1"/>
    <xf numFmtId="0" fontId="0" fillId="7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315383</xdr:colOff>
      <xdr:row>25</xdr:row>
      <xdr:rowOff>42336</xdr:rowOff>
    </xdr:from>
    <xdr:to>
      <xdr:col>7</xdr:col>
      <xdr:colOff>121708</xdr:colOff>
      <xdr:row>36</xdr:row>
      <xdr:rowOff>159811</xdr:rowOff>
    </xdr:to>
    <xdr:sp macro="" textlink="">
      <xdr:nvSpPr>
        <xdr:cNvPr id="2" name="Triângulo isósceles 1"/>
        <xdr:cNvSpPr/>
      </xdr:nvSpPr>
      <xdr:spPr bwMode="auto">
        <a:xfrm>
          <a:off x="4411133" y="4201586"/>
          <a:ext cx="428625" cy="1933575"/>
        </a:xfrm>
        <a:prstGeom prst="triangle">
          <a:avLst>
            <a:gd name="adj" fmla="val 51539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pt-PT" sz="1100"/>
        </a:p>
      </xdr:txBody>
    </xdr:sp>
    <xdr:clientData/>
  </xdr:twoCellAnchor>
  <xdr:twoCellAnchor>
    <xdr:from>
      <xdr:col>6</xdr:col>
      <xdr:colOff>201083</xdr:colOff>
      <xdr:row>34</xdr:row>
      <xdr:rowOff>159813</xdr:rowOff>
    </xdr:from>
    <xdr:to>
      <xdr:col>7</xdr:col>
      <xdr:colOff>264583</xdr:colOff>
      <xdr:row>34</xdr:row>
      <xdr:rowOff>159813</xdr:rowOff>
    </xdr:to>
    <xdr:cxnSp macro="">
      <xdr:nvCxnSpPr>
        <xdr:cNvPr id="4" name="Conexão recta 3"/>
        <xdr:cNvCxnSpPr/>
      </xdr:nvCxnSpPr>
      <xdr:spPr bwMode="auto">
        <a:xfrm>
          <a:off x="4296833" y="5804963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353483</xdr:colOff>
      <xdr:row>26</xdr:row>
      <xdr:rowOff>164046</xdr:rowOff>
    </xdr:from>
    <xdr:to>
      <xdr:col>7</xdr:col>
      <xdr:colOff>232833</xdr:colOff>
      <xdr:row>26</xdr:row>
      <xdr:rowOff>164046</xdr:rowOff>
    </xdr:to>
    <xdr:cxnSp macro="">
      <xdr:nvCxnSpPr>
        <xdr:cNvPr id="5" name="Conexão recta 4"/>
        <xdr:cNvCxnSpPr/>
      </xdr:nvCxnSpPr>
      <xdr:spPr bwMode="auto">
        <a:xfrm>
          <a:off x="4449233" y="4488396"/>
          <a:ext cx="5016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223308</xdr:colOff>
      <xdr:row>31</xdr:row>
      <xdr:rowOff>1062</xdr:rowOff>
    </xdr:from>
    <xdr:to>
      <xdr:col>7</xdr:col>
      <xdr:colOff>286808</xdr:colOff>
      <xdr:row>31</xdr:row>
      <xdr:rowOff>1062</xdr:rowOff>
    </xdr:to>
    <xdr:cxnSp macro="">
      <xdr:nvCxnSpPr>
        <xdr:cNvPr id="6" name="Conexão recta 5"/>
        <xdr:cNvCxnSpPr/>
      </xdr:nvCxnSpPr>
      <xdr:spPr bwMode="auto">
        <a:xfrm>
          <a:off x="4319058" y="5150912"/>
          <a:ext cx="6858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7</xdr:col>
      <xdr:colOff>293158</xdr:colOff>
      <xdr:row>34</xdr:row>
      <xdr:rowOff>23286</xdr:rowOff>
    </xdr:from>
    <xdr:to>
      <xdr:col>8</xdr:col>
      <xdr:colOff>51858</xdr:colOff>
      <xdr:row>35</xdr:row>
      <xdr:rowOff>80437</xdr:rowOff>
    </xdr:to>
    <xdr:sp macro="" textlink="">
      <xdr:nvSpPr>
        <xdr:cNvPr id="7" name="CaixaDeTexto 6"/>
        <xdr:cNvSpPr txBox="1"/>
      </xdr:nvSpPr>
      <xdr:spPr>
        <a:xfrm>
          <a:off x="5011208" y="5668436"/>
          <a:ext cx="419100" cy="222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25</a:t>
          </a:r>
        </a:p>
      </xdr:txBody>
    </xdr:sp>
    <xdr:clientData/>
  </xdr:twoCellAnchor>
  <xdr:twoCellAnchor>
    <xdr:from>
      <xdr:col>7</xdr:col>
      <xdr:colOff>226483</xdr:colOff>
      <xdr:row>30</xdr:row>
      <xdr:rowOff>24345</xdr:rowOff>
    </xdr:from>
    <xdr:to>
      <xdr:col>7</xdr:col>
      <xdr:colOff>645583</xdr:colOff>
      <xdr:row>31</xdr:row>
      <xdr:rowOff>99488</xdr:rowOff>
    </xdr:to>
    <xdr:sp macro="" textlink="">
      <xdr:nvSpPr>
        <xdr:cNvPr id="8" name="CaixaDeTexto 7"/>
        <xdr:cNvSpPr txBox="1"/>
      </xdr:nvSpPr>
      <xdr:spPr>
        <a:xfrm>
          <a:off x="4944533" y="5009095"/>
          <a:ext cx="419100" cy="2402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18</a:t>
          </a:r>
        </a:p>
      </xdr:txBody>
    </xdr:sp>
    <xdr:clientData/>
  </xdr:twoCellAnchor>
  <xdr:twoCellAnchor>
    <xdr:from>
      <xdr:col>7</xdr:col>
      <xdr:colOff>185208</xdr:colOff>
      <xdr:row>26</xdr:row>
      <xdr:rowOff>42338</xdr:rowOff>
    </xdr:from>
    <xdr:to>
      <xdr:col>7</xdr:col>
      <xdr:colOff>553508</xdr:colOff>
      <xdr:row>27</xdr:row>
      <xdr:rowOff>103721</xdr:rowOff>
    </xdr:to>
    <xdr:sp macro="" textlink="">
      <xdr:nvSpPr>
        <xdr:cNvPr id="10" name="CaixaDeTexto 9"/>
        <xdr:cNvSpPr txBox="1"/>
      </xdr:nvSpPr>
      <xdr:spPr>
        <a:xfrm>
          <a:off x="4903258" y="4366688"/>
          <a:ext cx="368300" cy="226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100" b="1"/>
            <a:t>6</a:t>
          </a:r>
        </a:p>
      </xdr:txBody>
    </xdr:sp>
    <xdr:clientData/>
  </xdr:twoCellAnchor>
  <xdr:twoCellAnchor>
    <xdr:from>
      <xdr:col>9</xdr:col>
      <xdr:colOff>177800</xdr:colOff>
      <xdr:row>33</xdr:row>
      <xdr:rowOff>44450</xdr:rowOff>
    </xdr:from>
    <xdr:to>
      <xdr:col>10</xdr:col>
      <xdr:colOff>260350</xdr:colOff>
      <xdr:row>37</xdr:row>
      <xdr:rowOff>133350</xdr:rowOff>
    </xdr:to>
    <xdr:sp macro="" textlink="">
      <xdr:nvSpPr>
        <xdr:cNvPr id="12" name="CaixaDeTexto 11"/>
        <xdr:cNvSpPr txBox="1"/>
      </xdr:nvSpPr>
      <xdr:spPr>
        <a:xfrm rot="16200000">
          <a:off x="5965825" y="5553075"/>
          <a:ext cx="749300" cy="692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Vol até 25 cm diâmetro</a:t>
          </a:r>
        </a:p>
      </xdr:txBody>
    </xdr:sp>
    <xdr:clientData/>
  </xdr:twoCellAnchor>
  <xdr:twoCellAnchor>
    <xdr:from>
      <xdr:col>8</xdr:col>
      <xdr:colOff>60325</xdr:colOff>
      <xdr:row>30</xdr:row>
      <xdr:rowOff>82549</xdr:rowOff>
    </xdr:from>
    <xdr:to>
      <xdr:col>9</xdr:col>
      <xdr:colOff>158753</xdr:colOff>
      <xdr:row>38</xdr:row>
      <xdr:rowOff>15874</xdr:rowOff>
    </xdr:to>
    <xdr:sp macro="" textlink="">
      <xdr:nvSpPr>
        <xdr:cNvPr id="14" name="CaixaDeTexto 13"/>
        <xdr:cNvSpPr txBox="1"/>
      </xdr:nvSpPr>
      <xdr:spPr>
        <a:xfrm rot="16200000">
          <a:off x="5080001" y="5426073"/>
          <a:ext cx="1254125" cy="536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1000">
              <a:solidFill>
                <a:schemeClr val="tx2">
                  <a:lumMod val="60000"/>
                  <a:lumOff val="4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 até 18 cm diâmetro</a:t>
          </a:r>
        </a:p>
      </xdr:txBody>
    </xdr:sp>
    <xdr:clientData/>
  </xdr:twoCellAnchor>
  <xdr:twoCellAnchor>
    <xdr:from>
      <xdr:col>5</xdr:col>
      <xdr:colOff>466725</xdr:colOff>
      <xdr:row>26</xdr:row>
      <xdr:rowOff>161925</xdr:rowOff>
    </xdr:from>
    <xdr:to>
      <xdr:col>6</xdr:col>
      <xdr:colOff>60325</xdr:colOff>
      <xdr:row>37</xdr:row>
      <xdr:rowOff>15875</xdr:rowOff>
    </xdr:to>
    <xdr:sp macro="" textlink="">
      <xdr:nvSpPr>
        <xdr:cNvPr id="16" name="CaixaDeTexto 15"/>
        <xdr:cNvSpPr txBox="1"/>
      </xdr:nvSpPr>
      <xdr:spPr>
        <a:xfrm rot="16200000">
          <a:off x="3219450" y="5219700"/>
          <a:ext cx="1670050" cy="203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PT" sz="1000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Vol até 6 cm diâmetro</a:t>
          </a:r>
        </a:p>
      </xdr:txBody>
    </xdr:sp>
    <xdr:clientData/>
  </xdr:twoCellAnchor>
  <xdr:twoCellAnchor>
    <xdr:from>
      <xdr:col>6</xdr:col>
      <xdr:colOff>82550</xdr:colOff>
      <xdr:row>27</xdr:row>
      <xdr:rowOff>0</xdr:rowOff>
    </xdr:from>
    <xdr:to>
      <xdr:col>6</xdr:col>
      <xdr:colOff>88900</xdr:colOff>
      <xdr:row>37</xdr:row>
      <xdr:rowOff>6350</xdr:rowOff>
    </xdr:to>
    <xdr:cxnSp macro="">
      <xdr:nvCxnSpPr>
        <xdr:cNvPr id="17" name="Conexão reta 16"/>
        <xdr:cNvCxnSpPr/>
      </xdr:nvCxnSpPr>
      <xdr:spPr bwMode="auto">
        <a:xfrm>
          <a:off x="4178300" y="4489450"/>
          <a:ext cx="6350" cy="165735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accent2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12700</xdr:colOff>
      <xdr:row>30</xdr:row>
      <xdr:rowOff>139700</xdr:rowOff>
    </xdr:from>
    <xdr:to>
      <xdr:col>8</xdr:col>
      <xdr:colOff>12700</xdr:colOff>
      <xdr:row>37</xdr:row>
      <xdr:rowOff>12700</xdr:rowOff>
    </xdr:to>
    <xdr:cxnSp macro="">
      <xdr:nvCxnSpPr>
        <xdr:cNvPr id="18" name="Conexão reta 17"/>
        <xdr:cNvCxnSpPr/>
      </xdr:nvCxnSpPr>
      <xdr:spPr bwMode="auto">
        <a:xfrm>
          <a:off x="5391150" y="5124450"/>
          <a:ext cx="0" cy="1028700"/>
        </a:xfrm>
        <a:prstGeom prst="line">
          <a:avLst/>
        </a:prstGeom>
        <a:solidFill>
          <a:srgbClr val="FFFFFF"/>
        </a:solidFill>
        <a:ln w="9525" cap="flat" cmpd="sng" algn="ctr">
          <a:solidFill>
            <a:schemeClr val="tx2">
              <a:lumMod val="60000"/>
              <a:lumOff val="40000"/>
            </a:schemeClr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158750</xdr:colOff>
      <xdr:row>35</xdr:row>
      <xdr:rowOff>12700</xdr:rowOff>
    </xdr:from>
    <xdr:to>
      <xdr:col>9</xdr:col>
      <xdr:colOff>158750</xdr:colOff>
      <xdr:row>37</xdr:row>
      <xdr:rowOff>19050</xdr:rowOff>
    </xdr:to>
    <xdr:cxnSp macro="">
      <xdr:nvCxnSpPr>
        <xdr:cNvPr id="20" name="Conexão reta 19"/>
        <xdr:cNvCxnSpPr/>
      </xdr:nvCxnSpPr>
      <xdr:spPr bwMode="auto">
        <a:xfrm>
          <a:off x="5975350" y="5822950"/>
          <a:ext cx="0" cy="3365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dash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7</xdr:col>
      <xdr:colOff>647700</xdr:colOff>
      <xdr:row>15</xdr:row>
      <xdr:rowOff>127205</xdr:rowOff>
    </xdr:from>
    <xdr:to>
      <xdr:col>13</xdr:col>
      <xdr:colOff>497852</xdr:colOff>
      <xdr:row>19</xdr:row>
      <xdr:rowOff>101482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89550" y="2686255"/>
          <a:ext cx="3387102" cy="634677"/>
        </a:xfrm>
        <a:prstGeom prst="rect">
          <a:avLst/>
        </a:prstGeom>
      </xdr:spPr>
    </xdr:pic>
    <xdr:clientData/>
  </xdr:twoCellAnchor>
  <xdr:twoCellAnchor editAs="oneCell">
    <xdr:from>
      <xdr:col>7</xdr:col>
      <xdr:colOff>323850</xdr:colOff>
      <xdr:row>38</xdr:row>
      <xdr:rowOff>6350</xdr:rowOff>
    </xdr:from>
    <xdr:to>
      <xdr:col>11</xdr:col>
      <xdr:colOff>389902</xdr:colOff>
      <xdr:row>57</xdr:row>
      <xdr:rowOff>97428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65700" y="6426200"/>
          <a:ext cx="2383802" cy="4466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438149</xdr:colOff>
      <xdr:row>3</xdr:row>
      <xdr:rowOff>150206</xdr:rowOff>
    </xdr:from>
    <xdr:to>
      <xdr:col>14</xdr:col>
      <xdr:colOff>265706</xdr:colOff>
      <xdr:row>17</xdr:row>
      <xdr:rowOff>66213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00649" y="635981"/>
          <a:ext cx="4704357" cy="2182957"/>
        </a:xfrm>
        <a:prstGeom prst="rect">
          <a:avLst/>
        </a:prstGeom>
      </xdr:spPr>
    </xdr:pic>
    <xdr:clientData/>
  </xdr:twoCellAnchor>
  <xdr:twoCellAnchor editAs="oneCell">
    <xdr:from>
      <xdr:col>6</xdr:col>
      <xdr:colOff>238125</xdr:colOff>
      <xdr:row>17</xdr:row>
      <xdr:rowOff>29266</xdr:rowOff>
    </xdr:from>
    <xdr:to>
      <xdr:col>16</xdr:col>
      <xdr:colOff>218092</xdr:colOff>
      <xdr:row>27</xdr:row>
      <xdr:rowOff>28312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781991"/>
          <a:ext cx="6075967" cy="1618296"/>
        </a:xfrm>
        <a:prstGeom prst="rect">
          <a:avLst/>
        </a:prstGeom>
      </xdr:spPr>
    </xdr:pic>
    <xdr:clientData/>
  </xdr:twoCellAnchor>
  <xdr:twoCellAnchor>
    <xdr:from>
      <xdr:col>14</xdr:col>
      <xdr:colOff>266700</xdr:colOff>
      <xdr:row>4</xdr:row>
      <xdr:rowOff>142875</xdr:rowOff>
    </xdr:from>
    <xdr:to>
      <xdr:col>19</xdr:col>
      <xdr:colOff>228600</xdr:colOff>
      <xdr:row>13</xdr:row>
      <xdr:rowOff>114300</xdr:rowOff>
    </xdr:to>
    <xdr:sp macro="" textlink="">
      <xdr:nvSpPr>
        <xdr:cNvPr id="7" name="CaixaDeTexto 6"/>
        <xdr:cNvSpPr txBox="1"/>
      </xdr:nvSpPr>
      <xdr:spPr>
        <a:xfrm>
          <a:off x="9344025" y="790575"/>
          <a:ext cx="3009900" cy="142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PT" sz="1400"/>
            <a:t>%casca=(vcc-vsc)/vcc*100</a:t>
          </a:r>
        </a:p>
        <a:p>
          <a:r>
            <a:rPr lang="pt-PT" sz="1400"/>
            <a:t>100*%casca=(vcc-vsc)/vcc</a:t>
          </a:r>
        </a:p>
        <a:p>
          <a:r>
            <a:rPr lang="pt-PT" sz="1400"/>
            <a:t>0.338192*vcc=vcc-vsc</a:t>
          </a:r>
        </a:p>
        <a:p>
          <a:r>
            <a:rPr lang="pt-PT" sz="1400"/>
            <a:t>vsc=vcc-0.338192*vcc</a:t>
          </a:r>
        </a:p>
        <a:p>
          <a:endParaRPr lang="pt-PT" sz="1400"/>
        </a:p>
        <a:p>
          <a:endParaRPr lang="pt-PT" sz="1400"/>
        </a:p>
        <a:p>
          <a:endParaRPr lang="pt-PT" sz="1400"/>
        </a:p>
        <a:p>
          <a:endParaRPr lang="pt-PT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84"/>
  <sheetViews>
    <sheetView tabSelected="1" topLeftCell="A59" zoomScale="150" zoomScaleNormal="150" workbookViewId="0">
      <selection activeCell="C77" sqref="C77"/>
    </sheetView>
  </sheetViews>
  <sheetFormatPr defaultRowHeight="12.75" x14ac:dyDescent="0.2"/>
  <cols>
    <col min="1" max="1" width="11.5703125" customWidth="1"/>
    <col min="2" max="2" width="15" customWidth="1"/>
    <col min="3" max="3" width="6.42578125" customWidth="1"/>
    <col min="4" max="4" width="16.85546875" customWidth="1"/>
    <col min="5" max="5" width="9.140625" customWidth="1"/>
    <col min="7" max="7" width="9.28515625" bestFit="1" customWidth="1"/>
    <col min="8" max="8" width="9.85546875" customWidth="1"/>
    <col min="9" max="9" width="6.5703125" customWidth="1"/>
  </cols>
  <sheetData>
    <row r="1" spans="1:10" ht="14.25" x14ac:dyDescent="0.2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3" spans="1:10" x14ac:dyDescent="0.2">
      <c r="A3" s="26" t="s">
        <v>44</v>
      </c>
      <c r="D3" s="9"/>
      <c r="E3" s="9"/>
      <c r="F3" s="26" t="s">
        <v>45</v>
      </c>
    </row>
    <row r="5" spans="1:10" x14ac:dyDescent="0.2">
      <c r="A5" s="5" t="s">
        <v>5</v>
      </c>
      <c r="B5" s="43">
        <v>25.5</v>
      </c>
      <c r="C5" t="s">
        <v>3</v>
      </c>
      <c r="D5" s="3" t="s">
        <v>59</v>
      </c>
      <c r="E5" s="9"/>
      <c r="F5" s="5" t="s">
        <v>5</v>
      </c>
      <c r="G5" s="43">
        <v>22.5</v>
      </c>
      <c r="H5" t="s">
        <v>3</v>
      </c>
    </row>
    <row r="6" spans="1:10" x14ac:dyDescent="0.2">
      <c r="A6" s="5" t="s">
        <v>6</v>
      </c>
      <c r="B6" s="43">
        <v>12.9</v>
      </c>
      <c r="C6" t="s">
        <v>1</v>
      </c>
      <c r="D6" s="3" t="s">
        <v>58</v>
      </c>
      <c r="E6" s="9"/>
      <c r="F6" s="5" t="s">
        <v>6</v>
      </c>
      <c r="G6" s="43">
        <v>10.9</v>
      </c>
      <c r="H6" t="s">
        <v>1</v>
      </c>
      <c r="I6" s="26"/>
    </row>
    <row r="7" spans="1:10" x14ac:dyDescent="0.2">
      <c r="A7" s="5"/>
      <c r="B7" s="43"/>
      <c r="D7" s="9"/>
      <c r="E7" s="9"/>
      <c r="F7" s="5"/>
    </row>
    <row r="8" spans="1:10" ht="14.25" x14ac:dyDescent="0.2">
      <c r="A8" s="5" t="s">
        <v>7</v>
      </c>
      <c r="B8" s="44">
        <f>0.00005126*B5^2.0507*B6^0.8428</f>
        <v>0.33898115702139525</v>
      </c>
      <c r="C8" s="26" t="s">
        <v>40</v>
      </c>
      <c r="D8" s="9"/>
      <c r="E8" s="9"/>
      <c r="F8" s="5" t="s">
        <v>7</v>
      </c>
      <c r="G8" s="44">
        <f>0.00005126*G5^2.0507*G6^0.8428</f>
        <v>0.2275319266161126</v>
      </c>
      <c r="H8" s="26" t="s">
        <v>40</v>
      </c>
    </row>
    <row r="9" spans="1:10" x14ac:dyDescent="0.2">
      <c r="A9" s="5"/>
      <c r="D9" s="9"/>
      <c r="E9" s="9"/>
      <c r="F9" s="9"/>
    </row>
    <row r="10" spans="1:10" ht="15" x14ac:dyDescent="0.25">
      <c r="A10" s="2" t="s">
        <v>57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">
      <c r="D11" s="9"/>
      <c r="E11" s="9"/>
      <c r="F11" s="9"/>
    </row>
    <row r="12" spans="1:10" x14ac:dyDescent="0.2">
      <c r="A12" s="42" t="s">
        <v>49</v>
      </c>
      <c r="B12" s="42" t="s">
        <v>47</v>
      </c>
      <c r="C12" s="48" t="s">
        <v>50</v>
      </c>
      <c r="D12" s="45" t="s">
        <v>51</v>
      </c>
      <c r="E12" s="45" t="s">
        <v>52</v>
      </c>
      <c r="G12" s="24" t="s">
        <v>28</v>
      </c>
    </row>
    <row r="13" spans="1:10" ht="14.25" x14ac:dyDescent="0.2">
      <c r="A13" s="30">
        <v>0.15</v>
      </c>
      <c r="B13" s="30">
        <f>A13</f>
        <v>0.15</v>
      </c>
      <c r="C13" s="49">
        <f>B$5*(-2.1823*(A13/B$6-1)+0.8591*(A13^2/B$6^2-1))^0.5</f>
        <v>29.051434724219042</v>
      </c>
      <c r="D13" s="18">
        <f>PI()/4*(C13/100)^2</f>
        <v>6.6286494401264565E-2</v>
      </c>
      <c r="E13" s="31">
        <f>B13*D13</f>
        <v>9.9429741601896847E-3</v>
      </c>
      <c r="G13" s="24" t="s">
        <v>48</v>
      </c>
    </row>
    <row r="14" spans="1:10" x14ac:dyDescent="0.2">
      <c r="A14" s="32">
        <v>1.3</v>
      </c>
      <c r="B14" s="32">
        <f>A14-A13</f>
        <v>1.1500000000000001</v>
      </c>
      <c r="C14" s="49">
        <f t="shared" ref="C14:C20" si="0">B$5*(-2.1823*(A14/B$6-1)+0.8591*(A14^2/B$6^2-1))^0.5</f>
        <v>26.890146034538166</v>
      </c>
      <c r="D14" s="18">
        <f t="shared" ref="D14:D20" si="1">PI()/4*(C14/100)^2</f>
        <v>5.6790566767166435E-2</v>
      </c>
      <c r="E14" s="33">
        <f t="shared" ref="E14:E19" si="2">(D13+D14)/2*B14</f>
        <v>7.0769310171847843E-2</v>
      </c>
    </row>
    <row r="15" spans="1:10" x14ac:dyDescent="0.2">
      <c r="A15" s="30">
        <v>3.3</v>
      </c>
      <c r="B15" s="32">
        <f>A15-A14</f>
        <v>1.9999999999999998</v>
      </c>
      <c r="C15" s="49">
        <f t="shared" si="0"/>
        <v>23.107522322510984</v>
      </c>
      <c r="D15" s="18">
        <f t="shared" si="1"/>
        <v>4.193693088572803E-2</v>
      </c>
      <c r="E15" s="33">
        <f t="shared" si="2"/>
        <v>9.8727497652894444E-2</v>
      </c>
      <c r="G15" s="7"/>
    </row>
    <row r="16" spans="1:10" x14ac:dyDescent="0.2">
      <c r="A16" s="30">
        <v>5.3</v>
      </c>
      <c r="B16" s="32">
        <f>A16-A15</f>
        <v>2</v>
      </c>
      <c r="C16" s="49">
        <f t="shared" si="0"/>
        <v>19.279284447706456</v>
      </c>
      <c r="D16" s="18">
        <f t="shared" si="1"/>
        <v>2.9192527859546544E-2</v>
      </c>
      <c r="E16" s="34">
        <f t="shared" si="2"/>
        <v>7.1129458745274571E-2</v>
      </c>
      <c r="G16" s="7"/>
    </row>
    <row r="17" spans="1:11" x14ac:dyDescent="0.2">
      <c r="A17" s="30">
        <v>7.3</v>
      </c>
      <c r="B17" s="32">
        <f>A17-A16</f>
        <v>2</v>
      </c>
      <c r="C17" s="49">
        <f t="shared" si="0"/>
        <v>15.371389545174056</v>
      </c>
      <c r="D17" s="18">
        <f t="shared" si="1"/>
        <v>1.8557357688621982E-2</v>
      </c>
      <c r="E17" s="34">
        <f t="shared" si="2"/>
        <v>4.774988554816853E-2</v>
      </c>
      <c r="G17" s="7"/>
    </row>
    <row r="18" spans="1:11" x14ac:dyDescent="0.2">
      <c r="A18" s="30">
        <v>9.3000000000000007</v>
      </c>
      <c r="B18" s="32">
        <f t="shared" ref="B15:B19" si="3">A18-A17</f>
        <v>2.0000000000000009</v>
      </c>
      <c r="C18" s="49">
        <f t="shared" si="0"/>
        <v>11.301504815159529</v>
      </c>
      <c r="D18" s="18">
        <f t="shared" si="1"/>
        <v>1.0031420372954325E-2</v>
      </c>
      <c r="E18" s="34">
        <f t="shared" si="2"/>
        <v>2.8588778061576323E-2</v>
      </c>
      <c r="G18" s="7"/>
    </row>
    <row r="19" spans="1:11" x14ac:dyDescent="0.2">
      <c r="A19" s="32">
        <v>11.3</v>
      </c>
      <c r="B19" s="32">
        <f t="shared" si="3"/>
        <v>2</v>
      </c>
      <c r="C19" s="49">
        <f t="shared" si="0"/>
        <v>6.7840984978359291</v>
      </c>
      <c r="D19" s="18">
        <f t="shared" si="1"/>
        <v>3.6147159125436072E-3</v>
      </c>
      <c r="E19" s="34">
        <f t="shared" si="2"/>
        <v>1.3646136285497932E-2</v>
      </c>
      <c r="G19" s="7"/>
    </row>
    <row r="20" spans="1:11" x14ac:dyDescent="0.2">
      <c r="A20" s="32">
        <v>12.9</v>
      </c>
      <c r="B20" s="35">
        <f>A20-A19</f>
        <v>1.5999999999999996</v>
      </c>
      <c r="C20" s="49">
        <f t="shared" si="0"/>
        <v>0</v>
      </c>
      <c r="D20" s="18">
        <f t="shared" si="1"/>
        <v>0</v>
      </c>
      <c r="E20" s="34">
        <f>1/3*D19*B20</f>
        <v>1.9278484866899234E-3</v>
      </c>
      <c r="G20" s="7"/>
    </row>
    <row r="21" spans="1:11" ht="14.25" customHeight="1" x14ac:dyDescent="0.2">
      <c r="A21" s="9"/>
      <c r="B21" s="9"/>
      <c r="C21" s="9"/>
    </row>
    <row r="22" spans="1:11" ht="14.25" x14ac:dyDescent="0.2">
      <c r="A22" s="9"/>
      <c r="B22" s="9"/>
      <c r="C22" s="9"/>
      <c r="D22" s="5" t="s">
        <v>16</v>
      </c>
      <c r="E22" s="18">
        <f>SUM(E13:E20)</f>
        <v>0.34248188911213928</v>
      </c>
      <c r="F22" s="26" t="s">
        <v>40</v>
      </c>
    </row>
    <row r="24" spans="1:11" ht="15" x14ac:dyDescent="0.25">
      <c r="A24" s="2" t="s">
        <v>41</v>
      </c>
      <c r="B24" s="6"/>
      <c r="C24" s="6"/>
      <c r="D24" s="6"/>
      <c r="E24" s="6"/>
      <c r="F24" s="6"/>
      <c r="G24" s="6"/>
      <c r="H24" s="6"/>
      <c r="I24" s="6"/>
      <c r="J24" s="6"/>
      <c r="K24" s="36"/>
    </row>
    <row r="25" spans="1:11" x14ac:dyDescent="0.2">
      <c r="J25" s="1" t="s">
        <v>39</v>
      </c>
    </row>
    <row r="26" spans="1:11" x14ac:dyDescent="0.2">
      <c r="A26" s="26" t="s">
        <v>53</v>
      </c>
      <c r="D26" s="26" t="s">
        <v>45</v>
      </c>
      <c r="J26" s="24" t="s">
        <v>29</v>
      </c>
    </row>
    <row r="27" spans="1:11" x14ac:dyDescent="0.2">
      <c r="D27" s="9"/>
      <c r="J27" s="24" t="s">
        <v>30</v>
      </c>
    </row>
    <row r="28" spans="1:11" x14ac:dyDescent="0.2">
      <c r="D28" s="9"/>
      <c r="I28" s="7"/>
    </row>
    <row r="29" spans="1:11" x14ac:dyDescent="0.2">
      <c r="A29" s="5" t="s">
        <v>8</v>
      </c>
      <c r="B29" s="44">
        <f>B$8*EXP(-0.7084*(25^4.5317)/(B$5^4.3164))</f>
        <v>9.2330631033767194E-2</v>
      </c>
      <c r="C29" s="26" t="s">
        <v>2</v>
      </c>
      <c r="D29" s="5" t="s">
        <v>8</v>
      </c>
      <c r="E29" s="44">
        <f>G$8*EXP(-0.7084*25^4.5317/G$5^4.3164)</f>
        <v>2.4408674999202677E-2</v>
      </c>
      <c r="I29" s="7"/>
    </row>
    <row r="30" spans="1:11" x14ac:dyDescent="0.2">
      <c r="A30" s="5" t="s">
        <v>9</v>
      </c>
      <c r="B30" s="44">
        <f>B$8*EXP(-0.7084*18^4.5317/B$5^4.3164)</f>
        <v>0.2527612372682983</v>
      </c>
      <c r="C30" s="26" t="s">
        <v>2</v>
      </c>
      <c r="D30" s="5" t="s">
        <v>9</v>
      </c>
      <c r="E30" s="44">
        <f>G$8*EXP(-0.7084*18^4.5317/G$5^4.3164)</f>
        <v>0.13748514533203482</v>
      </c>
      <c r="I30" s="7"/>
    </row>
    <row r="31" spans="1:11" x14ac:dyDescent="0.2">
      <c r="A31" s="46" t="s">
        <v>54</v>
      </c>
      <c r="B31" s="44">
        <f>B$8*EXP(-0.7084*6^4.5317/B$5^4.3164)</f>
        <v>0.3382969721810713</v>
      </c>
      <c r="C31" s="26" t="s">
        <v>2</v>
      </c>
      <c r="D31" s="46" t="s">
        <v>54</v>
      </c>
      <c r="E31" s="44">
        <f>G$8*EXP(-0.7084*6^4.5317/G$5^4.3164)</f>
        <v>0.22674423636455934</v>
      </c>
      <c r="I31" s="7"/>
    </row>
    <row r="32" spans="1:11" x14ac:dyDescent="0.2">
      <c r="A32" s="5"/>
      <c r="B32" s="43"/>
      <c r="E32" s="44"/>
      <c r="I32" s="7"/>
    </row>
    <row r="33" spans="1:15" x14ac:dyDescent="0.2">
      <c r="A33" s="5"/>
      <c r="B33" s="43"/>
      <c r="E33" s="44"/>
      <c r="I33" s="7"/>
    </row>
    <row r="34" spans="1:15" x14ac:dyDescent="0.2">
      <c r="A34" s="5" t="s">
        <v>8</v>
      </c>
      <c r="B34" s="44">
        <f>B29</f>
        <v>9.2330631033767194E-2</v>
      </c>
      <c r="D34" s="5" t="s">
        <v>8</v>
      </c>
      <c r="E34" s="44">
        <f>E29</f>
        <v>2.4408674999202677E-2</v>
      </c>
      <c r="I34" s="7"/>
    </row>
    <row r="35" spans="1:15" x14ac:dyDescent="0.2">
      <c r="A35" s="5" t="s">
        <v>11</v>
      </c>
      <c r="B35" s="44">
        <f>B30-B29</f>
        <v>0.16043060623453109</v>
      </c>
      <c r="D35" s="5" t="s">
        <v>11</v>
      </c>
      <c r="E35" s="44">
        <f>E30-E29</f>
        <v>0.11307647033283214</v>
      </c>
      <c r="I35" s="7"/>
    </row>
    <row r="36" spans="1:15" x14ac:dyDescent="0.2">
      <c r="A36" s="46" t="s">
        <v>55</v>
      </c>
      <c r="B36" s="44">
        <f>B31-B30</f>
        <v>8.5535734912772998E-2</v>
      </c>
      <c r="D36" s="46" t="s">
        <v>55</v>
      </c>
      <c r="E36" s="44">
        <f>E31-E30</f>
        <v>8.9259091032524523E-2</v>
      </c>
      <c r="I36" s="7"/>
    </row>
    <row r="37" spans="1:15" x14ac:dyDescent="0.2">
      <c r="A37" s="46" t="s">
        <v>56</v>
      </c>
      <c r="B37" s="44">
        <f>B8-B31</f>
        <v>6.8418484032395366E-4</v>
      </c>
      <c r="D37" s="46" t="s">
        <v>56</v>
      </c>
      <c r="E37" s="44">
        <f>G8-E31</f>
        <v>7.87690251553258E-4</v>
      </c>
      <c r="I37" s="7"/>
    </row>
    <row r="39" spans="1:15" ht="9" customHeight="1" x14ac:dyDescent="0.2"/>
    <row r="40" spans="1:15" ht="15" hidden="1" x14ac:dyDescent="0.25">
      <c r="A40" s="2" t="s">
        <v>17</v>
      </c>
      <c r="B40" s="2"/>
      <c r="C40" s="2"/>
      <c r="D40" s="2"/>
      <c r="E40" s="2"/>
      <c r="F40" s="2"/>
      <c r="G40" s="2"/>
      <c r="H40" s="2"/>
      <c r="I40" s="2"/>
      <c r="J40" s="2"/>
    </row>
    <row r="41" spans="1:15" hidden="1" x14ac:dyDescent="0.2">
      <c r="D41" s="9"/>
      <c r="E41" s="9"/>
      <c r="F41" s="9"/>
    </row>
    <row r="42" spans="1:15" hidden="1" x14ac:dyDescent="0.2">
      <c r="A42" s="47" t="s">
        <v>12</v>
      </c>
      <c r="B42" s="47" t="s">
        <v>4</v>
      </c>
      <c r="C42" s="47" t="s">
        <v>13</v>
      </c>
      <c r="D42" s="5" t="s">
        <v>14</v>
      </c>
      <c r="E42" s="5" t="s">
        <v>15</v>
      </c>
      <c r="G42" s="25"/>
      <c r="K42" s="16" t="s">
        <v>12</v>
      </c>
      <c r="L42" s="16" t="s">
        <v>4</v>
      </c>
      <c r="M42" s="16" t="s">
        <v>13</v>
      </c>
      <c r="N42" s="16" t="s">
        <v>14</v>
      </c>
      <c r="O42" s="16" t="s">
        <v>15</v>
      </c>
    </row>
    <row r="43" spans="1:15" hidden="1" x14ac:dyDescent="0.2">
      <c r="A43" s="9">
        <v>0.15</v>
      </c>
      <c r="B43" s="9">
        <f>$B$5*(-2.1823*(A43/$B$6-1)+0.8591*(A43^2/$B$6^2-1))^0.5</f>
        <v>29.051434724219042</v>
      </c>
      <c r="C43" s="9">
        <f>A43</f>
        <v>0.15</v>
      </c>
      <c r="D43" s="25">
        <f t="shared" ref="D43:D53" si="4">PI()*(B43/100)^2/4</f>
        <v>6.6286494401264565E-2</v>
      </c>
      <c r="E43" s="25">
        <f>C43*D43</f>
        <v>9.9429741601896847E-3</v>
      </c>
      <c r="G43" s="25"/>
      <c r="K43" s="16">
        <v>0.15</v>
      </c>
      <c r="L43" s="17">
        <v>29.051434724219042</v>
      </c>
      <c r="M43" s="17">
        <v>0.15</v>
      </c>
      <c r="N43" s="18">
        <v>6.6286494401264565E-2</v>
      </c>
      <c r="O43" s="18">
        <v>9.9429741601896847E-3</v>
      </c>
    </row>
    <row r="44" spans="1:15" hidden="1" x14ac:dyDescent="0.2">
      <c r="A44" s="10">
        <v>1.3</v>
      </c>
      <c r="B44" s="50">
        <f t="shared" ref="B44:B53" si="5">$B$5*(-2.1823*(A44/$B$6-1)+0.8591*(A44^2/$B$6^2-1))^0.5</f>
        <v>26.890146034538166</v>
      </c>
      <c r="C44" s="10">
        <f>A44-A43</f>
        <v>1.1500000000000001</v>
      </c>
      <c r="D44" s="27">
        <f t="shared" si="4"/>
        <v>5.6790566767166435E-2</v>
      </c>
      <c r="E44" s="27">
        <f t="shared" ref="E44:E52" si="6">(D43+D44)/2*C44</f>
        <v>7.0769310171847843E-2</v>
      </c>
      <c r="G44" s="25"/>
      <c r="K44" s="16">
        <v>1.3</v>
      </c>
      <c r="L44" s="19">
        <v>26.890146034538166</v>
      </c>
      <c r="M44" s="17">
        <v>1.1500000000000001</v>
      </c>
      <c r="N44" s="18">
        <v>5.6790566767166435E-2</v>
      </c>
      <c r="O44" s="18">
        <v>7.0769310171847843E-2</v>
      </c>
    </row>
    <row r="45" spans="1:15" hidden="1" x14ac:dyDescent="0.2">
      <c r="A45" s="54">
        <v>2.3017071234349333</v>
      </c>
      <c r="B45" s="11">
        <f t="shared" si="5"/>
        <v>25.0000080928634</v>
      </c>
      <c r="C45" s="11">
        <f>A45-A44</f>
        <v>1.0017071234349333</v>
      </c>
      <c r="D45" s="40">
        <f t="shared" si="4"/>
        <v>4.9087416992945922E-2</v>
      </c>
      <c r="E45" s="40">
        <f t="shared" si="6"/>
        <v>5.3029365273716364E-2</v>
      </c>
      <c r="F45" s="4" t="s">
        <v>31</v>
      </c>
      <c r="G45" s="40">
        <f>SUM(E43:E45)</f>
        <v>0.13374164960575391</v>
      </c>
      <c r="K45" s="16">
        <v>3.3</v>
      </c>
      <c r="L45" s="19">
        <v>23.107522322510984</v>
      </c>
      <c r="M45" s="17">
        <v>1.9999999999999998</v>
      </c>
      <c r="N45" s="18">
        <v>4.193693088572803E-2</v>
      </c>
      <c r="O45" s="18">
        <v>9.8727497652894444E-2</v>
      </c>
    </row>
    <row r="46" spans="1:15" hidden="1" x14ac:dyDescent="0.2">
      <c r="A46" s="9">
        <v>3.3</v>
      </c>
      <c r="B46" s="50">
        <f t="shared" si="5"/>
        <v>23.107522322510984</v>
      </c>
      <c r="C46" s="9">
        <f>A46-A45</f>
        <v>0.99829287656506649</v>
      </c>
      <c r="D46" s="25">
        <f t="shared" si="4"/>
        <v>4.193693088572803E-2</v>
      </c>
      <c r="E46" s="25">
        <f t="shared" si="6"/>
        <v>4.543447904063036E-2</v>
      </c>
      <c r="G46" s="25"/>
      <c r="K46" s="16">
        <v>5.3</v>
      </c>
      <c r="L46" s="21">
        <v>19.279284447706456</v>
      </c>
      <c r="M46" s="17">
        <v>2</v>
      </c>
      <c r="N46" s="18">
        <v>2.9192527859546544E-2</v>
      </c>
      <c r="O46" s="18">
        <v>7.1129458745274571E-2</v>
      </c>
    </row>
    <row r="47" spans="1:15" hidden="1" x14ac:dyDescent="0.2">
      <c r="A47" s="9">
        <v>5.3</v>
      </c>
      <c r="B47" s="51">
        <f t="shared" si="5"/>
        <v>19.279284447706456</v>
      </c>
      <c r="C47" s="9">
        <f t="shared" ref="C47:C53" si="7">A47-A46</f>
        <v>2</v>
      </c>
      <c r="D47" s="25">
        <f t="shared" si="4"/>
        <v>2.9192527859546544E-2</v>
      </c>
      <c r="E47" s="25">
        <f t="shared" si="6"/>
        <v>7.1129458745274571E-2</v>
      </c>
      <c r="G47" s="25"/>
      <c r="K47" s="16">
        <v>7.3</v>
      </c>
      <c r="L47" s="21">
        <v>15.371389545174056</v>
      </c>
      <c r="M47" s="17">
        <v>2</v>
      </c>
      <c r="N47" s="18">
        <v>1.8557357688621982E-2</v>
      </c>
      <c r="O47" s="18">
        <v>4.774988554816853E-2</v>
      </c>
    </row>
    <row r="48" spans="1:15" hidden="1" x14ac:dyDescent="0.2">
      <c r="A48" s="54">
        <v>5.9605175383107527</v>
      </c>
      <c r="B48" s="11">
        <f t="shared" si="5"/>
        <v>18.000000264120448</v>
      </c>
      <c r="C48" s="11">
        <f t="shared" si="7"/>
        <v>0.66051753831075288</v>
      </c>
      <c r="D48" s="40">
        <f t="shared" si="4"/>
        <v>2.5446901240860301E-2</v>
      </c>
      <c r="E48" s="40">
        <f t="shared" si="6"/>
        <v>1.8045150602052824E-2</v>
      </c>
      <c r="F48" s="4" t="s">
        <v>32</v>
      </c>
      <c r="G48" s="40">
        <f>SUM(E46:E48)</f>
        <v>0.13460908838795776</v>
      </c>
      <c r="K48" s="16">
        <v>9.3000000000000007</v>
      </c>
      <c r="L48" s="17">
        <v>11.301504815159529</v>
      </c>
      <c r="M48" s="17">
        <v>2.0000000000000009</v>
      </c>
      <c r="N48" s="18">
        <v>1.0031420372954325E-2</v>
      </c>
      <c r="O48" s="18">
        <v>2.8588778061576323E-2</v>
      </c>
    </row>
    <row r="49" spans="1:16" hidden="1" x14ac:dyDescent="0.2">
      <c r="A49" s="9">
        <v>7.3</v>
      </c>
      <c r="B49" s="51">
        <f t="shared" si="5"/>
        <v>15.371389545174056</v>
      </c>
      <c r="C49" s="9">
        <f t="shared" si="7"/>
        <v>1.3394824616892471</v>
      </c>
      <c r="D49" s="25">
        <f t="shared" si="4"/>
        <v>1.8557357688621982E-2</v>
      </c>
      <c r="E49" s="25">
        <f t="shared" si="6"/>
        <v>2.9471466537836985E-2</v>
      </c>
      <c r="G49" s="25"/>
      <c r="K49" s="16">
        <v>11.3</v>
      </c>
      <c r="L49" s="20">
        <v>6.7840984978359291</v>
      </c>
      <c r="M49" s="17">
        <v>2</v>
      </c>
      <c r="N49" s="18">
        <v>3.6147159125436072E-3</v>
      </c>
      <c r="O49" s="18">
        <v>1.3646136285497932E-2</v>
      </c>
    </row>
    <row r="50" spans="1:16" hidden="1" x14ac:dyDescent="0.2">
      <c r="A50" s="9">
        <v>9.3000000000000007</v>
      </c>
      <c r="B50" s="9">
        <f t="shared" si="5"/>
        <v>11.301504815159529</v>
      </c>
      <c r="C50" s="9">
        <f t="shared" si="7"/>
        <v>2.0000000000000009</v>
      </c>
      <c r="D50" s="25">
        <f t="shared" si="4"/>
        <v>1.0031420372954325E-2</v>
      </c>
      <c r="E50" s="25">
        <f t="shared" si="6"/>
        <v>2.8588778061576323E-2</v>
      </c>
      <c r="G50" s="25"/>
      <c r="K50" s="16">
        <v>12.9</v>
      </c>
      <c r="L50" s="22">
        <v>0</v>
      </c>
      <c r="M50" s="17">
        <v>1.5999999999999996</v>
      </c>
      <c r="N50" s="18">
        <v>0</v>
      </c>
      <c r="O50" s="18">
        <v>1.9278484866899234E-3</v>
      </c>
    </row>
    <row r="51" spans="1:16" hidden="1" x14ac:dyDescent="0.2">
      <c r="A51" s="9">
        <v>11.3</v>
      </c>
      <c r="B51" s="52">
        <f t="shared" si="5"/>
        <v>6.7840984978359291</v>
      </c>
      <c r="C51" s="9">
        <f t="shared" si="7"/>
        <v>2</v>
      </c>
      <c r="D51" s="25">
        <f t="shared" si="4"/>
        <v>3.6147159125436072E-3</v>
      </c>
      <c r="E51" s="25">
        <f t="shared" si="6"/>
        <v>1.3646136285497932E-2</v>
      </c>
      <c r="G51" s="25"/>
    </row>
    <row r="52" spans="1:16" hidden="1" x14ac:dyDescent="0.2">
      <c r="A52" s="54">
        <v>11.603005062495516</v>
      </c>
      <c r="B52" s="11">
        <f t="shared" si="5"/>
        <v>5.9990654153697198</v>
      </c>
      <c r="C52" s="11">
        <f t="shared" si="7"/>
        <v>0.30300506249551518</v>
      </c>
      <c r="D52" s="40">
        <f>PI()*(B52/100)^2/4</f>
        <v>2.8265526315686992E-3</v>
      </c>
      <c r="E52" s="40">
        <f t="shared" si="6"/>
        <v>9.7586848887957274E-4</v>
      </c>
      <c r="F52" s="4" t="s">
        <v>62</v>
      </c>
      <c r="G52" s="40">
        <f>SUM(E49:E52)</f>
        <v>7.2682249373790808E-2</v>
      </c>
      <c r="N52" t="s">
        <v>16</v>
      </c>
      <c r="O52" s="25">
        <f>SUM(O43:O50)</f>
        <v>0.34248188911213928</v>
      </c>
      <c r="P52" t="s">
        <v>2</v>
      </c>
    </row>
    <row r="53" spans="1:16" hidden="1" x14ac:dyDescent="0.2">
      <c r="A53" s="12">
        <v>12.9</v>
      </c>
      <c r="B53" s="53">
        <f t="shared" si="5"/>
        <v>0</v>
      </c>
      <c r="C53" s="12">
        <f t="shared" si="7"/>
        <v>1.2969949375044845</v>
      </c>
      <c r="D53" s="41">
        <f t="shared" si="4"/>
        <v>0</v>
      </c>
      <c r="E53" s="41">
        <f>1/3*D52*C53</f>
        <v>1.2220081512448603E-3</v>
      </c>
      <c r="F53" s="13"/>
      <c r="G53" s="41">
        <f>E53</f>
        <v>1.2220081512448603E-3</v>
      </c>
      <c r="K53" s="24" t="s">
        <v>33</v>
      </c>
    </row>
    <row r="54" spans="1:16" hidden="1" x14ac:dyDescent="0.2">
      <c r="A54" s="9"/>
      <c r="B54" s="9"/>
      <c r="C54" s="9"/>
      <c r="K54" s="23" t="s">
        <v>34</v>
      </c>
    </row>
    <row r="55" spans="1:16" hidden="1" x14ac:dyDescent="0.2">
      <c r="A55" s="9"/>
      <c r="B55" s="9"/>
      <c r="C55" s="9"/>
      <c r="D55" s="5" t="s">
        <v>16</v>
      </c>
      <c r="E55" s="25">
        <f>SUM(E43:E53)</f>
        <v>0.34225499551874738</v>
      </c>
      <c r="F55" t="s">
        <v>2</v>
      </c>
      <c r="K55" s="23" t="s">
        <v>35</v>
      </c>
    </row>
    <row r="56" spans="1:16" ht="6" customHeight="1" x14ac:dyDescent="0.2"/>
    <row r="57" spans="1:16" x14ac:dyDescent="0.2">
      <c r="A57" s="2" t="s">
        <v>60</v>
      </c>
      <c r="B57" s="2"/>
      <c r="C57" s="2"/>
      <c r="D57" s="2"/>
      <c r="E57" s="2"/>
      <c r="F57" s="2"/>
      <c r="G57" s="2"/>
      <c r="H57" s="2"/>
      <c r="I57" s="2"/>
      <c r="J57" s="2"/>
    </row>
    <row r="58" spans="1:16" x14ac:dyDescent="0.2">
      <c r="F58" s="55"/>
    </row>
    <row r="59" spans="1:16" x14ac:dyDescent="0.2">
      <c r="A59" t="s">
        <v>18</v>
      </c>
      <c r="D59" s="9"/>
      <c r="E59" s="9"/>
      <c r="F59" s="55"/>
      <c r="G59" t="s">
        <v>19</v>
      </c>
    </row>
    <row r="60" spans="1:16" x14ac:dyDescent="0.2">
      <c r="D60" s="9"/>
      <c r="E60" s="9"/>
      <c r="F60" s="55"/>
    </row>
    <row r="61" spans="1:16" ht="12" customHeight="1" x14ac:dyDescent="0.2">
      <c r="C61" s="8" t="s">
        <v>37</v>
      </c>
      <c r="F61" s="55"/>
    </row>
    <row r="62" spans="1:16" x14ac:dyDescent="0.2">
      <c r="A62" s="3" t="s">
        <v>36</v>
      </c>
      <c r="C62" s="9">
        <f>$B$5*(-2.1823*(2.15/$B$6-1)+0.8591*(2.15^2/$B$6^2-1))^0.5</f>
        <v>25.286785704197364</v>
      </c>
      <c r="D62" s="9" t="s">
        <v>10</v>
      </c>
      <c r="F62" s="55"/>
      <c r="G62" s="3" t="s">
        <v>36</v>
      </c>
      <c r="H62" s="38"/>
      <c r="I62" s="37">
        <f>$G$5*(-2.1823*(2.15/$G$6-1)+0.8591*(2.15^2/$G$6^2-1))^0.5</f>
        <v>21.653500616462999</v>
      </c>
      <c r="J62" s="9" t="s">
        <v>20</v>
      </c>
      <c r="K62" s="55" t="s">
        <v>63</v>
      </c>
    </row>
    <row r="63" spans="1:16" x14ac:dyDescent="0.2">
      <c r="A63" s="3"/>
      <c r="C63" s="9"/>
      <c r="D63" s="3"/>
      <c r="F63" s="55"/>
      <c r="G63" s="9"/>
      <c r="I63" s="9"/>
      <c r="J63" s="9"/>
    </row>
    <row r="64" spans="1:16" ht="12" customHeight="1" x14ac:dyDescent="0.2">
      <c r="B64" s="8" t="s">
        <v>38</v>
      </c>
      <c r="F64" s="55"/>
    </row>
    <row r="65" spans="1:11" x14ac:dyDescent="0.2">
      <c r="A65" s="5" t="s">
        <v>8</v>
      </c>
      <c r="B65" s="27">
        <f>$B$8*EXP(-0.7084*25^4.5317/$B$5^4.3164)</f>
        <v>9.2330631033767194E-2</v>
      </c>
      <c r="D65" s="56" t="s">
        <v>64</v>
      </c>
      <c r="E65" s="28">
        <f>B65</f>
        <v>9.2330631033767194E-2</v>
      </c>
      <c r="F65" s="55"/>
      <c r="G65" s="5" t="s">
        <v>8</v>
      </c>
      <c r="H65" s="25">
        <f>E29</f>
        <v>2.4408674999202677E-2</v>
      </c>
      <c r="I65" s="7"/>
      <c r="J65" s="15" t="s">
        <v>21</v>
      </c>
      <c r="K65" s="28">
        <v>0</v>
      </c>
    </row>
    <row r="66" spans="1:11" x14ac:dyDescent="0.2">
      <c r="A66" s="5" t="s">
        <v>11</v>
      </c>
      <c r="B66" s="27">
        <f>B30-B29</f>
        <v>0.16043060623453109</v>
      </c>
      <c r="D66" s="56" t="s">
        <v>22</v>
      </c>
      <c r="E66" s="28">
        <f>B66</f>
        <v>0.16043060623453109</v>
      </c>
      <c r="F66" s="55"/>
      <c r="G66" s="5" t="s">
        <v>11</v>
      </c>
      <c r="H66" s="25">
        <f>E30-E29</f>
        <v>0.11307647033283214</v>
      </c>
      <c r="I66" s="7"/>
      <c r="J66" s="15" t="s">
        <v>22</v>
      </c>
      <c r="K66" s="28">
        <f>H66+H65</f>
        <v>0.13748514533203482</v>
      </c>
    </row>
    <row r="67" spans="1:11" x14ac:dyDescent="0.2">
      <c r="A67" s="5" t="s">
        <v>55</v>
      </c>
      <c r="B67" s="27">
        <f>B31-B30</f>
        <v>8.5535734912772998E-2</v>
      </c>
      <c r="D67" s="56" t="s">
        <v>23</v>
      </c>
      <c r="E67" s="28">
        <f>B67</f>
        <v>8.5535734912772998E-2</v>
      </c>
      <c r="F67" s="55"/>
      <c r="G67" s="5" t="s">
        <v>55</v>
      </c>
      <c r="H67" s="25">
        <f>E31-E30</f>
        <v>8.9259091032524523E-2</v>
      </c>
      <c r="I67" s="7"/>
      <c r="J67" s="15" t="s">
        <v>23</v>
      </c>
      <c r="K67" s="28">
        <f>H67</f>
        <v>8.9259091032524523E-2</v>
      </c>
    </row>
    <row r="68" spans="1:11" x14ac:dyDescent="0.2">
      <c r="A68" s="5" t="s">
        <v>56</v>
      </c>
      <c r="B68" s="27">
        <f>B8-B31</f>
        <v>6.8418484032395366E-4</v>
      </c>
      <c r="D68" s="56" t="s">
        <v>0</v>
      </c>
      <c r="E68" s="28">
        <f>B68</f>
        <v>6.8418484032395366E-4</v>
      </c>
      <c r="F68" s="55"/>
      <c r="G68" s="5" t="s">
        <v>56</v>
      </c>
      <c r="H68" s="25">
        <f>G8-E31</f>
        <v>7.87690251553258E-4</v>
      </c>
      <c r="I68" s="7"/>
      <c r="J68" s="15" t="s">
        <v>0</v>
      </c>
      <c r="K68" s="28">
        <f>H68</f>
        <v>7.87690251553258E-4</v>
      </c>
    </row>
    <row r="69" spans="1:11" x14ac:dyDescent="0.2">
      <c r="D69" s="14" t="s">
        <v>27</v>
      </c>
      <c r="E69" s="29">
        <f>SUM(E65:E68)</f>
        <v>0.33898115702139525</v>
      </c>
      <c r="F69" s="55"/>
      <c r="J69" s="14" t="s">
        <v>27</v>
      </c>
      <c r="K69" s="29">
        <f>SUM(K65:K68)</f>
        <v>0.2275319266161126</v>
      </c>
    </row>
    <row r="70" spans="1:11" x14ac:dyDescent="0.2">
      <c r="F70" s="55"/>
    </row>
    <row r="71" spans="1:11" x14ac:dyDescent="0.2">
      <c r="A71" s="2" t="s">
        <v>61</v>
      </c>
      <c r="B71" s="2"/>
      <c r="C71" s="2"/>
      <c r="D71" s="2"/>
      <c r="E71" s="2"/>
      <c r="F71" s="2"/>
      <c r="G71" s="2"/>
      <c r="H71" s="2"/>
      <c r="I71" s="2"/>
      <c r="J71" s="2"/>
    </row>
    <row r="73" spans="1:11" x14ac:dyDescent="0.2">
      <c r="A73" t="s">
        <v>18</v>
      </c>
      <c r="D73" s="9"/>
      <c r="E73" s="9"/>
      <c r="H73" t="s">
        <v>19</v>
      </c>
    </row>
    <row r="74" spans="1:11" x14ac:dyDescent="0.2">
      <c r="D74" s="9"/>
      <c r="E74" s="9"/>
    </row>
    <row r="75" spans="1:11" x14ac:dyDescent="0.2">
      <c r="C75" s="8" t="s">
        <v>37</v>
      </c>
    </row>
    <row r="76" spans="1:11" x14ac:dyDescent="0.2">
      <c r="B76" s="3" t="s">
        <v>36</v>
      </c>
      <c r="C76" s="9">
        <f>$B$5*(-2.1823*(2.15/$B$6-1)+0.8591*(2.15^2/$B$6^2-1))^0.5</f>
        <v>25.286785704197364</v>
      </c>
      <c r="D76" s="9" t="s">
        <v>10</v>
      </c>
      <c r="H76" s="3" t="s">
        <v>36</v>
      </c>
      <c r="I76" s="9">
        <f>$G$5*(-2.1823*(2.15/$G$6-1)+0.8591*(2.15^2/$G$6^2-1))^0.5</f>
        <v>21.653500616462999</v>
      </c>
      <c r="J76" s="9" t="s">
        <v>20</v>
      </c>
      <c r="K76" t="s">
        <v>24</v>
      </c>
    </row>
    <row r="77" spans="1:11" x14ac:dyDescent="0.2">
      <c r="B77" s="39" t="s">
        <v>42</v>
      </c>
      <c r="C77" s="9">
        <f>$B$5*(-2.1823*(4.15/$B$6-1)+0.8591*(4.15^2/$B$6^2-1))^0.5</f>
        <v>21.487503106878613</v>
      </c>
      <c r="D77" s="26" t="s">
        <v>43</v>
      </c>
    </row>
    <row r="78" spans="1:11" x14ac:dyDescent="0.2">
      <c r="B78" s="39"/>
      <c r="C78" s="9"/>
      <c r="D78" s="26"/>
    </row>
    <row r="79" spans="1:11" x14ac:dyDescent="0.2">
      <c r="B79" s="8" t="s">
        <v>38</v>
      </c>
    </row>
    <row r="80" spans="1:11" x14ac:dyDescent="0.2">
      <c r="A80" s="5" t="s">
        <v>25</v>
      </c>
      <c r="B80" s="25">
        <f>$B$8*EXP(-0.7084*25.29^4.5317/$B$5^4.3164)</f>
        <v>8.6107267591713749E-2</v>
      </c>
      <c r="D80" s="15" t="s">
        <v>64</v>
      </c>
      <c r="E80" s="28">
        <f>B80</f>
        <v>8.6107267591713749E-2</v>
      </c>
      <c r="G80" s="5" t="s">
        <v>8</v>
      </c>
      <c r="H80" s="25">
        <f>E29</f>
        <v>2.4408674999202677E-2</v>
      </c>
      <c r="J80" s="15" t="s">
        <v>21</v>
      </c>
      <c r="K80" s="28">
        <v>0</v>
      </c>
    </row>
    <row r="81" spans="1:11" x14ac:dyDescent="0.2">
      <c r="A81" s="5" t="s">
        <v>26</v>
      </c>
      <c r="B81" s="25">
        <f>B30-B80</f>
        <v>0.16665396967658455</v>
      </c>
      <c r="D81" s="15" t="s">
        <v>22</v>
      </c>
      <c r="E81" s="28">
        <f>B81</f>
        <v>0.16665396967658455</v>
      </c>
      <c r="G81" s="5" t="s">
        <v>11</v>
      </c>
      <c r="H81">
        <f>E30-E29</f>
        <v>0.11307647033283214</v>
      </c>
      <c r="J81" s="15" t="s">
        <v>22</v>
      </c>
      <c r="K81" s="28">
        <f>H81+H80</f>
        <v>0.13748514533203482</v>
      </c>
    </row>
    <row r="82" spans="1:11" x14ac:dyDescent="0.2">
      <c r="A82" s="5" t="s">
        <v>55</v>
      </c>
      <c r="B82" s="25">
        <f>B31-B30</f>
        <v>8.5535734912772998E-2</v>
      </c>
      <c r="D82" s="15" t="s">
        <v>23</v>
      </c>
      <c r="E82" s="28">
        <f>B82</f>
        <v>8.5535734912772998E-2</v>
      </c>
      <c r="G82" s="5" t="s">
        <v>55</v>
      </c>
      <c r="H82">
        <f>E31-E30</f>
        <v>8.9259091032524523E-2</v>
      </c>
      <c r="J82" s="15" t="s">
        <v>23</v>
      </c>
      <c r="K82" s="28">
        <f>H82</f>
        <v>8.9259091032524523E-2</v>
      </c>
    </row>
    <row r="83" spans="1:11" x14ac:dyDescent="0.2">
      <c r="A83" s="5" t="s">
        <v>56</v>
      </c>
      <c r="B83" s="25">
        <f>B8-B31</f>
        <v>6.8418484032395366E-4</v>
      </c>
      <c r="D83" s="15" t="s">
        <v>0</v>
      </c>
      <c r="E83" s="28">
        <f>B83</f>
        <v>6.8418484032395366E-4</v>
      </c>
      <c r="G83" s="5" t="s">
        <v>56</v>
      </c>
      <c r="H83" s="25">
        <f>G8-E31</f>
        <v>7.87690251553258E-4</v>
      </c>
      <c r="J83" s="15" t="s">
        <v>0</v>
      </c>
      <c r="K83" s="28">
        <f>H83</f>
        <v>7.87690251553258E-4</v>
      </c>
    </row>
    <row r="84" spans="1:11" x14ac:dyDescent="0.2">
      <c r="D84" s="14" t="s">
        <v>27</v>
      </c>
      <c r="E84" s="29">
        <f>SUM(E80:E83)</f>
        <v>0.33898115702139525</v>
      </c>
      <c r="J84" s="14" t="s">
        <v>27</v>
      </c>
      <c r="K84" s="29">
        <f>SUM(K80:K83)</f>
        <v>0.2275319266161126</v>
      </c>
    </row>
  </sheetData>
  <phoneticPr fontId="0" type="noConversion"/>
  <pageMargins left="0.75" right="0.75" top="1" bottom="1" header="0.5" footer="0.5"/>
  <pageSetup paperSize="9" orientation="portrait" horizontalDpi="4294967294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3"/>
  <sheetViews>
    <sheetView topLeftCell="A9" zoomScale="130" zoomScaleNormal="130" workbookViewId="0">
      <selection activeCell="E24" sqref="E24"/>
    </sheetView>
  </sheetViews>
  <sheetFormatPr defaultRowHeight="12.75" x14ac:dyDescent="0.2"/>
  <cols>
    <col min="1" max="1" width="13.140625" style="16" bestFit="1" customWidth="1"/>
    <col min="2" max="2" width="13.28515625" style="16" customWidth="1"/>
    <col min="3" max="3" width="9.140625" style="16"/>
    <col min="4" max="4" width="17.5703125" style="16" customWidth="1"/>
    <col min="5" max="5" width="9.140625" style="17"/>
  </cols>
  <sheetData>
    <row r="2" spans="1:5" x14ac:dyDescent="0.2">
      <c r="A2" s="45" t="s">
        <v>70</v>
      </c>
      <c r="B2" s="45" t="s">
        <v>69</v>
      </c>
      <c r="C2" s="45" t="s">
        <v>67</v>
      </c>
      <c r="D2" s="45" t="s">
        <v>66</v>
      </c>
      <c r="E2" s="57" t="s">
        <v>68</v>
      </c>
    </row>
    <row r="3" spans="1:5" x14ac:dyDescent="0.2">
      <c r="A3" s="30">
        <f>B3</f>
        <v>0.03</v>
      </c>
      <c r="B3" s="30">
        <v>0.03</v>
      </c>
      <c r="C3" s="17">
        <v>33</v>
      </c>
      <c r="D3" s="17">
        <v>26.5</v>
      </c>
      <c r="E3" s="17">
        <f>(C3+D3)/2</f>
        <v>29.75</v>
      </c>
    </row>
    <row r="4" spans="1:5" x14ac:dyDescent="0.2">
      <c r="A4" s="30">
        <f>B3+B4</f>
        <v>1.3</v>
      </c>
      <c r="B4" s="30">
        <v>1.27</v>
      </c>
      <c r="C4" s="17">
        <v>21.7</v>
      </c>
      <c r="D4" s="17">
        <v>21.6</v>
      </c>
      <c r="E4" s="17">
        <f t="shared" ref="E4:E11" si="0">(C4+D4)/2</f>
        <v>21.65</v>
      </c>
    </row>
    <row r="5" spans="1:5" x14ac:dyDescent="0.2">
      <c r="A5" s="30">
        <f>A4+B5</f>
        <v>3.5</v>
      </c>
      <c r="B5" s="30">
        <v>2.2000000000000002</v>
      </c>
      <c r="C5" s="17">
        <v>18.7</v>
      </c>
      <c r="D5" s="17">
        <v>18.5</v>
      </c>
      <c r="E5" s="17">
        <f t="shared" si="0"/>
        <v>18.600000000000001</v>
      </c>
    </row>
    <row r="6" spans="1:5" x14ac:dyDescent="0.2">
      <c r="A6" s="30">
        <f t="shared" ref="A6:A12" si="1">A5+B6</f>
        <v>5.7</v>
      </c>
      <c r="B6" s="30">
        <v>2.2000000000000002</v>
      </c>
      <c r="C6" s="17">
        <v>16.5</v>
      </c>
      <c r="D6" s="17">
        <v>17.3</v>
      </c>
      <c r="E6" s="17">
        <f t="shared" si="0"/>
        <v>16.899999999999999</v>
      </c>
    </row>
    <row r="7" spans="1:5" x14ac:dyDescent="0.2">
      <c r="A7" s="30">
        <f t="shared" si="1"/>
        <v>7.9</v>
      </c>
      <c r="B7" s="30">
        <v>2.2000000000000002</v>
      </c>
      <c r="C7" s="17">
        <v>16.2</v>
      </c>
      <c r="D7" s="17">
        <v>16.600000000000001</v>
      </c>
      <c r="E7" s="17">
        <f t="shared" si="0"/>
        <v>16.399999999999999</v>
      </c>
    </row>
    <row r="8" spans="1:5" x14ac:dyDescent="0.2">
      <c r="A8" s="30">
        <f t="shared" si="1"/>
        <v>10.100000000000001</v>
      </c>
      <c r="B8" s="30">
        <v>2.2000000000000002</v>
      </c>
      <c r="C8" s="17">
        <v>14.5</v>
      </c>
      <c r="D8" s="17">
        <v>14.5</v>
      </c>
      <c r="E8" s="17">
        <f t="shared" si="0"/>
        <v>14.5</v>
      </c>
    </row>
    <row r="9" spans="1:5" x14ac:dyDescent="0.2">
      <c r="A9" s="30">
        <f t="shared" si="1"/>
        <v>12.3</v>
      </c>
      <c r="B9" s="30">
        <v>2.2000000000000002</v>
      </c>
      <c r="C9" s="17">
        <v>11</v>
      </c>
      <c r="D9" s="17">
        <v>11</v>
      </c>
      <c r="E9" s="17">
        <f t="shared" si="0"/>
        <v>11</v>
      </c>
    </row>
    <row r="10" spans="1:5" x14ac:dyDescent="0.2">
      <c r="A10" s="30">
        <f t="shared" si="1"/>
        <v>14.5</v>
      </c>
      <c r="B10" s="30">
        <v>2.2000000000000002</v>
      </c>
      <c r="C10" s="17">
        <v>6.8</v>
      </c>
      <c r="D10" s="17">
        <v>7</v>
      </c>
      <c r="E10" s="17">
        <f t="shared" si="0"/>
        <v>6.9</v>
      </c>
    </row>
    <row r="11" spans="1:5" x14ac:dyDescent="0.2">
      <c r="A11" s="30">
        <f t="shared" si="1"/>
        <v>16.7</v>
      </c>
      <c r="B11" s="30">
        <v>2.2000000000000002</v>
      </c>
      <c r="C11" s="17">
        <v>2.7</v>
      </c>
      <c r="D11" s="17">
        <v>2.7</v>
      </c>
      <c r="E11" s="17">
        <f t="shared" si="0"/>
        <v>2.7</v>
      </c>
    </row>
    <row r="12" spans="1:5" x14ac:dyDescent="0.2">
      <c r="A12" s="30">
        <f t="shared" si="1"/>
        <v>16.95</v>
      </c>
      <c r="B12" s="30">
        <v>0.25</v>
      </c>
    </row>
    <row r="14" spans="1:5" x14ac:dyDescent="0.2">
      <c r="A14" s="16" t="s">
        <v>65</v>
      </c>
      <c r="B14" s="16">
        <f>SUM(B3:B12)</f>
        <v>16.95</v>
      </c>
    </row>
    <row r="16" spans="1:5" x14ac:dyDescent="0.2">
      <c r="D16" s="26" t="s">
        <v>74</v>
      </c>
    </row>
    <row r="17" spans="1:5" x14ac:dyDescent="0.2">
      <c r="A17" s="45" t="s">
        <v>71</v>
      </c>
      <c r="B17" s="58">
        <f>0.00005126*E4^2.0507*B14^0.8428</f>
        <v>0.30503266149420372</v>
      </c>
      <c r="D17">
        <f>B19/100*B17</f>
        <v>0.10315960585604772</v>
      </c>
    </row>
    <row r="18" spans="1:5" x14ac:dyDescent="0.2">
      <c r="A18" s="45" t="s">
        <v>72</v>
      </c>
      <c r="B18" s="58">
        <f>D18</f>
        <v>0.201873055638156</v>
      </c>
      <c r="C18" s="59"/>
      <c r="D18" s="25">
        <f>B17-D17</f>
        <v>0.201873055638156</v>
      </c>
    </row>
    <row r="19" spans="1:5" x14ac:dyDescent="0.2">
      <c r="A19" s="45" t="s">
        <v>73</v>
      </c>
      <c r="B19" s="16">
        <f>48.762+0.052*E4-0.948*B14</f>
        <v>33.819199999999995</v>
      </c>
      <c r="D19"/>
    </row>
    <row r="20" spans="1:5" x14ac:dyDescent="0.2">
      <c r="A20" s="45"/>
    </row>
    <row r="22" spans="1:5" x14ac:dyDescent="0.2">
      <c r="A22" s="45" t="s">
        <v>75</v>
      </c>
      <c r="B22" s="17">
        <f>E4*((B14-2.03)/(B14-1.3))^0.76117</f>
        <v>20.876949187545602</v>
      </c>
      <c r="C22" s="39" t="s">
        <v>76</v>
      </c>
      <c r="D22" s="45"/>
    </row>
    <row r="24" spans="1:5" x14ac:dyDescent="0.2">
      <c r="B24" s="45" t="s">
        <v>38</v>
      </c>
    </row>
    <row r="25" spans="1:5" x14ac:dyDescent="0.2">
      <c r="A25" s="45" t="s">
        <v>77</v>
      </c>
      <c r="B25" s="16">
        <f>EXP(-0.7084*((22^4.5317)/($E$4^4.3164)))*$B$17</f>
        <v>6.9649239694808393E-2</v>
      </c>
    </row>
    <row r="26" spans="1:5" x14ac:dyDescent="0.2">
      <c r="A26" s="45" t="s">
        <v>78</v>
      </c>
      <c r="B26" s="16">
        <f>EXP(-0.7084*((14^4.5317)/($E$4^4.3164)))*$B$17</f>
        <v>0.2521321321445118</v>
      </c>
    </row>
    <row r="27" spans="1:5" x14ac:dyDescent="0.2">
      <c r="A27" s="45" t="s">
        <v>79</v>
      </c>
      <c r="B27" s="16">
        <f>EXP(-0.7084*((6^4.5317)/($E$4^4.3164)))*$B$17</f>
        <v>0.30378610054856353</v>
      </c>
    </row>
    <row r="29" spans="1:5" x14ac:dyDescent="0.2">
      <c r="A29" s="46" t="s">
        <v>80</v>
      </c>
      <c r="B29" s="27">
        <f>B25</f>
        <v>6.9649239694808393E-2</v>
      </c>
      <c r="D29" s="61" t="s">
        <v>64</v>
      </c>
      <c r="E29" s="62">
        <v>0</v>
      </c>
    </row>
    <row r="30" spans="1:5" x14ac:dyDescent="0.2">
      <c r="A30" s="46" t="s">
        <v>81</v>
      </c>
      <c r="B30" s="27">
        <f>B26-B25</f>
        <v>0.18248289244970339</v>
      </c>
      <c r="D30" s="61" t="s">
        <v>22</v>
      </c>
      <c r="E30" s="62">
        <f>B30+B29</f>
        <v>0.2521321321445118</v>
      </c>
    </row>
    <row r="31" spans="1:5" x14ac:dyDescent="0.2">
      <c r="A31" s="46" t="s">
        <v>82</v>
      </c>
      <c r="B31" s="27">
        <f>B27-B26</f>
        <v>5.1653968404051731E-2</v>
      </c>
      <c r="D31" s="61" t="s">
        <v>23</v>
      </c>
      <c r="E31" s="62">
        <f>B31</f>
        <v>5.1653968404051731E-2</v>
      </c>
    </row>
    <row r="32" spans="1:5" x14ac:dyDescent="0.2">
      <c r="A32" s="5" t="s">
        <v>56</v>
      </c>
      <c r="B32" s="27">
        <f>B17-B27</f>
        <v>1.2465609456401849E-3</v>
      </c>
      <c r="D32" s="61" t="s">
        <v>0</v>
      </c>
      <c r="E32" s="62">
        <f>B32</f>
        <v>1.2465609456401849E-3</v>
      </c>
    </row>
    <row r="33" spans="1:5" x14ac:dyDescent="0.2">
      <c r="A33" s="7"/>
      <c r="B33" s="60"/>
      <c r="D33" s="63" t="s">
        <v>27</v>
      </c>
      <c r="E33" s="62">
        <f>SUM(E29:E32)</f>
        <v>0.30503266149420372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3.2.5-pag27</vt:lpstr>
      <vt:lpstr>teste 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</dc:creator>
  <cp:lastModifiedBy>paula Soares</cp:lastModifiedBy>
  <cp:lastPrinted>2008-03-11T20:47:15Z</cp:lastPrinted>
  <dcterms:created xsi:type="dcterms:W3CDTF">2002-03-09T22:27:34Z</dcterms:created>
  <dcterms:modified xsi:type="dcterms:W3CDTF">2021-02-18T12:01:08Z</dcterms:modified>
</cp:coreProperties>
</file>