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xml"/>
  <Override PartName="/xl/charts/chart16.xml" ContentType="application/vnd.openxmlformats-officedocument.drawingml.chart+xml"/>
  <Override PartName="/xl/drawings/drawing4.xml" ContentType="application/vnd.openxmlformats-officedocument.drawing+xml"/>
  <Override PartName="/xl/embeddings/oleObject1.bin" ContentType="application/vnd.openxmlformats-officedocument.oleObject"/>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charts/chart18.xml" ContentType="application/vnd.openxmlformats-officedocument.drawingml.chart+xml"/>
  <Override PartName="/xl/charts/style2.xml" ContentType="application/vnd.ms-office.chartstyle+xml"/>
  <Override PartName="/xl/charts/colors2.xml" ContentType="application/vnd.ms-office.chartcolorstyle+xml"/>
  <Override PartName="/xl/charts/chart19.xml" ContentType="application/vnd.openxmlformats-officedocument.drawingml.chart+xml"/>
  <Override PartName="/xl/charts/style3.xml" ContentType="application/vnd.ms-office.chartstyle+xml"/>
  <Override PartName="/xl/charts/colors3.xml" ContentType="application/vnd.ms-office.chartcolorstyle+xml"/>
  <Override PartName="/xl/charts/chart2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G_Backup\Susana\Aulas\2020-2021_IOA\MonteCarlo\"/>
    </mc:Choice>
  </mc:AlternateContent>
  <bookViews>
    <workbookView xWindow="0" yWindow="0" windowWidth="15600" windowHeight="7596" activeTab="6"/>
  </bookViews>
  <sheets>
    <sheet name="Ex_1_class" sheetId="2" r:id="rId1"/>
    <sheet name="Ex_2_class" sheetId="3" r:id="rId2"/>
    <sheet name="Ex_3_class" sheetId="8" r:id="rId3"/>
    <sheet name="Ex_4_class" sheetId="9" r:id="rId4"/>
    <sheet name="Ex_5_class" sheetId="11" r:id="rId5"/>
    <sheet name="Ex_6_class" sheetId="12" r:id="rId6"/>
    <sheet name="Ex_7_class" sheetId="10" r:id="rId7"/>
  </sheets>
  <externalReferences>
    <externalReference r:id="rId8"/>
    <externalReference r:id="rId9"/>
  </externalReferences>
  <definedNames>
    <definedName name="_xlnm._FilterDatabase" localSheetId="3" hidden="1">Ex_4_class!$A$8:$G$356</definedName>
    <definedName name="Fw" localSheetId="4">Ex_5_class!#REF!</definedName>
    <definedName name="Fw" localSheetId="5">[1]Sheet4!#REF!</definedName>
    <definedName name="Fw">[1]Sheet4!#REF!</definedName>
    <definedName name="Iqe" localSheetId="4">Ex_5_class!#REF!</definedName>
    <definedName name="Iqe" localSheetId="5">[1]Sheet4!#REF!</definedName>
    <definedName name="Iqe">[1]Sheet4!#REF!</definedName>
    <definedName name="iqea">[1]Sheet4!#REF!</definedName>
    <definedName name="p_desb" localSheetId="4">[1]Sheet4!#REF!</definedName>
    <definedName name="p_desb" localSheetId="5">[1]Sheet4!#REF!</definedName>
    <definedName name="p_desb">[1]Sheet4!#REF!</definedName>
    <definedName name="pdesb" localSheetId="4">Ex_5_class!#REF!</definedName>
    <definedName name="pdesb" localSheetId="5">[1]Sheet4!#REF!</definedName>
    <definedName name="pdesb">[1]Sheet4!#REF!</definedName>
    <definedName name="pdesba">[1]Sheet4!#REF!</definedName>
    <definedName name="t.1" localSheetId="4">Ex_5_class!#REF!</definedName>
    <definedName name="t.1" localSheetId="5">[1]Sheet4!#REF!</definedName>
    <definedName name="t.1">[1]Sheet4!#REF!</definedName>
  </definedNames>
  <calcPr calcId="162913"/>
  <pivotCaches>
    <pivotCache cacheId="10" r:id="rId10"/>
  </pivotCaches>
</workbook>
</file>

<file path=xl/calcChain.xml><?xml version="1.0" encoding="utf-8"?>
<calcChain xmlns="http://schemas.openxmlformats.org/spreadsheetml/2006/main">
  <c r="L163" i="10" l="1"/>
  <c r="L179" i="10"/>
  <c r="L59" i="10"/>
  <c r="K284" i="10"/>
  <c r="L284" i="10" s="1"/>
  <c r="K90" i="10"/>
  <c r="L90" i="10" s="1"/>
  <c r="K68" i="10"/>
  <c r="L68" i="10" s="1"/>
  <c r="K285" i="10"/>
  <c r="L285" i="10" s="1"/>
  <c r="K123" i="10"/>
  <c r="L123" i="10" s="1"/>
  <c r="K280" i="10"/>
  <c r="L280" i="10" s="1"/>
  <c r="K238" i="10"/>
  <c r="L238" i="10" s="1"/>
  <c r="K208" i="10"/>
  <c r="L208" i="10" s="1"/>
  <c r="K270" i="10"/>
  <c r="L270" i="10" s="1"/>
  <c r="K182" i="10"/>
  <c r="L182" i="10" s="1"/>
  <c r="K136" i="10"/>
  <c r="L136" i="10" s="1"/>
  <c r="K81" i="10"/>
  <c r="L81" i="10" s="1"/>
  <c r="K74" i="10"/>
  <c r="L74" i="10" s="1"/>
  <c r="K286" i="10"/>
  <c r="L286" i="10" s="1"/>
  <c r="K159" i="10"/>
  <c r="L159" i="10" s="1"/>
  <c r="K176" i="10"/>
  <c r="L176" i="10" s="1"/>
  <c r="K194" i="10"/>
  <c r="L194" i="10" s="1"/>
  <c r="K239" i="10"/>
  <c r="L239" i="10" s="1"/>
  <c r="K99" i="10"/>
  <c r="L99" i="10" s="1"/>
  <c r="K125" i="10"/>
  <c r="L125" i="10" s="1"/>
  <c r="K200" i="10"/>
  <c r="L200" i="10" s="1"/>
  <c r="K75" i="10"/>
  <c r="L75" i="10" s="1"/>
  <c r="K85" i="10"/>
  <c r="L85" i="10" s="1"/>
  <c r="K186" i="10"/>
  <c r="L186" i="10" s="1"/>
  <c r="K203" i="10"/>
  <c r="L203" i="10" s="1"/>
  <c r="K220" i="10"/>
  <c r="L220" i="10" s="1"/>
  <c r="K275" i="10"/>
  <c r="L275" i="10" s="1"/>
  <c r="K119" i="10"/>
  <c r="L119" i="10" s="1"/>
  <c r="K160" i="10"/>
  <c r="L160" i="10" s="1"/>
  <c r="K143" i="10"/>
  <c r="L143" i="10" s="1"/>
  <c r="K258" i="10"/>
  <c r="L258" i="10" s="1"/>
  <c r="K191" i="10"/>
  <c r="L191" i="10" s="1"/>
  <c r="K155" i="10"/>
  <c r="L155" i="10" s="1"/>
  <c r="K174" i="10"/>
  <c r="L174" i="10" s="1"/>
  <c r="K274" i="10"/>
  <c r="L274" i="10" s="1"/>
  <c r="K259" i="10"/>
  <c r="L259" i="10" s="1"/>
  <c r="K254" i="10"/>
  <c r="L254" i="10" s="1"/>
  <c r="K162" i="10"/>
  <c r="L162" i="10" s="1"/>
  <c r="K279" i="10"/>
  <c r="L279" i="10" s="1"/>
  <c r="K197" i="10"/>
  <c r="L197" i="10" s="1"/>
  <c r="K104" i="10"/>
  <c r="L104" i="10" s="1"/>
  <c r="K93" i="10"/>
  <c r="L93" i="10" s="1"/>
  <c r="K245" i="10"/>
  <c r="L245" i="10" s="1"/>
  <c r="K246" i="10"/>
  <c r="L246" i="10" s="1"/>
  <c r="K178" i="10"/>
  <c r="L178" i="10" s="1"/>
  <c r="K287" i="10"/>
  <c r="L287" i="10" s="1"/>
  <c r="K94" i="10"/>
  <c r="L94" i="10" s="1"/>
  <c r="K288" i="10"/>
  <c r="L288" i="10" s="1"/>
  <c r="K289" i="10"/>
  <c r="L289" i="10" s="1"/>
  <c r="K222" i="10"/>
  <c r="L222" i="10" s="1"/>
  <c r="K228" i="10"/>
  <c r="L228" i="10" s="1"/>
  <c r="K248" i="10"/>
  <c r="L248" i="10" s="1"/>
  <c r="K268" i="10"/>
  <c r="L268" i="10" s="1"/>
  <c r="K188" i="10"/>
  <c r="L188" i="10" s="1"/>
  <c r="K290" i="10"/>
  <c r="L290" i="10" s="1"/>
  <c r="K115" i="10"/>
  <c r="L115" i="10" s="1"/>
  <c r="K175" i="10"/>
  <c r="L175" i="10" s="1"/>
  <c r="K291" i="10"/>
  <c r="L291" i="10" s="1"/>
  <c r="K195" i="10"/>
  <c r="L195" i="10" s="1"/>
  <c r="K256" i="10"/>
  <c r="L256" i="10" s="1"/>
  <c r="K133" i="10"/>
  <c r="L133" i="10" s="1"/>
  <c r="K232" i="10"/>
  <c r="L232" i="10" s="1"/>
  <c r="K219" i="10"/>
  <c r="L219" i="10" s="1"/>
  <c r="K211" i="10"/>
  <c r="L211" i="10" s="1"/>
  <c r="K283" i="10"/>
  <c r="L283" i="10" s="1"/>
  <c r="K157" i="10"/>
  <c r="L157" i="10" s="1"/>
  <c r="K247" i="10"/>
  <c r="L247" i="10" s="1"/>
  <c r="K209" i="10"/>
  <c r="L209" i="10" s="1"/>
  <c r="K224" i="10"/>
  <c r="L224" i="10" s="1"/>
  <c r="K218" i="10"/>
  <c r="L218" i="10" s="1"/>
  <c r="K112" i="10"/>
  <c r="L112" i="10" s="1"/>
  <c r="K88" i="10"/>
  <c r="L88" i="10" s="1"/>
  <c r="K272" i="10"/>
  <c r="L272" i="10" s="1"/>
  <c r="K118" i="10"/>
  <c r="L118" i="10" s="1"/>
  <c r="K130" i="10"/>
  <c r="L130" i="10" s="1"/>
  <c r="K105" i="10"/>
  <c r="L105" i="10" s="1"/>
  <c r="K163" i="10"/>
  <c r="K210" i="10"/>
  <c r="L210" i="10" s="1"/>
  <c r="K113" i="10"/>
  <c r="L113" i="10" s="1"/>
  <c r="K132" i="10"/>
  <c r="L132" i="10" s="1"/>
  <c r="K266" i="10"/>
  <c r="L266" i="10" s="1"/>
  <c r="K134" i="10"/>
  <c r="L134" i="10" s="1"/>
  <c r="K292" i="10"/>
  <c r="L292" i="10" s="1"/>
  <c r="K229" i="10"/>
  <c r="L229" i="10" s="1"/>
  <c r="K165" i="10"/>
  <c r="L165" i="10" s="1"/>
  <c r="K236" i="10"/>
  <c r="L236" i="10" s="1"/>
  <c r="K221" i="10"/>
  <c r="L221" i="10" s="1"/>
  <c r="K282" i="10"/>
  <c r="L282" i="10" s="1"/>
  <c r="K152" i="10"/>
  <c r="L152" i="10" s="1"/>
  <c r="K293" i="10"/>
  <c r="L293" i="10" s="1"/>
  <c r="K193" i="10"/>
  <c r="L193" i="10" s="1"/>
  <c r="K225" i="10"/>
  <c r="L225" i="10" s="1"/>
  <c r="K177" i="10"/>
  <c r="L177" i="10" s="1"/>
  <c r="K204" i="10"/>
  <c r="L204" i="10" s="1"/>
  <c r="K144" i="10"/>
  <c r="L144" i="10" s="1"/>
  <c r="K294" i="10"/>
  <c r="L294" i="10" s="1"/>
  <c r="K276" i="10"/>
  <c r="L276" i="10" s="1"/>
  <c r="K97" i="10"/>
  <c r="L97" i="10" s="1"/>
  <c r="K295" i="10"/>
  <c r="L295" i="10" s="1"/>
  <c r="K164" i="10"/>
  <c r="L164" i="10" s="1"/>
  <c r="K213" i="10"/>
  <c r="L213" i="10" s="1"/>
  <c r="K131" i="10"/>
  <c r="L131" i="10" s="1"/>
  <c r="K183" i="10"/>
  <c r="L183" i="10" s="1"/>
  <c r="K215" i="10"/>
  <c r="L215" i="10" s="1"/>
  <c r="K198" i="10"/>
  <c r="L198" i="10" s="1"/>
  <c r="K167" i="10"/>
  <c r="L167" i="10" s="1"/>
  <c r="K127" i="10"/>
  <c r="L127" i="10" s="1"/>
  <c r="K128" i="10"/>
  <c r="L128" i="10" s="1"/>
  <c r="K84" i="10"/>
  <c r="L84" i="10" s="1"/>
  <c r="K180" i="10"/>
  <c r="L180" i="10" s="1"/>
  <c r="K142" i="10"/>
  <c r="L142" i="10" s="1"/>
  <c r="K153" i="10"/>
  <c r="L153" i="10" s="1"/>
  <c r="K147" i="10"/>
  <c r="L147" i="10" s="1"/>
  <c r="K98" i="10"/>
  <c r="L98" i="10" s="1"/>
  <c r="K156" i="10"/>
  <c r="L156" i="10" s="1"/>
  <c r="K240" i="10"/>
  <c r="L240" i="10" s="1"/>
  <c r="K71" i="10"/>
  <c r="L71" i="10" s="1"/>
  <c r="K80" i="10"/>
  <c r="L80" i="10" s="1"/>
  <c r="K205" i="10"/>
  <c r="L205" i="10" s="1"/>
  <c r="K264" i="10"/>
  <c r="L264" i="10" s="1"/>
  <c r="K69" i="10"/>
  <c r="L69" i="10" s="1"/>
  <c r="K237" i="10"/>
  <c r="L237" i="10" s="1"/>
  <c r="K56" i="10"/>
  <c r="L56" i="10" s="1"/>
  <c r="K110" i="10"/>
  <c r="L110" i="10" s="1"/>
  <c r="K148" i="10"/>
  <c r="L148" i="10" s="1"/>
  <c r="K187" i="10"/>
  <c r="L187" i="10" s="1"/>
  <c r="K242" i="10"/>
  <c r="L242" i="10" s="1"/>
  <c r="K53" i="10"/>
  <c r="L53" i="10" s="1"/>
  <c r="K108" i="10"/>
  <c r="L108" i="10" s="1"/>
  <c r="K184" i="10"/>
  <c r="L184" i="10" s="1"/>
  <c r="K120" i="10"/>
  <c r="L120" i="10" s="1"/>
  <c r="K296" i="10"/>
  <c r="L296" i="10" s="1"/>
  <c r="K145" i="10"/>
  <c r="L145" i="10" s="1"/>
  <c r="K192" i="10"/>
  <c r="L192" i="10" s="1"/>
  <c r="K103" i="10"/>
  <c r="L103" i="10" s="1"/>
  <c r="K255" i="10"/>
  <c r="L255" i="10" s="1"/>
  <c r="K106" i="10"/>
  <c r="L106" i="10" s="1"/>
  <c r="K154" i="10"/>
  <c r="L154" i="10" s="1"/>
  <c r="K297" i="10"/>
  <c r="L297" i="10" s="1"/>
  <c r="K161" i="10"/>
  <c r="L161" i="10" s="1"/>
  <c r="K265" i="10"/>
  <c r="L265" i="10" s="1"/>
  <c r="K146" i="10"/>
  <c r="L146" i="10" s="1"/>
  <c r="K206" i="10"/>
  <c r="L206" i="10" s="1"/>
  <c r="K263" i="10"/>
  <c r="L263" i="10" s="1"/>
  <c r="K91" i="10"/>
  <c r="L91" i="10" s="1"/>
  <c r="K137" i="10"/>
  <c r="L137" i="10" s="1"/>
  <c r="K233" i="10"/>
  <c r="L233" i="10" s="1"/>
  <c r="K298" i="10"/>
  <c r="L298" i="10" s="1"/>
  <c r="K261" i="10"/>
  <c r="L261" i="10" s="1"/>
  <c r="K241" i="10"/>
  <c r="L241" i="10" s="1"/>
  <c r="K129" i="10"/>
  <c r="L129" i="10" s="1"/>
  <c r="K135" i="10"/>
  <c r="L135" i="10" s="1"/>
  <c r="K168" i="10"/>
  <c r="L168" i="10" s="1"/>
  <c r="K181" i="10"/>
  <c r="L181" i="10" s="1"/>
  <c r="K230" i="10"/>
  <c r="L230" i="10" s="1"/>
  <c r="K111" i="10"/>
  <c r="L111" i="10" s="1"/>
  <c r="K299" i="10"/>
  <c r="L299" i="10" s="1"/>
  <c r="K216" i="10"/>
  <c r="L216" i="10" s="1"/>
  <c r="K140" i="10"/>
  <c r="L140" i="10" s="1"/>
  <c r="K96" i="10"/>
  <c r="L96" i="10" s="1"/>
  <c r="K171" i="10"/>
  <c r="L171" i="10" s="1"/>
  <c r="K121" i="10"/>
  <c r="L121" i="10" s="1"/>
  <c r="K189" i="10"/>
  <c r="L189" i="10" s="1"/>
  <c r="K179" i="10"/>
  <c r="K149" i="10"/>
  <c r="L149" i="10" s="1"/>
  <c r="K257" i="10"/>
  <c r="L257" i="10" s="1"/>
  <c r="K47" i="10"/>
  <c r="L47" i="10" s="1"/>
  <c r="K65" i="10"/>
  <c r="L65" i="10" s="1"/>
  <c r="K51" i="10"/>
  <c r="L51" i="10" s="1"/>
  <c r="K107" i="10"/>
  <c r="L107" i="10" s="1"/>
  <c r="K86" i="10"/>
  <c r="L86" i="10" s="1"/>
  <c r="K201" i="10"/>
  <c r="L201" i="10" s="1"/>
  <c r="K82" i="10"/>
  <c r="L82" i="10" s="1"/>
  <c r="K190" i="10"/>
  <c r="L190" i="10" s="1"/>
  <c r="K249" i="10"/>
  <c r="L249" i="10" s="1"/>
  <c r="K300" i="10"/>
  <c r="L300" i="10" s="1"/>
  <c r="K169" i="10"/>
  <c r="L169" i="10" s="1"/>
  <c r="K199" i="10"/>
  <c r="L199" i="10" s="1"/>
  <c r="K77" i="10"/>
  <c r="L77" i="10" s="1"/>
  <c r="K114" i="10"/>
  <c r="L114" i="10" s="1"/>
  <c r="K278" i="10"/>
  <c r="L278" i="10" s="1"/>
  <c r="K57" i="10"/>
  <c r="L57" i="10" s="1"/>
  <c r="K100" i="10"/>
  <c r="L100" i="10" s="1"/>
  <c r="K269" i="10"/>
  <c r="L269" i="10" s="1"/>
  <c r="K301" i="10"/>
  <c r="L301" i="10" s="1"/>
  <c r="K262" i="10"/>
  <c r="L262" i="10" s="1"/>
  <c r="K70" i="10"/>
  <c r="L70" i="10" s="1"/>
  <c r="K124" i="10"/>
  <c r="L124" i="10" s="1"/>
  <c r="K271" i="10"/>
  <c r="L271" i="10" s="1"/>
  <c r="K226" i="10"/>
  <c r="L226" i="10" s="1"/>
  <c r="K281" i="10"/>
  <c r="L281" i="10" s="1"/>
  <c r="K227" i="10"/>
  <c r="L227" i="10" s="1"/>
  <c r="K60" i="10"/>
  <c r="L60" i="10" s="1"/>
  <c r="K42" i="10"/>
  <c r="L42" i="10" s="1"/>
  <c r="K277" i="10"/>
  <c r="L277" i="10" s="1"/>
  <c r="K273" i="10"/>
  <c r="L273" i="10" s="1"/>
  <c r="K302" i="10"/>
  <c r="L302" i="10" s="1"/>
  <c r="K89" i="10"/>
  <c r="L89" i="10" s="1"/>
  <c r="K95" i="10"/>
  <c r="L95" i="10" s="1"/>
  <c r="K141" i="10"/>
  <c r="L141" i="10" s="1"/>
  <c r="K202" i="10"/>
  <c r="L202" i="10" s="1"/>
  <c r="K50" i="10"/>
  <c r="L50" i="10" s="1"/>
  <c r="K207" i="10"/>
  <c r="L207" i="10" s="1"/>
  <c r="K235" i="10"/>
  <c r="L235" i="10" s="1"/>
  <c r="K43" i="10"/>
  <c r="L43" i="10" s="1"/>
  <c r="K138" i="10"/>
  <c r="L138" i="10" s="1"/>
  <c r="K62" i="10"/>
  <c r="L62" i="10" s="1"/>
  <c r="K234" i="10"/>
  <c r="L234" i="10" s="1"/>
  <c r="K49" i="10"/>
  <c r="L49" i="10" s="1"/>
  <c r="K54" i="10"/>
  <c r="L54" i="10" s="1"/>
  <c r="K44" i="10"/>
  <c r="L44" i="10" s="1"/>
  <c r="K63" i="10"/>
  <c r="L63" i="10" s="1"/>
  <c r="K253" i="10"/>
  <c r="L253" i="10" s="1"/>
  <c r="K267" i="10"/>
  <c r="L267" i="10" s="1"/>
  <c r="K76" i="10"/>
  <c r="L76" i="10" s="1"/>
  <c r="K243" i="10"/>
  <c r="L243" i="10" s="1"/>
  <c r="K196" i="10"/>
  <c r="L196" i="10" s="1"/>
  <c r="K170" i="10"/>
  <c r="L170" i="10" s="1"/>
  <c r="K244" i="10"/>
  <c r="L244" i="10" s="1"/>
  <c r="K66" i="10"/>
  <c r="L66" i="10" s="1"/>
  <c r="K73" i="10"/>
  <c r="L73" i="10" s="1"/>
  <c r="K122" i="10"/>
  <c r="L122" i="10" s="1"/>
  <c r="K214" i="10"/>
  <c r="L214" i="10" s="1"/>
  <c r="K67" i="10"/>
  <c r="L67" i="10" s="1"/>
  <c r="K250" i="10"/>
  <c r="L250" i="10" s="1"/>
  <c r="K72" i="10"/>
  <c r="L72" i="10" s="1"/>
  <c r="K55" i="10"/>
  <c r="L55" i="10" s="1"/>
  <c r="K251" i="10"/>
  <c r="L251" i="10" s="1"/>
  <c r="K223" i="10"/>
  <c r="L223" i="10" s="1"/>
  <c r="K52" i="10"/>
  <c r="L52" i="10" s="1"/>
  <c r="K303" i="10"/>
  <c r="L303" i="10" s="1"/>
  <c r="K61" i="10"/>
  <c r="L61" i="10" s="1"/>
  <c r="K173" i="10"/>
  <c r="L173" i="10" s="1"/>
  <c r="K116" i="10"/>
  <c r="L116" i="10" s="1"/>
  <c r="K83" i="10"/>
  <c r="L83" i="10" s="1"/>
  <c r="K231" i="10"/>
  <c r="L231" i="10" s="1"/>
  <c r="K150" i="10"/>
  <c r="L150" i="10" s="1"/>
  <c r="K78" i="10"/>
  <c r="L78" i="10" s="1"/>
  <c r="K126" i="10"/>
  <c r="L126" i="10" s="1"/>
  <c r="K139" i="10"/>
  <c r="L139" i="10" s="1"/>
  <c r="K304" i="10"/>
  <c r="L304" i="10" s="1"/>
  <c r="K117" i="10"/>
  <c r="L117" i="10" s="1"/>
  <c r="K58" i="10"/>
  <c r="L58" i="10" s="1"/>
  <c r="K185" i="10"/>
  <c r="L185" i="10" s="1"/>
  <c r="K46" i="10"/>
  <c r="L46" i="10" s="1"/>
  <c r="K79" i="10"/>
  <c r="L79" i="10" s="1"/>
  <c r="K109" i="10"/>
  <c r="L109" i="10" s="1"/>
  <c r="K101" i="10"/>
  <c r="L101" i="10" s="1"/>
  <c r="K172" i="10"/>
  <c r="L172" i="10" s="1"/>
  <c r="K252" i="10"/>
  <c r="L252" i="10" s="1"/>
  <c r="K64" i="10"/>
  <c r="L64" i="10" s="1"/>
  <c r="K59" i="10"/>
  <c r="K305" i="10"/>
  <c r="L305" i="10" s="1"/>
  <c r="K87" i="10"/>
  <c r="L87" i="10" s="1"/>
  <c r="K158" i="10"/>
  <c r="L158" i="10" s="1"/>
  <c r="K92" i="10"/>
  <c r="L92" i="10" s="1"/>
  <c r="K48" i="10"/>
  <c r="L48" i="10" s="1"/>
  <c r="K151" i="10"/>
  <c r="L151" i="10" s="1"/>
  <c r="K217" i="10"/>
  <c r="L217" i="10" s="1"/>
  <c r="K260" i="10"/>
  <c r="L260" i="10" s="1"/>
  <c r="K166" i="10"/>
  <c r="L166" i="10" s="1"/>
  <c r="K45" i="10"/>
  <c r="L45" i="10" s="1"/>
  <c r="K212" i="10"/>
  <c r="L212" i="10" s="1"/>
  <c r="K102" i="10"/>
  <c r="L102" i="10" s="1"/>
  <c r="Q56" i="12"/>
  <c r="Q53" i="12"/>
  <c r="Q51" i="12"/>
  <c r="Q47" i="12"/>
  <c r="Q43" i="12"/>
  <c r="Y42" i="12"/>
  <c r="Z42" i="12" s="1"/>
  <c r="Y43" i="12"/>
  <c r="Z43" i="12" s="1"/>
  <c r="Y44" i="12"/>
  <c r="Y45" i="12"/>
  <c r="Y41" i="12"/>
  <c r="Z44" i="12"/>
  <c r="Z45" i="12"/>
  <c r="Z41" i="12"/>
  <c r="W43" i="12"/>
  <c r="W44" i="12"/>
  <c r="W45" i="12"/>
  <c r="W42" i="12"/>
  <c r="X42" i="12"/>
  <c r="X43" i="12"/>
  <c r="X44" i="12"/>
  <c r="X45" i="12"/>
  <c r="X41" i="12"/>
  <c r="N42" i="12"/>
  <c r="O42" i="12" s="1"/>
  <c r="E41" i="12"/>
  <c r="N43" i="12"/>
  <c r="N44" i="12"/>
  <c r="N45" i="12"/>
  <c r="N46" i="12"/>
  <c r="N47" i="12"/>
  <c r="N48" i="12"/>
  <c r="N49" i="12"/>
  <c r="N50" i="12"/>
  <c r="N51" i="12"/>
  <c r="N52" i="12"/>
  <c r="N53" i="12"/>
  <c r="N54" i="12"/>
  <c r="N55" i="12"/>
  <c r="N56" i="12"/>
  <c r="N57" i="12"/>
  <c r="C42" i="12"/>
  <c r="M43" i="12"/>
  <c r="M44" i="12"/>
  <c r="M45" i="12"/>
  <c r="M46" i="12"/>
  <c r="M47" i="12"/>
  <c r="M48" i="12"/>
  <c r="M49" i="12"/>
  <c r="M50" i="12"/>
  <c r="M51" i="12"/>
  <c r="M52" i="12"/>
  <c r="M53" i="12"/>
  <c r="M54" i="12"/>
  <c r="M55" i="12"/>
  <c r="M56" i="12"/>
  <c r="M57" i="12"/>
  <c r="M42" i="12"/>
  <c r="H42" i="12"/>
  <c r="H43" i="12"/>
  <c r="H44" i="12"/>
  <c r="H45" i="12"/>
  <c r="H46" i="12"/>
  <c r="H47" i="12"/>
  <c r="H48" i="12"/>
  <c r="H41" i="12"/>
  <c r="G42" i="12"/>
  <c r="G43" i="12"/>
  <c r="G44" i="12"/>
  <c r="G45" i="12"/>
  <c r="G46" i="12"/>
  <c r="G47" i="12"/>
  <c r="G48" i="12"/>
  <c r="G41" i="12"/>
  <c r="F42" i="12"/>
  <c r="F43" i="12"/>
  <c r="F44" i="12"/>
  <c r="F45" i="12"/>
  <c r="F46" i="12"/>
  <c r="F47" i="12"/>
  <c r="F48" i="12"/>
  <c r="F41" i="12"/>
  <c r="E42" i="12"/>
  <c r="E43" i="12"/>
  <c r="E44" i="12"/>
  <c r="E45" i="12"/>
  <c r="E46" i="12"/>
  <c r="E47" i="12"/>
  <c r="E48" i="12"/>
  <c r="C43" i="12"/>
  <c r="C44" i="12"/>
  <c r="C45" i="12"/>
  <c r="C46" i="12"/>
  <c r="C47" i="12"/>
  <c r="C48" i="12"/>
  <c r="D42" i="12"/>
  <c r="D43" i="12"/>
  <c r="D44" i="12"/>
  <c r="D45" i="12"/>
  <c r="D46" i="12"/>
  <c r="D47" i="12"/>
  <c r="D48" i="12"/>
  <c r="D41" i="12"/>
  <c r="M205" i="10" l="1"/>
  <c r="M295" i="10"/>
  <c r="M225" i="10"/>
  <c r="M39" i="10"/>
  <c r="L39" i="10" s="1"/>
  <c r="N39" i="10"/>
  <c r="M185" i="10" s="1"/>
  <c r="M121" i="10"/>
  <c r="M291" i="10"/>
  <c r="M305" i="10"/>
  <c r="M301" i="10"/>
  <c r="M283" i="10"/>
  <c r="M115" i="10"/>
  <c r="M300" i="10"/>
  <c r="M59" i="10"/>
  <c r="M249" i="10"/>
  <c r="M85" i="10"/>
  <c r="M223" i="10"/>
  <c r="M43" i="10"/>
  <c r="M133" i="10"/>
  <c r="O43" i="12"/>
  <c r="Z33" i="11"/>
  <c r="Z34" i="11"/>
  <c r="Z35" i="11"/>
  <c r="Z36" i="11"/>
  <c r="Z37" i="11"/>
  <c r="Z38" i="11"/>
  <c r="Z39" i="11"/>
  <c r="Z40" i="11"/>
  <c r="Z32" i="11"/>
  <c r="U32" i="11"/>
  <c r="U33" i="11"/>
  <c r="U34" i="11"/>
  <c r="U35" i="11"/>
  <c r="U36" i="11"/>
  <c r="U37" i="11"/>
  <c r="U38" i="11"/>
  <c r="U39" i="11"/>
  <c r="U40" i="11"/>
  <c r="Y40" i="11"/>
  <c r="Y39" i="11"/>
  <c r="Y38" i="11"/>
  <c r="Y37" i="11"/>
  <c r="Y36" i="11"/>
  <c r="Y35" i="11"/>
  <c r="Y34" i="11"/>
  <c r="Y33" i="11"/>
  <c r="Y32" i="11"/>
  <c r="T33" i="11"/>
  <c r="T34" i="11"/>
  <c r="T35" i="11"/>
  <c r="T36" i="11"/>
  <c r="T37" i="11"/>
  <c r="T38" i="11"/>
  <c r="T39" i="11"/>
  <c r="T40" i="11"/>
  <c r="T32" i="11"/>
  <c r="X41" i="11"/>
  <c r="S41" i="11"/>
  <c r="N41" i="11"/>
  <c r="O41" i="11" s="1"/>
  <c r="N42" i="11"/>
  <c r="O42" i="11" s="1"/>
  <c r="N43" i="11"/>
  <c r="O43" i="11" s="1"/>
  <c r="N44" i="11"/>
  <c r="O44" i="11" s="1"/>
  <c r="N45" i="11"/>
  <c r="O45" i="11" s="1"/>
  <c r="N46" i="11"/>
  <c r="O46" i="11" s="1"/>
  <c r="N47" i="11"/>
  <c r="O47" i="11" s="1"/>
  <c r="N48" i="11"/>
  <c r="O48" i="11" s="1"/>
  <c r="N49" i="11"/>
  <c r="O49" i="11" s="1"/>
  <c r="N50" i="11"/>
  <c r="O50" i="11" s="1"/>
  <c r="N51" i="11"/>
  <c r="O51" i="11" s="1"/>
  <c r="N52" i="11"/>
  <c r="O52" i="11" s="1"/>
  <c r="N53" i="11"/>
  <c r="O53" i="11" s="1"/>
  <c r="N54" i="11"/>
  <c r="O54" i="11" s="1"/>
  <c r="N55" i="11"/>
  <c r="O55" i="11" s="1"/>
  <c r="N56" i="11"/>
  <c r="O56" i="11" s="1"/>
  <c r="N57" i="11"/>
  <c r="O57" i="11" s="1"/>
  <c r="N58" i="11"/>
  <c r="O58" i="11" s="1"/>
  <c r="N59" i="11"/>
  <c r="O59" i="11" s="1"/>
  <c r="N60" i="11"/>
  <c r="O60" i="11" s="1"/>
  <c r="N61" i="11"/>
  <c r="O61" i="11" s="1"/>
  <c r="N62" i="11"/>
  <c r="O62" i="11" s="1"/>
  <c r="N63" i="11"/>
  <c r="O63" i="11" s="1"/>
  <c r="N64" i="11"/>
  <c r="O64" i="11" s="1"/>
  <c r="N31" i="11"/>
  <c r="O31" i="11" s="1"/>
  <c r="N32" i="11"/>
  <c r="O32" i="11" s="1"/>
  <c r="N33" i="11"/>
  <c r="O33" i="11" s="1"/>
  <c r="N34" i="11"/>
  <c r="O34" i="11" s="1"/>
  <c r="N35" i="11"/>
  <c r="O35" i="11" s="1"/>
  <c r="N36" i="11"/>
  <c r="O36" i="11" s="1"/>
  <c r="N37" i="11"/>
  <c r="O37" i="11" s="1"/>
  <c r="N38" i="11"/>
  <c r="O38" i="11" s="1"/>
  <c r="N39" i="11"/>
  <c r="O39" i="11" s="1"/>
  <c r="N40" i="11"/>
  <c r="O40" i="11" s="1"/>
  <c r="N30" i="11"/>
  <c r="O30" i="11" s="1"/>
  <c r="K30" i="11"/>
  <c r="I7" i="11"/>
  <c r="M124" i="10" l="1"/>
  <c r="N124" i="10" s="1"/>
  <c r="O124" i="10" s="1"/>
  <c r="Q124" i="10" s="1"/>
  <c r="M156" i="10"/>
  <c r="M125" i="10"/>
  <c r="N125" i="10" s="1"/>
  <c r="O125" i="10" s="1"/>
  <c r="Q125" i="10" s="1"/>
  <c r="M165" i="10"/>
  <c r="M253" i="10"/>
  <c r="M188" i="10"/>
  <c r="M279" i="10"/>
  <c r="N279" i="10" s="1"/>
  <c r="O279" i="10" s="1"/>
  <c r="Q279" i="10" s="1"/>
  <c r="M281" i="10"/>
  <c r="N281" i="10" s="1"/>
  <c r="O281" i="10" s="1"/>
  <c r="Q281" i="10" s="1"/>
  <c r="M186" i="10"/>
  <c r="N186" i="10" s="1"/>
  <c r="O186" i="10" s="1"/>
  <c r="Q186" i="10" s="1"/>
  <c r="M269" i="10"/>
  <c r="M80" i="10"/>
  <c r="M272" i="10"/>
  <c r="M60" i="10"/>
  <c r="M192" i="10"/>
  <c r="M157" i="10"/>
  <c r="N157" i="10" s="1"/>
  <c r="O157" i="10" s="1"/>
  <c r="Q157" i="10" s="1"/>
  <c r="M84" i="10"/>
  <c r="N84" i="10" s="1"/>
  <c r="O84" i="10" s="1"/>
  <c r="Q84" i="10" s="1"/>
  <c r="M73" i="10"/>
  <c r="N73" i="10" s="1"/>
  <c r="O73" i="10" s="1"/>
  <c r="Q73" i="10" s="1"/>
  <c r="M232" i="10"/>
  <c r="M219" i="10"/>
  <c r="M95" i="10"/>
  <c r="M211" i="10"/>
  <c r="M227" i="10"/>
  <c r="M267" i="10"/>
  <c r="M152" i="10"/>
  <c r="N152" i="10" s="1"/>
  <c r="O152" i="10" s="1"/>
  <c r="Q152" i="10" s="1"/>
  <c r="M202" i="10"/>
  <c r="N202" i="10" s="1"/>
  <c r="O202" i="10" s="1"/>
  <c r="Q202" i="10" s="1"/>
  <c r="M74" i="10"/>
  <c r="M118" i="10"/>
  <c r="M42" i="10"/>
  <c r="M260" i="10"/>
  <c r="M233" i="10"/>
  <c r="M248" i="10"/>
  <c r="M148" i="10"/>
  <c r="M180" i="10"/>
  <c r="N180" i="10" s="1"/>
  <c r="O180" i="10" s="1"/>
  <c r="Q180" i="10" s="1"/>
  <c r="M88" i="10"/>
  <c r="M69" i="10"/>
  <c r="M164" i="10"/>
  <c r="M110" i="10"/>
  <c r="M251" i="10"/>
  <c r="M145" i="10"/>
  <c r="N145" i="10" s="1"/>
  <c r="O145" i="10" s="1"/>
  <c r="Q145" i="10" s="1"/>
  <c r="M226" i="10"/>
  <c r="N226" i="10" s="1"/>
  <c r="O226" i="10" s="1"/>
  <c r="Q226" i="10" s="1"/>
  <c r="M187" i="10"/>
  <c r="M183" i="10"/>
  <c r="M303" i="10"/>
  <c r="M132" i="10"/>
  <c r="M139" i="10"/>
  <c r="M144" i="10"/>
  <c r="M108" i="10"/>
  <c r="M250" i="10"/>
  <c r="N250" i="10" s="1"/>
  <c r="O250" i="10" s="1"/>
  <c r="Q250" i="10" s="1"/>
  <c r="M100" i="10"/>
  <c r="M237" i="10"/>
  <c r="M50" i="10"/>
  <c r="M99" i="10"/>
  <c r="M77" i="10"/>
  <c r="M111" i="10"/>
  <c r="M268" i="10"/>
  <c r="M221" i="10"/>
  <c r="N221" i="10" s="1"/>
  <c r="O221" i="10" s="1"/>
  <c r="Q221" i="10" s="1"/>
  <c r="M243" i="10"/>
  <c r="M293" i="10"/>
  <c r="M189" i="10"/>
  <c r="N189" i="10" s="1"/>
  <c r="O189" i="10" s="1"/>
  <c r="Q189" i="10" s="1"/>
  <c r="M160" i="10"/>
  <c r="M261" i="10"/>
  <c r="M122" i="10"/>
  <c r="M105" i="10"/>
  <c r="M142" i="10"/>
  <c r="N142" i="10" s="1"/>
  <c r="O142" i="10" s="1"/>
  <c r="Q142" i="10" s="1"/>
  <c r="M212" i="10"/>
  <c r="M282" i="10"/>
  <c r="M92" i="10"/>
  <c r="M284" i="10"/>
  <c r="M106" i="10"/>
  <c r="M172" i="10"/>
  <c r="M90" i="10"/>
  <c r="M184" i="10"/>
  <c r="N184" i="10" s="1"/>
  <c r="O184" i="10" s="1"/>
  <c r="Q184" i="10" s="1"/>
  <c r="M170" i="10"/>
  <c r="M274" i="10"/>
  <c r="M44" i="10"/>
  <c r="M273" i="10"/>
  <c r="M46" i="10"/>
  <c r="M76" i="10"/>
  <c r="M81" i="10"/>
  <c r="N81" i="10" s="1"/>
  <c r="O81" i="10" s="1"/>
  <c r="Q81" i="10" s="1"/>
  <c r="M49" i="10"/>
  <c r="N49" i="10" s="1"/>
  <c r="O49" i="10" s="1"/>
  <c r="Q49" i="10" s="1"/>
  <c r="M258" i="10"/>
  <c r="M254" i="10"/>
  <c r="M149" i="10"/>
  <c r="N149" i="10" s="1"/>
  <c r="O149" i="10" s="1"/>
  <c r="Q149" i="10" s="1"/>
  <c r="M45" i="10"/>
  <c r="M238" i="10"/>
  <c r="M242" i="10"/>
  <c r="M163" i="10"/>
  <c r="N163" i="10" s="1"/>
  <c r="O163" i="10" s="1"/>
  <c r="Q163" i="10" s="1"/>
  <c r="M264" i="10"/>
  <c r="N264" i="10" s="1"/>
  <c r="O264" i="10" s="1"/>
  <c r="Q264" i="10" s="1"/>
  <c r="M218" i="10"/>
  <c r="N218" i="10" s="1"/>
  <c r="O218" i="10" s="1"/>
  <c r="Q218" i="10" s="1"/>
  <c r="M155" i="10"/>
  <c r="M91" i="10"/>
  <c r="N91" i="10" s="1"/>
  <c r="O91" i="10" s="1"/>
  <c r="Q91" i="10" s="1"/>
  <c r="M48" i="10"/>
  <c r="M220" i="10"/>
  <c r="M154" i="10"/>
  <c r="M252" i="10"/>
  <c r="M228" i="10"/>
  <c r="N228" i="10" s="1"/>
  <c r="O228" i="10" s="1"/>
  <c r="Q228" i="10" s="1"/>
  <c r="M55" i="10"/>
  <c r="M210" i="10"/>
  <c r="M178" i="10"/>
  <c r="M302" i="10"/>
  <c r="M290" i="10"/>
  <c r="M159" i="10"/>
  <c r="M206" i="10"/>
  <c r="N206" i="10" s="1"/>
  <c r="O206" i="10" s="1"/>
  <c r="Q206" i="10" s="1"/>
  <c r="M179" i="10"/>
  <c r="M65" i="10"/>
  <c r="M216" i="10"/>
  <c r="M104" i="10"/>
  <c r="M171" i="10"/>
  <c r="M231" i="10"/>
  <c r="M222" i="10"/>
  <c r="M137" i="10"/>
  <c r="M246" i="10"/>
  <c r="M292" i="10"/>
  <c r="N292" i="10" s="1"/>
  <c r="M58" i="10"/>
  <c r="M89" i="10"/>
  <c r="N89" i="10" s="1"/>
  <c r="O89" i="10" s="1"/>
  <c r="Q89" i="10" s="1"/>
  <c r="M161" i="10"/>
  <c r="M224" i="10"/>
  <c r="N224" i="10" s="1"/>
  <c r="O224" i="10" s="1"/>
  <c r="Q224" i="10" s="1"/>
  <c r="M299" i="10"/>
  <c r="M150" i="10"/>
  <c r="N150" i="10" s="1"/>
  <c r="O150" i="10" s="1"/>
  <c r="Q150" i="10" s="1"/>
  <c r="M265" i="10"/>
  <c r="M257" i="10"/>
  <c r="M94" i="10"/>
  <c r="M103" i="10"/>
  <c r="N103" i="10" s="1"/>
  <c r="O103" i="10" s="1"/>
  <c r="Q103" i="10" s="1"/>
  <c r="M214" i="10"/>
  <c r="M176" i="10"/>
  <c r="N176" i="10" s="1"/>
  <c r="O176" i="10" s="1"/>
  <c r="Q176" i="10" s="1"/>
  <c r="M153" i="10"/>
  <c r="M141" i="10"/>
  <c r="M138" i="10"/>
  <c r="N138" i="10" s="1"/>
  <c r="O138" i="10" s="1"/>
  <c r="Q138" i="10" s="1"/>
  <c r="M278" i="10"/>
  <c r="N278" i="10" s="1"/>
  <c r="O278" i="10" s="1"/>
  <c r="Q278" i="10" s="1"/>
  <c r="M266" i="10"/>
  <c r="M168" i="10"/>
  <c r="N168" i="10" s="1"/>
  <c r="O168" i="10" s="1"/>
  <c r="Q168" i="10" s="1"/>
  <c r="M196" i="10"/>
  <c r="M131" i="10"/>
  <c r="N131" i="10" s="1"/>
  <c r="O131" i="10" s="1"/>
  <c r="Q131" i="10" s="1"/>
  <c r="M182" i="10"/>
  <c r="M134" i="10"/>
  <c r="N134" i="10" s="1"/>
  <c r="O134" i="10" s="1"/>
  <c r="Q134" i="10" s="1"/>
  <c r="M181" i="10"/>
  <c r="M54" i="10"/>
  <c r="M209" i="10"/>
  <c r="M204" i="10"/>
  <c r="M245" i="10"/>
  <c r="M127" i="10"/>
  <c r="N127" i="10" s="1"/>
  <c r="O127" i="10" s="1"/>
  <c r="Q127" i="10" s="1"/>
  <c r="M86" i="10"/>
  <c r="M83" i="10"/>
  <c r="N83" i="10" s="1"/>
  <c r="O83" i="10" s="1"/>
  <c r="Q83" i="10" s="1"/>
  <c r="M119" i="10"/>
  <c r="N119" i="10" s="1"/>
  <c r="O119" i="10" s="1"/>
  <c r="Q119" i="10" s="1"/>
  <c r="M114" i="10"/>
  <c r="M123" i="10"/>
  <c r="M177" i="10"/>
  <c r="N177" i="10" s="1"/>
  <c r="O177" i="10" s="1"/>
  <c r="Q177" i="10" s="1"/>
  <c r="M82" i="10"/>
  <c r="N82" i="10" s="1"/>
  <c r="O82" i="10" s="1"/>
  <c r="Q82" i="10" s="1"/>
  <c r="M236" i="10"/>
  <c r="N236" i="10" s="1"/>
  <c r="O236" i="10" s="1"/>
  <c r="Q236" i="10" s="1"/>
  <c r="M75" i="10"/>
  <c r="M140" i="10"/>
  <c r="M112" i="10"/>
  <c r="N112" i="10" s="1"/>
  <c r="O112" i="10" s="1"/>
  <c r="Q112" i="10" s="1"/>
  <c r="M129" i="10"/>
  <c r="N129" i="10" s="1"/>
  <c r="O129" i="10" s="1"/>
  <c r="Q129" i="10" s="1"/>
  <c r="M126" i="10"/>
  <c r="M197" i="10"/>
  <c r="M53" i="10"/>
  <c r="M67" i="10"/>
  <c r="N67" i="10" s="1"/>
  <c r="O67" i="10" s="1"/>
  <c r="Q67" i="10" s="1"/>
  <c r="M234" i="10"/>
  <c r="M194" i="10"/>
  <c r="M276" i="10"/>
  <c r="M51" i="10"/>
  <c r="N51" i="10" s="1"/>
  <c r="O51" i="10" s="1"/>
  <c r="Q51" i="10" s="1"/>
  <c r="M173" i="10"/>
  <c r="M57" i="10"/>
  <c r="N57" i="10" s="1"/>
  <c r="O57" i="10" s="1"/>
  <c r="Q57" i="10" s="1"/>
  <c r="M174" i="10"/>
  <c r="N174" i="10" s="1"/>
  <c r="O174" i="10" s="1"/>
  <c r="Q174" i="10" s="1"/>
  <c r="M97" i="10"/>
  <c r="N97" i="10" s="1"/>
  <c r="O97" i="10" s="1"/>
  <c r="Q97" i="10" s="1"/>
  <c r="M107" i="10"/>
  <c r="M72" i="10"/>
  <c r="N72" i="10" s="1"/>
  <c r="O72" i="10" s="1"/>
  <c r="Q72" i="10" s="1"/>
  <c r="M240" i="10"/>
  <c r="N240" i="10" s="1"/>
  <c r="O240" i="10" s="1"/>
  <c r="Q240" i="10" s="1"/>
  <c r="M235" i="10"/>
  <c r="M195" i="10"/>
  <c r="M56" i="10"/>
  <c r="M70" i="10"/>
  <c r="M64" i="10"/>
  <c r="N64" i="10" s="1"/>
  <c r="O64" i="10" s="1"/>
  <c r="Q64" i="10" s="1"/>
  <c r="M256" i="10"/>
  <c r="M66" i="10"/>
  <c r="M200" i="10"/>
  <c r="M213" i="10"/>
  <c r="M271" i="10"/>
  <c r="M146" i="10"/>
  <c r="N146" i="10" s="1"/>
  <c r="O146" i="10" s="1"/>
  <c r="Q146" i="10" s="1"/>
  <c r="M162" i="10"/>
  <c r="M109" i="10"/>
  <c r="M113" i="10"/>
  <c r="M47" i="10"/>
  <c r="N47" i="10" s="1"/>
  <c r="O47" i="10" s="1"/>
  <c r="Q47" i="10" s="1"/>
  <c r="M158" i="10"/>
  <c r="N158" i="10" s="1"/>
  <c r="O158" i="10" s="1"/>
  <c r="Q158" i="10" s="1"/>
  <c r="M288" i="10"/>
  <c r="M96" i="10"/>
  <c r="M61" i="10"/>
  <c r="N61" i="10" s="1"/>
  <c r="O61" i="10" s="1"/>
  <c r="Q61" i="10" s="1"/>
  <c r="M101" i="10"/>
  <c r="M203" i="10"/>
  <c r="N203" i="10" s="1"/>
  <c r="O203" i="10" s="1"/>
  <c r="Q203" i="10" s="1"/>
  <c r="M147" i="10"/>
  <c r="M169" i="10"/>
  <c r="M304" i="10"/>
  <c r="N304" i="10" s="1"/>
  <c r="M52" i="10"/>
  <c r="N52" i="10" s="1"/>
  <c r="O52" i="10" s="1"/>
  <c r="Q52" i="10" s="1"/>
  <c r="M93" i="10"/>
  <c r="M98" i="10"/>
  <c r="N98" i="10" s="1"/>
  <c r="O98" i="10" s="1"/>
  <c r="Q98" i="10" s="1"/>
  <c r="M262" i="10"/>
  <c r="N262" i="10" s="1"/>
  <c r="O262" i="10" s="1"/>
  <c r="Q262" i="10" s="1"/>
  <c r="M116" i="10"/>
  <c r="N116" i="10" s="1"/>
  <c r="O116" i="10" s="1"/>
  <c r="Q116" i="10" s="1"/>
  <c r="M298" i="10"/>
  <c r="M68" i="10"/>
  <c r="N68" i="10" s="1"/>
  <c r="O68" i="10" s="1"/>
  <c r="Q68" i="10" s="1"/>
  <c r="M247" i="10"/>
  <c r="N247" i="10" s="1"/>
  <c r="O247" i="10" s="1"/>
  <c r="Q247" i="10" s="1"/>
  <c r="M120" i="10"/>
  <c r="M277" i="10"/>
  <c r="M217" i="10"/>
  <c r="N217" i="10" s="1"/>
  <c r="O217" i="10" s="1"/>
  <c r="Q217" i="10" s="1"/>
  <c r="M229" i="10"/>
  <c r="N229" i="10" s="1"/>
  <c r="O229" i="10" s="1"/>
  <c r="Q229" i="10" s="1"/>
  <c r="M143" i="10"/>
  <c r="N143" i="10" s="1"/>
  <c r="O143" i="10" s="1"/>
  <c r="Q143" i="10" s="1"/>
  <c r="M191" i="10"/>
  <c r="M239" i="10"/>
  <c r="N239" i="10" s="1"/>
  <c r="O239" i="10" s="1"/>
  <c r="Q239" i="10" s="1"/>
  <c r="M287" i="10"/>
  <c r="N287" i="10" s="1"/>
  <c r="M208" i="10"/>
  <c r="M280" i="10"/>
  <c r="M270" i="10"/>
  <c r="N270" i="10" s="1"/>
  <c r="O270" i="10" s="1"/>
  <c r="Q270" i="10" s="1"/>
  <c r="M71" i="10"/>
  <c r="M175" i="10"/>
  <c r="N175" i="10" s="1"/>
  <c r="O175" i="10" s="1"/>
  <c r="Q175" i="10" s="1"/>
  <c r="M289" i="10"/>
  <c r="M78" i="10"/>
  <c r="N78" i="10" s="1"/>
  <c r="O78" i="10" s="1"/>
  <c r="Q78" i="10" s="1"/>
  <c r="M102" i="10"/>
  <c r="N102" i="10" s="1"/>
  <c r="O102" i="10" s="1"/>
  <c r="Q102" i="10" s="1"/>
  <c r="M79" i="10"/>
  <c r="N79" i="10" s="1"/>
  <c r="O79" i="10" s="1"/>
  <c r="Q79" i="10" s="1"/>
  <c r="M135" i="10"/>
  <c r="M199" i="10"/>
  <c r="N199" i="10" s="1"/>
  <c r="O199" i="10" s="1"/>
  <c r="Q199" i="10" s="1"/>
  <c r="M263" i="10"/>
  <c r="N263" i="10" s="1"/>
  <c r="O263" i="10" s="1"/>
  <c r="Q263" i="10" s="1"/>
  <c r="M190" i="10"/>
  <c r="N190" i="10" s="1"/>
  <c r="O190" i="10" s="1"/>
  <c r="Q190" i="10" s="1"/>
  <c r="M294" i="10"/>
  <c r="M87" i="10"/>
  <c r="M151" i="10"/>
  <c r="N151" i="10" s="1"/>
  <c r="O151" i="10" s="1"/>
  <c r="Q151" i="10" s="1"/>
  <c r="M215" i="10"/>
  <c r="M255" i="10"/>
  <c r="M198" i="10"/>
  <c r="N198" i="10" s="1"/>
  <c r="O198" i="10" s="1"/>
  <c r="Q198" i="10" s="1"/>
  <c r="M286" i="10"/>
  <c r="M167" i="10"/>
  <c r="N167" i="10" s="1"/>
  <c r="O167" i="10" s="1"/>
  <c r="Q167" i="10" s="1"/>
  <c r="M117" i="10"/>
  <c r="M201" i="10"/>
  <c r="N201" i="10" s="1"/>
  <c r="O201" i="10" s="1"/>
  <c r="Q201" i="10" s="1"/>
  <c r="M136" i="10"/>
  <c r="N136" i="10" s="1"/>
  <c r="O136" i="10" s="1"/>
  <c r="Q136" i="10" s="1"/>
  <c r="M130" i="10"/>
  <c r="M297" i="10"/>
  <c r="M207" i="10"/>
  <c r="M259" i="10"/>
  <c r="M128" i="10"/>
  <c r="N128" i="10" s="1"/>
  <c r="O128" i="10" s="1"/>
  <c r="Q128" i="10" s="1"/>
  <c r="M166" i="10"/>
  <c r="M285" i="10"/>
  <c r="M63" i="10"/>
  <c r="M275" i="10"/>
  <c r="M193" i="10"/>
  <c r="N193" i="10" s="1"/>
  <c r="O193" i="10" s="1"/>
  <c r="Q193" i="10" s="1"/>
  <c r="M230" i="10"/>
  <c r="N230" i="10" s="1"/>
  <c r="O230" i="10" s="1"/>
  <c r="Q230" i="10" s="1"/>
  <c r="M244" i="10"/>
  <c r="N244" i="10" s="1"/>
  <c r="O244" i="10" s="1"/>
  <c r="Q244" i="10" s="1"/>
  <c r="M62" i="10"/>
  <c r="M296" i="10"/>
  <c r="N296" i="10" s="1"/>
  <c r="M241" i="10"/>
  <c r="N241" i="10" s="1"/>
  <c r="O241" i="10" s="1"/>
  <c r="Q241" i="10" s="1"/>
  <c r="N42" i="10"/>
  <c r="O42" i="10" s="1"/>
  <c r="Q42" i="10" s="1"/>
  <c r="N48" i="10"/>
  <c r="O48" i="10" s="1"/>
  <c r="Q48" i="10" s="1"/>
  <c r="N56" i="10"/>
  <c r="O56" i="10" s="1"/>
  <c r="Q56" i="10" s="1"/>
  <c r="N80" i="10"/>
  <c r="O80" i="10" s="1"/>
  <c r="Q80" i="10" s="1"/>
  <c r="N88" i="10"/>
  <c r="O88" i="10" s="1"/>
  <c r="Q88" i="10" s="1"/>
  <c r="N96" i="10"/>
  <c r="O96" i="10" s="1"/>
  <c r="Q96" i="10" s="1"/>
  <c r="N104" i="10"/>
  <c r="O104" i="10" s="1"/>
  <c r="Q104" i="10" s="1"/>
  <c r="N120" i="10"/>
  <c r="O120" i="10" s="1"/>
  <c r="Q120" i="10" s="1"/>
  <c r="N144" i="10"/>
  <c r="O144" i="10" s="1"/>
  <c r="Q144" i="10" s="1"/>
  <c r="N160" i="10"/>
  <c r="O160" i="10" s="1"/>
  <c r="Q160" i="10" s="1"/>
  <c r="N192" i="10"/>
  <c r="O192" i="10" s="1"/>
  <c r="Q192" i="10" s="1"/>
  <c r="N200" i="10"/>
  <c r="O200" i="10" s="1"/>
  <c r="Q200" i="10" s="1"/>
  <c r="N65" i="10"/>
  <c r="O65" i="10" s="1"/>
  <c r="Q65" i="10" s="1"/>
  <c r="N105" i="10"/>
  <c r="O105" i="10" s="1"/>
  <c r="Q105" i="10" s="1"/>
  <c r="N113" i="10"/>
  <c r="O113" i="10" s="1"/>
  <c r="Q113" i="10" s="1"/>
  <c r="N121" i="10"/>
  <c r="O121" i="10" s="1"/>
  <c r="Q121" i="10" s="1"/>
  <c r="N137" i="10"/>
  <c r="O137" i="10" s="1"/>
  <c r="Q137" i="10" s="1"/>
  <c r="N153" i="10"/>
  <c r="O153" i="10" s="1"/>
  <c r="Q153" i="10" s="1"/>
  <c r="N161" i="10"/>
  <c r="O161" i="10" s="1"/>
  <c r="Q161" i="10" s="1"/>
  <c r="N169" i="10"/>
  <c r="O169" i="10" s="1"/>
  <c r="Q169" i="10" s="1"/>
  <c r="N185" i="10"/>
  <c r="O185" i="10" s="1"/>
  <c r="Q185" i="10" s="1"/>
  <c r="N209" i="10"/>
  <c r="O209" i="10" s="1"/>
  <c r="Q209" i="10" s="1"/>
  <c r="N225" i="10"/>
  <c r="O225" i="10" s="1"/>
  <c r="Q225" i="10" s="1"/>
  <c r="N233" i="10"/>
  <c r="O233" i="10" s="1"/>
  <c r="Q233" i="10" s="1"/>
  <c r="N50" i="10"/>
  <c r="O50" i="10" s="1"/>
  <c r="Q50" i="10" s="1"/>
  <c r="N58" i="10"/>
  <c r="O58" i="10" s="1"/>
  <c r="Q58" i="10" s="1"/>
  <c r="N66" i="10"/>
  <c r="O66" i="10" s="1"/>
  <c r="Q66" i="10" s="1"/>
  <c r="N74" i="10"/>
  <c r="O74" i="10" s="1"/>
  <c r="Q74" i="10" s="1"/>
  <c r="N90" i="10"/>
  <c r="O90" i="10" s="1"/>
  <c r="Q90" i="10" s="1"/>
  <c r="N106" i="10"/>
  <c r="O106" i="10" s="1"/>
  <c r="Q106" i="10" s="1"/>
  <c r="N114" i="10"/>
  <c r="O114" i="10" s="1"/>
  <c r="Q114" i="10" s="1"/>
  <c r="N122" i="10"/>
  <c r="O122" i="10" s="1"/>
  <c r="Q122" i="10" s="1"/>
  <c r="N130" i="10"/>
  <c r="O130" i="10" s="1"/>
  <c r="Q130" i="10" s="1"/>
  <c r="N154" i="10"/>
  <c r="O154" i="10" s="1"/>
  <c r="Q154" i="10" s="1"/>
  <c r="N162" i="10"/>
  <c r="O162" i="10" s="1"/>
  <c r="Q162" i="10" s="1"/>
  <c r="N170" i="10"/>
  <c r="O170" i="10" s="1"/>
  <c r="Q170" i="10" s="1"/>
  <c r="N178" i="10"/>
  <c r="O178" i="10" s="1"/>
  <c r="Q178" i="10" s="1"/>
  <c r="N194" i="10"/>
  <c r="O194" i="10" s="1"/>
  <c r="Q194" i="10" s="1"/>
  <c r="N210" i="10"/>
  <c r="O210" i="10" s="1"/>
  <c r="Q210" i="10" s="1"/>
  <c r="N234" i="10"/>
  <c r="O234" i="10" s="1"/>
  <c r="Q234" i="10" s="1"/>
  <c r="N43" i="10"/>
  <c r="O43" i="10" s="1"/>
  <c r="Q43" i="10" s="1"/>
  <c r="N59" i="10"/>
  <c r="O59" i="10" s="1"/>
  <c r="Q59" i="10" s="1"/>
  <c r="N75" i="10"/>
  <c r="O75" i="10" s="1"/>
  <c r="Q75" i="10" s="1"/>
  <c r="N99" i="10"/>
  <c r="O99" i="10" s="1"/>
  <c r="Q99" i="10" s="1"/>
  <c r="N107" i="10"/>
  <c r="O107" i="10" s="1"/>
  <c r="Q107" i="10" s="1"/>
  <c r="N115" i="10"/>
  <c r="O115" i="10" s="1"/>
  <c r="Q115" i="10" s="1"/>
  <c r="N123" i="10"/>
  <c r="O123" i="10" s="1"/>
  <c r="Q123" i="10" s="1"/>
  <c r="N139" i="10"/>
  <c r="O139" i="10" s="1"/>
  <c r="Q139" i="10" s="1"/>
  <c r="N147" i="10"/>
  <c r="O147" i="10" s="1"/>
  <c r="Q147" i="10" s="1"/>
  <c r="N155" i="10"/>
  <c r="O155" i="10" s="1"/>
  <c r="Q155" i="10" s="1"/>
  <c r="N171" i="10"/>
  <c r="O171" i="10" s="1"/>
  <c r="Q171" i="10" s="1"/>
  <c r="N179" i="10"/>
  <c r="O179" i="10" s="1"/>
  <c r="Q179" i="10" s="1"/>
  <c r="N187" i="10"/>
  <c r="O187" i="10" s="1"/>
  <c r="Q187" i="10" s="1"/>
  <c r="N195" i="10"/>
  <c r="O195" i="10" s="1"/>
  <c r="Q195" i="10" s="1"/>
  <c r="N44" i="10"/>
  <c r="O44" i="10" s="1"/>
  <c r="Q44" i="10" s="1"/>
  <c r="N60" i="10"/>
  <c r="O60" i="10" s="1"/>
  <c r="Q60" i="10" s="1"/>
  <c r="N76" i="10"/>
  <c r="O76" i="10" s="1"/>
  <c r="Q76" i="10" s="1"/>
  <c r="N92" i="10"/>
  <c r="O92" i="10" s="1"/>
  <c r="Q92" i="10" s="1"/>
  <c r="N100" i="10"/>
  <c r="O100" i="10" s="1"/>
  <c r="Q100" i="10" s="1"/>
  <c r="N45" i="10"/>
  <c r="O45" i="10" s="1"/>
  <c r="Q45" i="10" s="1"/>
  <c r="N63" i="10"/>
  <c r="O63" i="10" s="1"/>
  <c r="Q63" i="10" s="1"/>
  <c r="N86" i="10"/>
  <c r="O86" i="10" s="1"/>
  <c r="Q86" i="10" s="1"/>
  <c r="N108" i="10"/>
  <c r="O108" i="10" s="1"/>
  <c r="Q108" i="10" s="1"/>
  <c r="N140" i="10"/>
  <c r="O140" i="10" s="1"/>
  <c r="Q140" i="10" s="1"/>
  <c r="N156" i="10"/>
  <c r="O156" i="10" s="1"/>
  <c r="Q156" i="10" s="1"/>
  <c r="N172" i="10"/>
  <c r="O172" i="10" s="1"/>
  <c r="Q172" i="10" s="1"/>
  <c r="N188" i="10"/>
  <c r="O188" i="10" s="1"/>
  <c r="Q188" i="10" s="1"/>
  <c r="N204" i="10"/>
  <c r="O204" i="10" s="1"/>
  <c r="Q204" i="10" s="1"/>
  <c r="N214" i="10"/>
  <c r="O214" i="10" s="1"/>
  <c r="Q214" i="10" s="1"/>
  <c r="N252" i="10"/>
  <c r="O252" i="10" s="1"/>
  <c r="Q252" i="10" s="1"/>
  <c r="N260" i="10"/>
  <c r="O260" i="10" s="1"/>
  <c r="Q260" i="10" s="1"/>
  <c r="N268" i="10"/>
  <c r="O268" i="10" s="1"/>
  <c r="Q268" i="10" s="1"/>
  <c r="N276" i="10"/>
  <c r="O276" i="10" s="1"/>
  <c r="Q276" i="10" s="1"/>
  <c r="N284" i="10"/>
  <c r="N300" i="10"/>
  <c r="N166" i="10"/>
  <c r="O166" i="10" s="1"/>
  <c r="Q166" i="10" s="1"/>
  <c r="N46" i="10"/>
  <c r="O46" i="10" s="1"/>
  <c r="Q46" i="10" s="1"/>
  <c r="N69" i="10"/>
  <c r="O69" i="10" s="1"/>
  <c r="Q69" i="10" s="1"/>
  <c r="N87" i="10"/>
  <c r="O87" i="10" s="1"/>
  <c r="Q87" i="10" s="1"/>
  <c r="N109" i="10"/>
  <c r="O109" i="10" s="1"/>
  <c r="Q109" i="10" s="1"/>
  <c r="N141" i="10"/>
  <c r="O141" i="10" s="1"/>
  <c r="Q141" i="10" s="1"/>
  <c r="N173" i="10"/>
  <c r="O173" i="10" s="1"/>
  <c r="Q173" i="10" s="1"/>
  <c r="N205" i="10"/>
  <c r="O205" i="10" s="1"/>
  <c r="Q205" i="10" s="1"/>
  <c r="N215" i="10"/>
  <c r="O215" i="10" s="1"/>
  <c r="Q215" i="10" s="1"/>
  <c r="N227" i="10"/>
  <c r="O227" i="10" s="1"/>
  <c r="Q227" i="10" s="1"/>
  <c r="N237" i="10"/>
  <c r="O237" i="10" s="1"/>
  <c r="Q237" i="10" s="1"/>
  <c r="N245" i="10"/>
  <c r="O245" i="10" s="1"/>
  <c r="Q245" i="10" s="1"/>
  <c r="N253" i="10"/>
  <c r="O253" i="10" s="1"/>
  <c r="Q253" i="10" s="1"/>
  <c r="N261" i="10"/>
  <c r="O261" i="10" s="1"/>
  <c r="Q261" i="10" s="1"/>
  <c r="N269" i="10"/>
  <c r="O269" i="10" s="1"/>
  <c r="Q269" i="10" s="1"/>
  <c r="N277" i="10"/>
  <c r="O277" i="10" s="1"/>
  <c r="Q277" i="10" s="1"/>
  <c r="N285" i="10"/>
  <c r="N293" i="10"/>
  <c r="N301" i="10"/>
  <c r="N118" i="10"/>
  <c r="O118" i="10" s="1"/>
  <c r="Q118" i="10" s="1"/>
  <c r="N212" i="10"/>
  <c r="O212" i="10" s="1"/>
  <c r="Q212" i="10" s="1"/>
  <c r="N266" i="10"/>
  <c r="O266" i="10" s="1"/>
  <c r="Q266" i="10" s="1"/>
  <c r="N70" i="10"/>
  <c r="O70" i="10" s="1"/>
  <c r="Q70" i="10" s="1"/>
  <c r="N93" i="10"/>
  <c r="O93" i="10" s="1"/>
  <c r="Q93" i="10" s="1"/>
  <c r="N110" i="10"/>
  <c r="O110" i="10" s="1"/>
  <c r="Q110" i="10" s="1"/>
  <c r="N126" i="10"/>
  <c r="O126" i="10" s="1"/>
  <c r="Q126" i="10" s="1"/>
  <c r="N216" i="10"/>
  <c r="O216" i="10" s="1"/>
  <c r="Q216" i="10" s="1"/>
  <c r="N238" i="10"/>
  <c r="O238" i="10" s="1"/>
  <c r="Q238" i="10" s="1"/>
  <c r="N246" i="10"/>
  <c r="O246" i="10" s="1"/>
  <c r="Q246" i="10" s="1"/>
  <c r="N254" i="10"/>
  <c r="O254" i="10" s="1"/>
  <c r="Q254" i="10" s="1"/>
  <c r="N286" i="10"/>
  <c r="N294" i="10"/>
  <c r="N302" i="10"/>
  <c r="N182" i="10"/>
  <c r="O182" i="10" s="1"/>
  <c r="Q182" i="10" s="1"/>
  <c r="N242" i="10"/>
  <c r="O242" i="10" s="1"/>
  <c r="Q242" i="10" s="1"/>
  <c r="N282" i="10"/>
  <c r="O282" i="10" s="1"/>
  <c r="Q282" i="10" s="1"/>
  <c r="N53" i="10"/>
  <c r="O53" i="10" s="1"/>
  <c r="Q53" i="10" s="1"/>
  <c r="N71" i="10"/>
  <c r="O71" i="10" s="1"/>
  <c r="Q71" i="10" s="1"/>
  <c r="N94" i="10"/>
  <c r="O94" i="10" s="1"/>
  <c r="Q94" i="10" s="1"/>
  <c r="N111" i="10"/>
  <c r="O111" i="10" s="1"/>
  <c r="Q111" i="10" s="1"/>
  <c r="N159" i="10"/>
  <c r="O159" i="10" s="1"/>
  <c r="Q159" i="10" s="1"/>
  <c r="N191" i="10"/>
  <c r="O191" i="10" s="1"/>
  <c r="Q191" i="10" s="1"/>
  <c r="N207" i="10"/>
  <c r="O207" i="10" s="1"/>
  <c r="Q207" i="10" s="1"/>
  <c r="N219" i="10"/>
  <c r="O219" i="10" s="1"/>
  <c r="Q219" i="10" s="1"/>
  <c r="N255" i="10"/>
  <c r="O255" i="10" s="1"/>
  <c r="Q255" i="10" s="1"/>
  <c r="N271" i="10"/>
  <c r="O271" i="10" s="1"/>
  <c r="Q271" i="10" s="1"/>
  <c r="N295" i="10"/>
  <c r="N303" i="10"/>
  <c r="N258" i="10"/>
  <c r="O258" i="10" s="1"/>
  <c r="Q258" i="10" s="1"/>
  <c r="N54" i="10"/>
  <c r="O54" i="10" s="1"/>
  <c r="Q54" i="10" s="1"/>
  <c r="N77" i="10"/>
  <c r="O77" i="10" s="1"/>
  <c r="Q77" i="10" s="1"/>
  <c r="N95" i="10"/>
  <c r="O95" i="10" s="1"/>
  <c r="Q95" i="10" s="1"/>
  <c r="N132" i="10"/>
  <c r="O132" i="10" s="1"/>
  <c r="Q132" i="10" s="1"/>
  <c r="N148" i="10"/>
  <c r="O148" i="10" s="1"/>
  <c r="Q148" i="10" s="1"/>
  <c r="N164" i="10"/>
  <c r="O164" i="10" s="1"/>
  <c r="Q164" i="10" s="1"/>
  <c r="N196" i="10"/>
  <c r="O196" i="10" s="1"/>
  <c r="Q196" i="10" s="1"/>
  <c r="N208" i="10"/>
  <c r="O208" i="10" s="1"/>
  <c r="Q208" i="10" s="1"/>
  <c r="N220" i="10"/>
  <c r="O220" i="10" s="1"/>
  <c r="Q220" i="10" s="1"/>
  <c r="N248" i="10"/>
  <c r="O248" i="10" s="1"/>
  <c r="Q248" i="10" s="1"/>
  <c r="N256" i="10"/>
  <c r="O256" i="10" s="1"/>
  <c r="Q256" i="10" s="1"/>
  <c r="N272" i="10"/>
  <c r="O272" i="10" s="1"/>
  <c r="Q272" i="10" s="1"/>
  <c r="N280" i="10"/>
  <c r="O280" i="10" s="1"/>
  <c r="Q280" i="10" s="1"/>
  <c r="N288" i="10"/>
  <c r="N222" i="10"/>
  <c r="O222" i="10" s="1"/>
  <c r="Q222" i="10" s="1"/>
  <c r="N290" i="10"/>
  <c r="N55" i="10"/>
  <c r="O55" i="10" s="1"/>
  <c r="Q55" i="10" s="1"/>
  <c r="N101" i="10"/>
  <c r="O101" i="10" s="1"/>
  <c r="Q101" i="10" s="1"/>
  <c r="N117" i="10"/>
  <c r="O117" i="10" s="1"/>
  <c r="Q117" i="10" s="1"/>
  <c r="N133" i="10"/>
  <c r="O133" i="10" s="1"/>
  <c r="Q133" i="10" s="1"/>
  <c r="N165" i="10"/>
  <c r="O165" i="10" s="1"/>
  <c r="Q165" i="10" s="1"/>
  <c r="N181" i="10"/>
  <c r="O181" i="10" s="1"/>
  <c r="Q181" i="10" s="1"/>
  <c r="N197" i="10"/>
  <c r="O197" i="10" s="1"/>
  <c r="Q197" i="10" s="1"/>
  <c r="N211" i="10"/>
  <c r="O211" i="10" s="1"/>
  <c r="Q211" i="10" s="1"/>
  <c r="N231" i="10"/>
  <c r="O231" i="10" s="1"/>
  <c r="Q231" i="10" s="1"/>
  <c r="N249" i="10"/>
  <c r="O249" i="10" s="1"/>
  <c r="Q249" i="10" s="1"/>
  <c r="N257" i="10"/>
  <c r="O257" i="10" s="1"/>
  <c r="Q257" i="10" s="1"/>
  <c r="N265" i="10"/>
  <c r="O265" i="10" s="1"/>
  <c r="Q265" i="10" s="1"/>
  <c r="N273" i="10"/>
  <c r="O273" i="10" s="1"/>
  <c r="Q273" i="10" s="1"/>
  <c r="N289" i="10"/>
  <c r="N297" i="10"/>
  <c r="N305" i="10"/>
  <c r="N274" i="10"/>
  <c r="O274" i="10" s="1"/>
  <c r="Q274" i="10" s="1"/>
  <c r="N62" i="10"/>
  <c r="O62" i="10" s="1"/>
  <c r="Q62" i="10" s="1"/>
  <c r="N85" i="10"/>
  <c r="O85" i="10" s="1"/>
  <c r="Q85" i="10" s="1"/>
  <c r="N135" i="10"/>
  <c r="O135" i="10" s="1"/>
  <c r="Q135" i="10" s="1"/>
  <c r="N183" i="10"/>
  <c r="O183" i="10" s="1"/>
  <c r="Q183" i="10" s="1"/>
  <c r="N213" i="10"/>
  <c r="O213" i="10" s="1"/>
  <c r="Q213" i="10" s="1"/>
  <c r="N223" i="10"/>
  <c r="O223" i="10" s="1"/>
  <c r="Q223" i="10" s="1"/>
  <c r="N235" i="10"/>
  <c r="O235" i="10" s="1"/>
  <c r="Q235" i="10" s="1"/>
  <c r="N243" i="10"/>
  <c r="O243" i="10" s="1"/>
  <c r="Q243" i="10" s="1"/>
  <c r="N251" i="10"/>
  <c r="O251" i="10" s="1"/>
  <c r="Q251" i="10" s="1"/>
  <c r="N259" i="10"/>
  <c r="O259" i="10" s="1"/>
  <c r="Q259" i="10" s="1"/>
  <c r="N267" i="10"/>
  <c r="O267" i="10" s="1"/>
  <c r="Q267" i="10" s="1"/>
  <c r="N275" i="10"/>
  <c r="O275" i="10" s="1"/>
  <c r="Q275" i="10" s="1"/>
  <c r="N283" i="10"/>
  <c r="N291" i="10"/>
  <c r="N299" i="10"/>
  <c r="N232" i="10"/>
  <c r="O232" i="10" s="1"/>
  <c r="Q232" i="10" s="1"/>
  <c r="N298" i="10"/>
  <c r="O44" i="12"/>
  <c r="O45" i="12" s="1"/>
  <c r="O46" i="12" s="1"/>
  <c r="O47" i="12" s="1"/>
  <c r="O48" i="12" s="1"/>
  <c r="O49" i="12" s="1"/>
  <c r="O50" i="12" s="1"/>
  <c r="O51" i="12" s="1"/>
  <c r="I27" i="11"/>
  <c r="H32" i="11"/>
  <c r="H33" i="11" s="1"/>
  <c r="H34" i="11" s="1"/>
  <c r="H35" i="11" s="1"/>
  <c r="H36" i="11" s="1"/>
  <c r="H37" i="11" s="1"/>
  <c r="H38" i="11" s="1"/>
  <c r="H39" i="11" s="1"/>
  <c r="H40" i="11" s="1"/>
  <c r="H41" i="11" s="1"/>
  <c r="H42" i="11" s="1"/>
  <c r="H43" i="11" s="1"/>
  <c r="H44" i="11" s="1"/>
  <c r="H45" i="11" s="1"/>
  <c r="H46" i="11" s="1"/>
  <c r="H47" i="11" s="1"/>
  <c r="H48" i="11" s="1"/>
  <c r="H49" i="11" s="1"/>
  <c r="H50" i="11" s="1"/>
  <c r="H51" i="11" s="1"/>
  <c r="H52" i="11" s="1"/>
  <c r="H53" i="11" s="1"/>
  <c r="H54" i="11" s="1"/>
  <c r="H55" i="11" s="1"/>
  <c r="H56" i="11" s="1"/>
  <c r="H57" i="11" s="1"/>
  <c r="H58" i="11" s="1"/>
  <c r="H59" i="11" s="1"/>
  <c r="H60" i="11" s="1"/>
  <c r="H61" i="11" s="1"/>
  <c r="H62" i="11" s="1"/>
  <c r="H63" i="11" s="1"/>
  <c r="H64" i="11" s="1"/>
  <c r="H31" i="11"/>
  <c r="G12" i="11"/>
  <c r="T42" i="12"/>
  <c r="T43" i="12"/>
  <c r="O41" i="12"/>
  <c r="B42" i="12"/>
  <c r="B43" i="12" s="1"/>
  <c r="B34" i="11"/>
  <c r="C34" i="11"/>
  <c r="D34" i="11" s="1"/>
  <c r="O52" i="12" l="1"/>
  <c r="O53" i="12" s="1"/>
  <c r="T50" i="12"/>
  <c r="T51" i="12"/>
  <c r="T44" i="12"/>
  <c r="T45" i="12"/>
  <c r="B35" i="11"/>
  <c r="C35" i="11"/>
  <c r="C36" i="11" s="1"/>
  <c r="E33" i="11"/>
  <c r="E43" i="11"/>
  <c r="G13" i="11"/>
  <c r="F33" i="11" s="1"/>
  <c r="B44" i="12"/>
  <c r="C37" i="11"/>
  <c r="D36" i="11"/>
  <c r="D35" i="11"/>
  <c r="T52" i="12" l="1"/>
  <c r="O54" i="12"/>
  <c r="T53" i="12"/>
  <c r="T46" i="12"/>
  <c r="B36" i="11"/>
  <c r="F35" i="11"/>
  <c r="E35" i="11"/>
  <c r="B37" i="11"/>
  <c r="F36" i="11"/>
  <c r="E36" i="11"/>
  <c r="E34" i="11"/>
  <c r="F34" i="11"/>
  <c r="B45" i="12"/>
  <c r="D37" i="11"/>
  <c r="C38" i="11"/>
  <c r="T54" i="12" l="1"/>
  <c r="O55" i="12"/>
  <c r="T47" i="12"/>
  <c r="B38" i="11"/>
  <c r="F37" i="11"/>
  <c r="E37" i="11"/>
  <c r="K45" i="11" s="1"/>
  <c r="L45" i="11" s="1"/>
  <c r="L30" i="11"/>
  <c r="K36" i="11"/>
  <c r="L36" i="11" s="1"/>
  <c r="K44" i="11"/>
  <c r="L44" i="11" s="1"/>
  <c r="K52" i="11"/>
  <c r="L52" i="11" s="1"/>
  <c r="K60" i="11"/>
  <c r="L60" i="11" s="1"/>
  <c r="K37" i="11"/>
  <c r="L37" i="11" s="1"/>
  <c r="K53" i="11"/>
  <c r="L53" i="11" s="1"/>
  <c r="K61" i="11"/>
  <c r="L61" i="11" s="1"/>
  <c r="K38" i="11"/>
  <c r="L38" i="11" s="1"/>
  <c r="K46" i="11"/>
  <c r="L46" i="11" s="1"/>
  <c r="K54" i="11"/>
  <c r="L54" i="11" s="1"/>
  <c r="K62" i="11"/>
  <c r="L62" i="11" s="1"/>
  <c r="K31" i="11"/>
  <c r="L31" i="11" s="1"/>
  <c r="K39" i="11"/>
  <c r="L39" i="11" s="1"/>
  <c r="K47" i="11"/>
  <c r="L47" i="11" s="1"/>
  <c r="K55" i="11"/>
  <c r="L55" i="11" s="1"/>
  <c r="K32" i="11"/>
  <c r="L32" i="11" s="1"/>
  <c r="K40" i="11"/>
  <c r="L40" i="11" s="1"/>
  <c r="K48" i="11"/>
  <c r="L48" i="11" s="1"/>
  <c r="K64" i="11"/>
  <c r="L64" i="11" s="1"/>
  <c r="K59" i="11"/>
  <c r="L59" i="11" s="1"/>
  <c r="K33" i="11"/>
  <c r="L33" i="11" s="1"/>
  <c r="K41" i="11"/>
  <c r="L41" i="11" s="1"/>
  <c r="K49" i="11"/>
  <c r="L49" i="11" s="1"/>
  <c r="K57" i="11"/>
  <c r="L57" i="11" s="1"/>
  <c r="K35" i="11"/>
  <c r="L35" i="11" s="1"/>
  <c r="K43" i="11"/>
  <c r="L43" i="11" s="1"/>
  <c r="K51" i="11"/>
  <c r="L51" i="11" s="1"/>
  <c r="K34" i="11"/>
  <c r="L34" i="11" s="1"/>
  <c r="K42" i="11"/>
  <c r="L42" i="11" s="1"/>
  <c r="K50" i="11"/>
  <c r="L50" i="11" s="1"/>
  <c r="B46" i="12"/>
  <c r="C39" i="11"/>
  <c r="D38" i="11"/>
  <c r="O56" i="12" l="1"/>
  <c r="O57" i="12" s="1"/>
  <c r="T55" i="12"/>
  <c r="T49" i="12"/>
  <c r="T48" i="12"/>
  <c r="B39" i="11"/>
  <c r="F38" i="11"/>
  <c r="E38" i="11"/>
  <c r="K58" i="11" s="1"/>
  <c r="L58" i="11" s="1"/>
  <c r="K56" i="11"/>
  <c r="L56" i="11" s="1"/>
  <c r="K63" i="11"/>
  <c r="L63" i="11" s="1"/>
  <c r="B47" i="12"/>
  <c r="C40" i="11"/>
  <c r="D40" i="11" s="1"/>
  <c r="D39" i="11"/>
  <c r="T56" i="12" l="1"/>
  <c r="E40" i="11"/>
  <c r="F40" i="11"/>
  <c r="B40" i="11"/>
  <c r="F39" i="11"/>
  <c r="E39" i="11"/>
  <c r="B48" i="12"/>
  <c r="V5" i="9" l="1"/>
  <c r="U5" i="9"/>
  <c r="T10" i="9"/>
  <c r="T11" i="9"/>
  <c r="T12" i="9"/>
  <c r="T13" i="9"/>
  <c r="T14" i="9"/>
  <c r="T15" i="9"/>
  <c r="T16" i="9"/>
  <c r="T17" i="9"/>
  <c r="T18" i="9"/>
  <c r="T19" i="9"/>
  <c r="T20" i="9"/>
  <c r="T21" i="9"/>
  <c r="T22" i="9"/>
  <c r="T23" i="9"/>
  <c r="T24" i="9"/>
  <c r="T25" i="9"/>
  <c r="T26" i="9"/>
  <c r="T27" i="9"/>
  <c r="T28"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83" i="9"/>
  <c r="T84" i="9"/>
  <c r="T85" i="9"/>
  <c r="T86" i="9"/>
  <c r="T87" i="9"/>
  <c r="T88" i="9"/>
  <c r="T89" i="9"/>
  <c r="T90" i="9"/>
  <c r="T91" i="9"/>
  <c r="T92"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124" i="9"/>
  <c r="T125" i="9"/>
  <c r="T126" i="9"/>
  <c r="T127" i="9"/>
  <c r="T128" i="9"/>
  <c r="T129" i="9"/>
  <c r="T130" i="9"/>
  <c r="T131" i="9"/>
  <c r="T132" i="9"/>
  <c r="T133" i="9"/>
  <c r="T134" i="9"/>
  <c r="T135" i="9"/>
  <c r="T136" i="9"/>
  <c r="T137" i="9"/>
  <c r="T138" i="9"/>
  <c r="T139" i="9"/>
  <c r="T140" i="9"/>
  <c r="T141" i="9"/>
  <c r="T142" i="9"/>
  <c r="T143" i="9"/>
  <c r="T144" i="9"/>
  <c r="T145" i="9"/>
  <c r="T146" i="9"/>
  <c r="T147" i="9"/>
  <c r="T148" i="9"/>
  <c r="T149" i="9"/>
  <c r="T150" i="9"/>
  <c r="T151" i="9"/>
  <c r="T152" i="9"/>
  <c r="T153" i="9"/>
  <c r="T154" i="9"/>
  <c r="T155" i="9"/>
  <c r="T156" i="9"/>
  <c r="T157" i="9"/>
  <c r="T158" i="9"/>
  <c r="T159" i="9"/>
  <c r="T160" i="9"/>
  <c r="T161" i="9"/>
  <c r="T162" i="9"/>
  <c r="T163" i="9"/>
  <c r="T164" i="9"/>
  <c r="T165" i="9"/>
  <c r="T166" i="9"/>
  <c r="T167" i="9"/>
  <c r="T168" i="9"/>
  <c r="T169" i="9"/>
  <c r="T170" i="9"/>
  <c r="T171" i="9"/>
  <c r="T172" i="9"/>
  <c r="T173" i="9"/>
  <c r="T174" i="9"/>
  <c r="T175" i="9"/>
  <c r="T176" i="9"/>
  <c r="T177" i="9"/>
  <c r="T178" i="9"/>
  <c r="T179" i="9"/>
  <c r="T180" i="9"/>
  <c r="T181" i="9"/>
  <c r="T182" i="9"/>
  <c r="T183" i="9"/>
  <c r="T184" i="9"/>
  <c r="T185" i="9"/>
  <c r="T186" i="9"/>
  <c r="T187" i="9"/>
  <c r="T188" i="9"/>
  <c r="T189" i="9"/>
  <c r="T190" i="9"/>
  <c r="T191" i="9"/>
  <c r="T192" i="9"/>
  <c r="T193" i="9"/>
  <c r="T194" i="9"/>
  <c r="T195" i="9"/>
  <c r="T196" i="9"/>
  <c r="T197" i="9"/>
  <c r="T198" i="9"/>
  <c r="T199" i="9"/>
  <c r="T200" i="9"/>
  <c r="T201" i="9"/>
  <c r="T202" i="9"/>
  <c r="T203" i="9"/>
  <c r="T204" i="9"/>
  <c r="T205" i="9"/>
  <c r="T206" i="9"/>
  <c r="T207" i="9"/>
  <c r="T208" i="9"/>
  <c r="T209" i="9"/>
  <c r="T210" i="9"/>
  <c r="T211" i="9"/>
  <c r="T212" i="9"/>
  <c r="T213" i="9"/>
  <c r="T214" i="9"/>
  <c r="T215" i="9"/>
  <c r="T216" i="9"/>
  <c r="T217" i="9"/>
  <c r="T9" i="9"/>
  <c r="R9" i="9"/>
  <c r="R16" i="9"/>
  <c r="R24" i="9"/>
  <c r="R32" i="9"/>
  <c r="R40" i="9"/>
  <c r="R48" i="9"/>
  <c r="R64" i="9"/>
  <c r="R80" i="9"/>
  <c r="R96" i="9"/>
  <c r="R104" i="9"/>
  <c r="R112" i="9"/>
  <c r="R120" i="9"/>
  <c r="R128" i="9"/>
  <c r="R136" i="9"/>
  <c r="R144" i="9"/>
  <c r="R152" i="9"/>
  <c r="R160" i="9"/>
  <c r="R168" i="9"/>
  <c r="R176" i="9"/>
  <c r="R184" i="9"/>
  <c r="R200" i="9"/>
  <c r="R216" i="9"/>
  <c r="R11" i="9"/>
  <c r="R14" i="9"/>
  <c r="R15" i="9"/>
  <c r="R19" i="9"/>
  <c r="R22" i="9"/>
  <c r="R23" i="9"/>
  <c r="R27" i="9"/>
  <c r="R30" i="9"/>
  <c r="R35" i="9"/>
  <c r="R38" i="9"/>
  <c r="R39" i="9"/>
  <c r="R43" i="9"/>
  <c r="R46" i="9"/>
  <c r="R47" i="9"/>
  <c r="R51" i="9"/>
  <c r="R54" i="9"/>
  <c r="R56" i="9"/>
  <c r="R59" i="9"/>
  <c r="R62" i="9"/>
  <c r="R63" i="9"/>
  <c r="R67" i="9"/>
  <c r="R70" i="9"/>
  <c r="R71" i="9"/>
  <c r="R72" i="9"/>
  <c r="R75" i="9"/>
  <c r="R78" i="9"/>
  <c r="R79" i="9"/>
  <c r="R83" i="9"/>
  <c r="R86" i="9"/>
  <c r="R87" i="9"/>
  <c r="R88" i="9"/>
  <c r="R91" i="9"/>
  <c r="R94" i="9"/>
  <c r="R99" i="9"/>
  <c r="R102" i="9"/>
  <c r="R103" i="9"/>
  <c r="R107" i="9"/>
  <c r="R110" i="9"/>
  <c r="R111" i="9"/>
  <c r="R115" i="9"/>
  <c r="R118" i="9"/>
  <c r="R123" i="9"/>
  <c r="R126" i="9"/>
  <c r="R127" i="9"/>
  <c r="R131" i="9"/>
  <c r="R134" i="9"/>
  <c r="R135" i="9"/>
  <c r="R139" i="9"/>
  <c r="R142" i="9"/>
  <c r="R143" i="9"/>
  <c r="R147" i="9"/>
  <c r="R150" i="9"/>
  <c r="R151" i="9"/>
  <c r="R155" i="9"/>
  <c r="R158" i="9"/>
  <c r="R163" i="9"/>
  <c r="R166" i="9"/>
  <c r="R167" i="9"/>
  <c r="R171" i="9"/>
  <c r="R174" i="9"/>
  <c r="R175" i="9"/>
  <c r="R179" i="9"/>
  <c r="R182" i="9"/>
  <c r="R187" i="9"/>
  <c r="R190" i="9"/>
  <c r="R191" i="9"/>
  <c r="R192" i="9"/>
  <c r="R195" i="9"/>
  <c r="R198" i="9"/>
  <c r="R199" i="9"/>
  <c r="R203" i="9"/>
  <c r="R206" i="9"/>
  <c r="R207" i="9"/>
  <c r="R208" i="9"/>
  <c r="R211" i="9"/>
  <c r="R214" i="9"/>
  <c r="R215" i="9"/>
  <c r="R10" i="9"/>
  <c r="R12" i="9"/>
  <c r="R13" i="9"/>
  <c r="R17" i="9"/>
  <c r="R18" i="9"/>
  <c r="R20" i="9"/>
  <c r="R21" i="9"/>
  <c r="R25" i="9"/>
  <c r="R26" i="9"/>
  <c r="R28" i="9"/>
  <c r="R29" i="9"/>
  <c r="R31" i="9"/>
  <c r="R33" i="9"/>
  <c r="R34" i="9"/>
  <c r="R36" i="9"/>
  <c r="R37" i="9"/>
  <c r="R41" i="9"/>
  <c r="R42" i="9"/>
  <c r="R44" i="9"/>
  <c r="R45" i="9"/>
  <c r="R49" i="9"/>
  <c r="R50" i="9"/>
  <c r="R52" i="9"/>
  <c r="R53" i="9"/>
  <c r="R55" i="9"/>
  <c r="R57" i="9"/>
  <c r="R58" i="9"/>
  <c r="R60" i="9"/>
  <c r="R61" i="9"/>
  <c r="R65" i="9"/>
  <c r="R66" i="9"/>
  <c r="R68" i="9"/>
  <c r="R69" i="9"/>
  <c r="R73" i="9"/>
  <c r="R74" i="9"/>
  <c r="R76" i="9"/>
  <c r="R77" i="9"/>
  <c r="R81" i="9"/>
  <c r="R82" i="9"/>
  <c r="R84" i="9"/>
  <c r="R85" i="9"/>
  <c r="R89" i="9"/>
  <c r="R90" i="9"/>
  <c r="R92" i="9"/>
  <c r="R93" i="9"/>
  <c r="R95" i="9"/>
  <c r="R97" i="9"/>
  <c r="R98" i="9"/>
  <c r="R100" i="9"/>
  <c r="R101" i="9"/>
  <c r="R105" i="9"/>
  <c r="R106" i="9"/>
  <c r="R108" i="9"/>
  <c r="R109" i="9"/>
  <c r="R113" i="9"/>
  <c r="R114" i="9"/>
  <c r="R116" i="9"/>
  <c r="R117" i="9"/>
  <c r="R119" i="9"/>
  <c r="R121" i="9"/>
  <c r="R122" i="9"/>
  <c r="R124" i="9"/>
  <c r="R125" i="9"/>
  <c r="R129" i="9"/>
  <c r="R130" i="9"/>
  <c r="R132" i="9"/>
  <c r="R133" i="9"/>
  <c r="R137" i="9"/>
  <c r="R138" i="9"/>
  <c r="R140" i="9"/>
  <c r="R141" i="9"/>
  <c r="R145" i="9"/>
  <c r="R146" i="9"/>
  <c r="R148" i="9"/>
  <c r="R149" i="9"/>
  <c r="R153" i="9"/>
  <c r="R154" i="9"/>
  <c r="R156" i="9"/>
  <c r="R157" i="9"/>
  <c r="R159" i="9"/>
  <c r="R161" i="9"/>
  <c r="R162" i="9"/>
  <c r="R164" i="9"/>
  <c r="R165" i="9"/>
  <c r="R169" i="9"/>
  <c r="R170" i="9"/>
  <c r="R172" i="9"/>
  <c r="R173" i="9"/>
  <c r="R177" i="9"/>
  <c r="R178" i="9"/>
  <c r="R180" i="9"/>
  <c r="R181" i="9"/>
  <c r="R183" i="9"/>
  <c r="R185" i="9"/>
  <c r="R186" i="9"/>
  <c r="R188" i="9"/>
  <c r="R189" i="9"/>
  <c r="R193" i="9"/>
  <c r="R194" i="9"/>
  <c r="R196" i="9"/>
  <c r="R197" i="9"/>
  <c r="R201" i="9"/>
  <c r="R202" i="9"/>
  <c r="R204" i="9"/>
  <c r="R205" i="9"/>
  <c r="R209" i="9"/>
  <c r="R210" i="9"/>
  <c r="R212" i="9"/>
  <c r="R213" i="9"/>
  <c r="R217" i="9"/>
  <c r="AE22" i="9"/>
  <c r="AE23" i="9"/>
  <c r="AE24" i="9"/>
  <c r="AE25" i="9"/>
  <c r="AE26" i="9"/>
  <c r="AE27" i="9"/>
  <c r="AE28" i="9"/>
  <c r="AE29" i="9"/>
  <c r="AE30" i="9"/>
  <c r="AE31" i="9"/>
  <c r="AE32" i="9"/>
  <c r="AE33" i="9"/>
  <c r="AE34" i="9"/>
  <c r="AE35" i="9"/>
  <c r="AE36" i="9"/>
  <c r="AE37" i="9"/>
  <c r="AE38" i="9"/>
  <c r="AE21" i="9"/>
  <c r="AD22" i="9"/>
  <c r="AD23" i="9"/>
  <c r="AD24" i="9"/>
  <c r="AD25" i="9"/>
  <c r="AD26" i="9"/>
  <c r="AD27" i="9"/>
  <c r="AD28" i="9"/>
  <c r="AD29" i="9"/>
  <c r="AD30" i="9"/>
  <c r="AD31" i="9"/>
  <c r="AD32" i="9"/>
  <c r="AD33" i="9"/>
  <c r="AD34" i="9"/>
  <c r="AD35" i="9"/>
  <c r="AD36" i="9"/>
  <c r="AD37" i="9"/>
  <c r="AD38" i="9"/>
  <c r="AD21" i="9"/>
  <c r="Z22" i="9"/>
  <c r="Z23" i="9"/>
  <c r="Z24" i="9"/>
  <c r="Z25" i="9"/>
  <c r="Z26" i="9"/>
  <c r="Z27" i="9"/>
  <c r="Z28" i="9"/>
  <c r="Z29" i="9"/>
  <c r="Z30" i="9"/>
  <c r="Z31" i="9"/>
  <c r="Z32" i="9"/>
  <c r="Z33" i="9"/>
  <c r="Z34" i="9"/>
  <c r="Z35" i="9"/>
  <c r="Z36" i="9"/>
  <c r="Z37" i="9"/>
  <c r="Y23" i="9"/>
  <c r="Y24" i="9"/>
  <c r="Y25" i="9"/>
  <c r="Y26" i="9" s="1"/>
  <c r="Y27" i="9" s="1"/>
  <c r="Y28" i="9" s="1"/>
  <c r="Y29" i="9" s="1"/>
  <c r="Y30" i="9" s="1"/>
  <c r="Y31" i="9" s="1"/>
  <c r="Y32" i="9" s="1"/>
  <c r="Y33" i="9" s="1"/>
  <c r="Y34" i="9" s="1"/>
  <c r="Y35" i="9" s="1"/>
  <c r="Y36" i="9" s="1"/>
  <c r="Y37" i="9" s="1"/>
  <c r="Y22" i="9"/>
  <c r="Z21" i="9"/>
  <c r="E71" i="8"/>
  <c r="E72" i="8"/>
  <c r="E73" i="8"/>
  <c r="E74" i="8"/>
  <c r="E75" i="8"/>
  <c r="E76" i="8"/>
  <c r="E77" i="8"/>
  <c r="G70" i="8"/>
  <c r="F70" i="8"/>
  <c r="E70" i="8"/>
  <c r="D57" i="8"/>
  <c r="D58" i="8"/>
  <c r="D56" i="8"/>
  <c r="G57" i="8"/>
  <c r="G58" i="8"/>
  <c r="G56" i="8"/>
  <c r="F57" i="8"/>
  <c r="E57" i="8"/>
  <c r="F58" i="8" s="1"/>
  <c r="E58" i="8"/>
  <c r="E56" i="8"/>
  <c r="G52" i="8"/>
  <c r="G53" i="8"/>
  <c r="G51" i="8"/>
  <c r="F53" i="8"/>
  <c r="F52" i="8"/>
  <c r="G46" i="8"/>
  <c r="G47" i="8"/>
  <c r="G48" i="8"/>
  <c r="G45" i="8"/>
  <c r="F47" i="8"/>
  <c r="F48" i="8"/>
  <c r="F46" i="8"/>
  <c r="G41" i="8"/>
  <c r="G42" i="8"/>
  <c r="G40" i="8"/>
  <c r="F42" i="8"/>
  <c r="F41" i="8"/>
  <c r="G37" i="8"/>
  <c r="G35" i="8"/>
  <c r="G36" i="8"/>
  <c r="G34" i="8"/>
  <c r="F36" i="8"/>
  <c r="F37" i="8"/>
  <c r="F35" i="8"/>
  <c r="E52" i="8"/>
  <c r="E53" i="8"/>
  <c r="E51" i="8"/>
  <c r="E46" i="8"/>
  <c r="E47" i="8"/>
  <c r="E48" i="8"/>
  <c r="E45" i="8"/>
  <c r="E41" i="8"/>
  <c r="E42" i="8"/>
  <c r="E40" i="8"/>
  <c r="E35" i="8"/>
  <c r="E36" i="8"/>
  <c r="E37" i="8"/>
  <c r="E34" i="8"/>
  <c r="D52" i="8"/>
  <c r="D53" i="8"/>
  <c r="D51" i="8"/>
  <c r="D46" i="8"/>
  <c r="D47" i="8"/>
  <c r="D48" i="8"/>
  <c r="D45" i="8"/>
  <c r="D41" i="8"/>
  <c r="D42" i="8"/>
  <c r="D40" i="8"/>
  <c r="D34" i="8"/>
  <c r="D35" i="8"/>
  <c r="D36" i="8"/>
  <c r="D37" i="8"/>
  <c r="Y44" i="3"/>
  <c r="X44" i="3"/>
  <c r="AC60" i="3"/>
  <c r="AC61" i="3"/>
  <c r="AC62" i="3"/>
  <c r="AC63" i="3"/>
  <c r="AB64" i="3"/>
  <c r="AC59" i="3"/>
  <c r="AD59" i="3" s="1"/>
  <c r="Y45" i="3"/>
  <c r="Y46" i="3"/>
  <c r="Y47" i="3"/>
  <c r="Y48" i="3"/>
  <c r="Y49" i="3"/>
  <c r="Y50" i="3"/>
  <c r="Y51" i="3"/>
  <c r="Y52" i="3"/>
  <c r="Y53" i="3"/>
  <c r="Y54" i="3"/>
  <c r="Y55" i="3"/>
  <c r="Y56" i="3"/>
  <c r="Y57" i="3"/>
  <c r="Y58" i="3"/>
  <c r="Y59" i="3"/>
  <c r="Y60" i="3"/>
  <c r="Y61" i="3"/>
  <c r="O15" i="2" l="1"/>
  <c r="AD60" i="3" l="1"/>
  <c r="AD61" i="3"/>
  <c r="AD62" i="3"/>
  <c r="AD63" i="3"/>
  <c r="X45" i="3"/>
  <c r="X46" i="3"/>
  <c r="X47" i="3"/>
  <c r="X48" i="3"/>
  <c r="X49" i="3"/>
  <c r="X50" i="3"/>
  <c r="X51" i="3"/>
  <c r="X52" i="3"/>
  <c r="X53" i="3"/>
  <c r="X54" i="3"/>
  <c r="X55" i="3"/>
  <c r="X56" i="3"/>
  <c r="X57" i="3"/>
  <c r="X58" i="3"/>
  <c r="X59" i="3"/>
  <c r="X60" i="3"/>
  <c r="X61" i="3"/>
  <c r="W45" i="3"/>
  <c r="W46" i="3"/>
  <c r="W47" i="3"/>
  <c r="W48" i="3"/>
  <c r="W49" i="3"/>
  <c r="W50" i="3"/>
  <c r="W51" i="3"/>
  <c r="W52" i="3"/>
  <c r="W53" i="3"/>
  <c r="W54" i="3"/>
  <c r="W55" i="3"/>
  <c r="W56" i="3"/>
  <c r="W57" i="3"/>
  <c r="W58" i="3"/>
  <c r="W59" i="3"/>
  <c r="W60" i="3"/>
  <c r="W61" i="3"/>
  <c r="W44" i="3"/>
  <c r="V45" i="3"/>
  <c r="V46" i="3"/>
  <c r="V47" i="3"/>
  <c r="V48" i="3"/>
  <c r="V49" i="3"/>
  <c r="V50" i="3"/>
  <c r="V51" i="3"/>
  <c r="V52" i="3"/>
  <c r="V53" i="3"/>
  <c r="V54" i="3"/>
  <c r="V55" i="3"/>
  <c r="V56" i="3"/>
  <c r="V57" i="3"/>
  <c r="V58" i="3"/>
  <c r="V59" i="3"/>
  <c r="V60" i="3"/>
  <c r="V61" i="3"/>
  <c r="V44" i="3"/>
  <c r="U44" i="3"/>
  <c r="U45" i="3"/>
  <c r="U46" i="3"/>
  <c r="U47" i="3"/>
  <c r="U48" i="3"/>
  <c r="U49" i="3"/>
  <c r="U50" i="3"/>
  <c r="U51" i="3"/>
  <c r="U52" i="3"/>
  <c r="U53" i="3"/>
  <c r="U54" i="3"/>
  <c r="U55" i="3"/>
  <c r="U56" i="3"/>
  <c r="U57" i="3"/>
  <c r="U58" i="3"/>
  <c r="U59" i="3"/>
  <c r="U60" i="3"/>
  <c r="U61" i="3"/>
  <c r="W22" i="3"/>
  <c r="W23" i="3"/>
  <c r="W21" i="3"/>
  <c r="W15" i="3"/>
  <c r="W16" i="3"/>
  <c r="W17" i="3"/>
  <c r="W14" i="3"/>
  <c r="W5" i="3"/>
  <c r="W6" i="3"/>
  <c r="W7" i="3"/>
  <c r="W8" i="3"/>
  <c r="W9" i="3"/>
  <c r="W10" i="3"/>
  <c r="V22" i="3"/>
  <c r="V23" i="3"/>
  <c r="V21" i="3"/>
  <c r="U23" i="3"/>
  <c r="U22" i="3"/>
  <c r="V15" i="3"/>
  <c r="V16" i="3"/>
  <c r="V17" i="3"/>
  <c r="V14" i="3"/>
  <c r="U16" i="3"/>
  <c r="U17" i="3"/>
  <c r="U15" i="3"/>
  <c r="V6" i="3"/>
  <c r="V7" i="3"/>
  <c r="V8" i="3"/>
  <c r="V9" i="3"/>
  <c r="V10" i="3"/>
  <c r="V5" i="3"/>
  <c r="U7" i="3"/>
  <c r="U8" i="3"/>
  <c r="U9" i="3"/>
  <c r="U10" i="3"/>
  <c r="U6" i="3"/>
  <c r="T22" i="3"/>
  <c r="T23" i="3"/>
  <c r="T15" i="3"/>
  <c r="T16" i="3"/>
  <c r="T17" i="3"/>
  <c r="T21" i="3"/>
  <c r="T14" i="3"/>
  <c r="T6" i="3"/>
  <c r="T7" i="3"/>
  <c r="T8" i="3"/>
  <c r="T9" i="3"/>
  <c r="T10" i="3"/>
  <c r="T5" i="3"/>
  <c r="S22" i="3"/>
  <c r="S23" i="3"/>
  <c r="S21" i="3"/>
  <c r="S14" i="3"/>
  <c r="S15" i="3"/>
  <c r="S16" i="3"/>
  <c r="S17" i="3"/>
  <c r="S5" i="3"/>
  <c r="S6" i="3"/>
  <c r="S7" i="3"/>
  <c r="S8" i="3"/>
  <c r="S9" i="3"/>
  <c r="S10" i="3"/>
  <c r="K15" i="2"/>
  <c r="K16" i="2"/>
  <c r="K17" i="2"/>
  <c r="K18" i="2"/>
  <c r="K19" i="2"/>
  <c r="K20" i="2"/>
  <c r="K21" i="2"/>
  <c r="K22" i="2"/>
  <c r="K23" i="2"/>
  <c r="K24" i="2"/>
  <c r="B21" i="2" l="1"/>
  <c r="C15" i="2" l="1"/>
  <c r="C20" i="2"/>
  <c r="C17" i="2"/>
  <c r="C18" i="2"/>
  <c r="C19" i="2"/>
  <c r="C16" i="2"/>
  <c r="Q45" i="3"/>
  <c r="Q46" i="3" s="1"/>
  <c r="Q47" i="3" s="1"/>
  <c r="Q48" i="3" s="1"/>
  <c r="Q49" i="3" s="1"/>
  <c r="Q50" i="3" s="1"/>
  <c r="Q51" i="3" s="1"/>
  <c r="Q52" i="3" s="1"/>
  <c r="Q53" i="3" s="1"/>
  <c r="Q54" i="3" s="1"/>
  <c r="Q55" i="3" s="1"/>
  <c r="Q56" i="3" s="1"/>
  <c r="Q57" i="3" s="1"/>
  <c r="Q58" i="3" s="1"/>
  <c r="Q59" i="3" s="1"/>
  <c r="Q60" i="3" s="1"/>
  <c r="Q61" i="3" s="1"/>
  <c r="A16" i="2"/>
  <c r="D18" i="2" l="1"/>
  <c r="E18" i="2" s="1"/>
  <c r="D19" i="2"/>
  <c r="E19" i="2" s="1"/>
  <c r="D15" i="2"/>
  <c r="E15" i="2" s="1"/>
  <c r="D20" i="2"/>
  <c r="E20" i="2" s="1"/>
  <c r="G20" i="2" s="1"/>
  <c r="D16" i="2"/>
  <c r="E16" i="2" s="1"/>
  <c r="D17" i="2"/>
  <c r="E17" i="2" s="1"/>
  <c r="A17" i="2"/>
  <c r="A18" i="2" s="1"/>
  <c r="A19" i="2" s="1"/>
  <c r="A20" i="2" s="1"/>
  <c r="G17" i="2" l="1"/>
  <c r="F18" i="2"/>
  <c r="H18" i="2" s="1"/>
  <c r="G16" i="2"/>
  <c r="F17" i="2"/>
  <c r="F16" i="2"/>
  <c r="H16" i="2" s="1"/>
  <c r="G15" i="2"/>
  <c r="H15" i="2" s="1"/>
  <c r="G19" i="2"/>
  <c r="F20" i="2"/>
  <c r="H20" i="2" s="1"/>
  <c r="G18" i="2"/>
  <c r="F19" i="2"/>
  <c r="H19" i="2" s="1"/>
  <c r="Q18" i="2" l="1"/>
  <c r="O22" i="2"/>
  <c r="M19" i="2"/>
  <c r="Q19" i="2"/>
  <c r="Q22" i="2"/>
  <c r="M23" i="2"/>
  <c r="M24" i="2"/>
  <c r="Q20" i="2"/>
  <c r="O16" i="2"/>
  <c r="O24" i="2"/>
  <c r="M21" i="2"/>
  <c r="H17" i="2"/>
  <c r="Q21" i="2"/>
  <c r="O17" i="2"/>
  <c r="M22" i="2"/>
  <c r="O18" i="2"/>
  <c r="O19" i="2"/>
  <c r="Q16" i="2"/>
  <c r="Q24" i="2"/>
  <c r="O20" i="2"/>
  <c r="M17" i="2"/>
  <c r="Q17" i="2"/>
  <c r="Q15" i="2"/>
  <c r="O21" i="2"/>
  <c r="M18" i="2"/>
  <c r="O23" i="2"/>
  <c r="M20" i="2"/>
  <c r="M15" i="2"/>
  <c r="Q23" i="2"/>
  <c r="M16" i="2"/>
  <c r="Q25" i="2" l="1"/>
  <c r="M25" i="2"/>
  <c r="O25" i="2"/>
</calcChain>
</file>

<file path=xl/sharedStrings.xml><?xml version="1.0" encoding="utf-8"?>
<sst xmlns="http://schemas.openxmlformats.org/spreadsheetml/2006/main" count="1368" uniqueCount="234">
  <si>
    <t>tag numbers</t>
  </si>
  <si>
    <t>x</t>
  </si>
  <si>
    <t>y</t>
  </si>
  <si>
    <t>z</t>
  </si>
  <si>
    <t>trial nr</t>
  </si>
  <si>
    <t>cumulative distribution of demand</t>
  </si>
  <si>
    <t>aux</t>
  </si>
  <si>
    <t>lower tag</t>
  </si>
  <si>
    <t>upper tag</t>
  </si>
  <si>
    <t>rand number for demand</t>
  </si>
  <si>
    <t>distribution of x</t>
  </si>
  <si>
    <t>cumulative distribution of x</t>
  </si>
  <si>
    <t>distribution of y</t>
  </si>
  <si>
    <t>cumulative distribution of y</t>
  </si>
  <si>
    <t>distribution of z</t>
  </si>
  <si>
    <t>cumulative distribution of z</t>
  </si>
  <si>
    <t>rand_x</t>
  </si>
  <si>
    <t>rand_y</t>
  </si>
  <si>
    <t>rand_z</t>
  </si>
  <si>
    <t>cumulative distribution</t>
  </si>
  <si>
    <t>week</t>
  </si>
  <si>
    <t>S</t>
  </si>
  <si>
    <t>D1</t>
  </si>
  <si>
    <t>D2</t>
  </si>
  <si>
    <t>distribution</t>
  </si>
  <si>
    <t>interval</t>
  </si>
  <si>
    <t>D1.5</t>
  </si>
  <si>
    <t>D2.5</t>
  </si>
  <si>
    <t>trial</t>
  </si>
  <si>
    <t>D</t>
  </si>
  <si>
    <t>G</t>
  </si>
  <si>
    <t>D=f(S)</t>
  </si>
  <si>
    <t>2) Assume the effectiveness function for a system is W = 5x + 2y + z where the variables x, y and z are described by the following probability distributions:</t>
  </si>
  <si>
    <t>class_w</t>
  </si>
  <si>
    <t>trials=18</t>
  </si>
  <si>
    <r>
      <t xml:space="preserve">3) The gross income/year = </t>
    </r>
    <r>
      <rPr>
        <b/>
        <sz val="11"/>
        <color theme="1"/>
        <rFont val="Arial"/>
        <family val="2"/>
      </rPr>
      <t>sales/year(D)</t>
    </r>
    <r>
      <rPr>
        <sz val="11"/>
        <color theme="1"/>
        <rFont val="Arial"/>
        <family val="2"/>
      </rPr>
      <t xml:space="preserve"> x </t>
    </r>
    <r>
      <rPr>
        <b/>
        <sz val="11"/>
        <color theme="1"/>
        <rFont val="Arial"/>
        <family val="2"/>
      </rPr>
      <t>selling price/unit (S)</t>
    </r>
    <r>
      <rPr>
        <sz val="11"/>
        <color theme="1"/>
        <rFont val="Arial"/>
        <family val="2"/>
      </rPr>
      <t>. In general, as the selling price decreases, sales increase (</t>
    </r>
    <r>
      <rPr>
        <b/>
        <sz val="11"/>
        <color theme="1"/>
        <rFont val="Arial"/>
        <family val="2"/>
      </rPr>
      <t>dependent variables</t>
    </r>
    <r>
      <rPr>
        <sz val="11"/>
        <color theme="1"/>
        <rFont val="Arial"/>
        <family val="2"/>
      </rPr>
      <t>). Calculate the gross income assuming the distributions below. Consider the random number for sales= 22 and the random number for selling price =73.</t>
    </r>
  </si>
  <si>
    <t>trial=8</t>
  </si>
  <si>
    <r>
      <t xml:space="preserve"> - </t>
    </r>
    <r>
      <rPr>
        <sz val="11"/>
        <color theme="1"/>
        <rFont val="Calibri"/>
        <family val="2"/>
        <scheme val="minor"/>
      </rPr>
      <t>calculate the gross income (G) for each trial:</t>
    </r>
    <r>
      <rPr>
        <b/>
        <sz val="11"/>
        <color theme="1"/>
        <rFont val="Calibri"/>
        <family val="2"/>
        <scheme val="minor"/>
      </rPr>
      <t xml:space="preserve"> </t>
    </r>
    <r>
      <rPr>
        <b/>
        <sz val="11"/>
        <color theme="2" tint="-0.499984740745262"/>
        <rFont val="Calibri"/>
        <family val="2"/>
        <scheme val="minor"/>
      </rPr>
      <t xml:space="preserve">gross income/year (G) </t>
    </r>
    <r>
      <rPr>
        <b/>
        <sz val="11"/>
        <color theme="1"/>
        <rFont val="Calibri"/>
        <family val="2"/>
        <scheme val="minor"/>
      </rPr>
      <t>=</t>
    </r>
    <r>
      <rPr>
        <b/>
        <sz val="11"/>
        <color theme="0" tint="-0.499984740745262"/>
        <rFont val="Calibri"/>
        <family val="2"/>
        <scheme val="minor"/>
      </rPr>
      <t xml:space="preserve"> </t>
    </r>
    <r>
      <rPr>
        <b/>
        <sz val="11"/>
        <color rgb="FFC00000"/>
        <rFont val="Calibri"/>
        <family val="2"/>
        <scheme val="minor"/>
      </rPr>
      <t>sales/year(D)</t>
    </r>
    <r>
      <rPr>
        <b/>
        <sz val="11"/>
        <color theme="1"/>
        <rFont val="Calibri"/>
        <family val="2"/>
        <scheme val="minor"/>
      </rPr>
      <t xml:space="preserve"> x </t>
    </r>
    <r>
      <rPr>
        <b/>
        <sz val="11"/>
        <color theme="0" tint="-0.499984740745262"/>
        <rFont val="Calibri"/>
        <family val="2"/>
        <scheme val="minor"/>
      </rPr>
      <t xml:space="preserve">selling price/unit (S) </t>
    </r>
  </si>
  <si>
    <r>
      <t xml:space="preserve"> - for each trial draw random numbers (=randbetween(1,100)), one for S and another for D (</t>
    </r>
    <r>
      <rPr>
        <i/>
        <sz val="11"/>
        <color theme="1"/>
        <rFont val="Calibri"/>
        <family val="2"/>
        <scheme val="minor"/>
      </rPr>
      <t>copy paste it, otherwise the values keep changing</t>
    </r>
    <r>
      <rPr>
        <sz val="11"/>
        <color theme="1"/>
        <rFont val="Calibri"/>
        <family val="2"/>
        <scheme val="minor"/>
      </rPr>
      <t>)</t>
    </r>
  </si>
  <si>
    <t xml:space="preserve"> a) for each trial draw random numbers (=randbetween(1,100)), for x, y and z (copy paste it, otherwise the values keep changing)</t>
  </si>
  <si>
    <t>a)</t>
  </si>
  <si>
    <t>rand_s</t>
  </si>
  <si>
    <t>rand_d</t>
  </si>
  <si>
    <t xml:space="preserve"> b) use the look up function to assing the distribution values to the random numbers from the proper tables</t>
  </si>
  <si>
    <t>b)</t>
  </si>
  <si>
    <t xml:space="preserve"> c) calculate the value of w according to the exercise: W = 5x + 2y + z </t>
  </si>
  <si>
    <t>W</t>
  </si>
  <si>
    <t>c)</t>
  </si>
  <si>
    <t>d)</t>
  </si>
  <si>
    <t xml:space="preserve"> d) assign a classe to the calculated W in each trial (apmlitude 10 starting in zero)</t>
  </si>
  <si>
    <t xml:space="preserve">    Determine by a simulation the distribution of the effectiveness function (W)</t>
  </si>
  <si>
    <t xml:space="preserve"> e) based on your simulations build the distribution of the effectiveness function (W)</t>
  </si>
  <si>
    <r>
      <t xml:space="preserve"> - use the Lookup function to assing the distribution values to the random numbers from the proper tables (</t>
    </r>
    <r>
      <rPr>
        <i/>
        <sz val="11"/>
        <color theme="1"/>
        <rFont val="Calibri"/>
        <family val="2"/>
        <scheme val="minor"/>
      </rPr>
      <t>see the grey and red boxes in the previous page</t>
    </r>
    <r>
      <rPr>
        <sz val="11"/>
        <color theme="1"/>
        <rFont val="Calibri"/>
        <family val="2"/>
        <scheme val="minor"/>
      </rPr>
      <t>)</t>
    </r>
  </si>
  <si>
    <t>e)</t>
  </si>
  <si>
    <t>rand number</t>
  </si>
  <si>
    <t>Building the lookup distribution table:</t>
  </si>
  <si>
    <t>nr of packs sold / week</t>
  </si>
  <si>
    <t>weeks</t>
  </si>
  <si>
    <t>Assume x, y, z are independent. Do not use the same random numbers for the different variables (x, y, z) because this might lead to correlation among variables</t>
  </si>
  <si>
    <t>Based on the analysis of the frequency of the sells per week of the past months, help RAIZ to simulatete the demand for the upcoming 10 weeks</t>
  </si>
  <si>
    <t>Simulation of a 10 weeks demand pattern:</t>
  </si>
  <si>
    <r>
      <t>If the </t>
    </r>
    <r>
      <rPr>
        <b/>
        <sz val="9"/>
        <color rgb="FF1E1E1E"/>
        <rFont val="Segoe UI"/>
        <family val="2"/>
      </rPr>
      <t>LOOKUP</t>
    </r>
    <r>
      <rPr>
        <sz val="9"/>
        <color rgb="FF1E1E1E"/>
        <rFont val="Segoe UI"/>
        <family val="2"/>
      </rPr>
      <t> function can't find the </t>
    </r>
    <r>
      <rPr>
        <b/>
        <i/>
        <sz val="9"/>
        <color rgb="FF1E1E1E"/>
        <rFont val="Segoe UI"/>
        <family val="2"/>
      </rPr>
      <t>lookup_value</t>
    </r>
    <r>
      <rPr>
        <sz val="9"/>
        <color rgb="FF1E1E1E"/>
        <rFont val="Segoe UI"/>
        <family val="2"/>
      </rPr>
      <t>, the function matches the largest value in </t>
    </r>
    <r>
      <rPr>
        <b/>
        <i/>
        <sz val="9"/>
        <color rgb="FF1E1E1E"/>
        <rFont val="Segoe UI"/>
        <family val="2"/>
      </rPr>
      <t>lookup_vector</t>
    </r>
    <r>
      <rPr>
        <sz val="9"/>
        <color rgb="FF1E1E1E"/>
        <rFont val="Segoe UI"/>
        <family val="2"/>
      </rPr>
      <t> that is less than or equal to </t>
    </r>
    <r>
      <rPr>
        <b/>
        <i/>
        <sz val="9"/>
        <color rgb="FF1E1E1E"/>
        <rFont val="Segoe UI"/>
        <family val="2"/>
      </rPr>
      <t>lookup_value</t>
    </r>
    <r>
      <rPr>
        <sz val="9"/>
        <color rgb="FF1E1E1E"/>
        <rFont val="Segoe UI"/>
        <family val="2"/>
      </rPr>
      <t>.</t>
    </r>
  </si>
  <si>
    <r>
      <t>If </t>
    </r>
    <r>
      <rPr>
        <b/>
        <i/>
        <sz val="9"/>
        <color rgb="FF1E1E1E"/>
        <rFont val="Segoe UI"/>
        <family val="2"/>
      </rPr>
      <t>lookup_value</t>
    </r>
    <r>
      <rPr>
        <sz val="9"/>
        <color rgb="FF1E1E1E"/>
        <rFont val="Segoe UI"/>
        <family val="2"/>
      </rPr>
      <t> is smaller than the smallest value in </t>
    </r>
    <r>
      <rPr>
        <b/>
        <i/>
        <sz val="9"/>
        <color rgb="FF1E1E1E"/>
        <rFont val="Segoe UI"/>
        <family val="2"/>
      </rPr>
      <t>lookup_vector</t>
    </r>
    <r>
      <rPr>
        <sz val="9"/>
        <color rgb="FF1E1E1E"/>
        <rFont val="Segoe UI"/>
        <family val="2"/>
      </rPr>
      <t>, </t>
    </r>
    <r>
      <rPr>
        <b/>
        <sz val="9"/>
        <color rgb="FF1E1E1E"/>
        <rFont val="Segoe UI"/>
        <family val="2"/>
      </rPr>
      <t>LOOKUP</t>
    </r>
    <r>
      <rPr>
        <sz val="9"/>
        <color rgb="FF1E1E1E"/>
        <rFont val="Segoe UI"/>
        <family val="2"/>
      </rPr>
      <t> returns the #N/A error value.</t>
    </r>
  </si>
  <si>
    <t>1.1)</t>
  </si>
  <si>
    <t>Suppose that RAIZ Nursery sells a random number of eucalyptus seedling packs per week. RAIZ wants to determine a policy for managing the production of seedling packs per week. Now they want to know how many eucalyptus seedling packs to produce based on their selling history.</t>
  </si>
  <si>
    <t>Demand/week distribution</t>
  </si>
  <si>
    <t>demand (trial1)</t>
  </si>
  <si>
    <t>demand (trial2)</t>
  </si>
  <si>
    <t>demand (trial3)</t>
  </si>
  <si>
    <t>sample size =3</t>
  </si>
  <si>
    <t>Looking at the data in the table below, you will see that only 139 of the 348 plots have a Site Index (S)</t>
  </si>
  <si>
    <t>plot_id</t>
  </si>
  <si>
    <t>C_NUTII_a</t>
  </si>
  <si>
    <t>Structure</t>
  </si>
  <si>
    <t>plot type</t>
  </si>
  <si>
    <t>Regime</t>
  </si>
  <si>
    <t>age</t>
  </si>
  <si>
    <t>even-aged</t>
  </si>
  <si>
    <t>Stand</t>
  </si>
  <si>
    <t>Planted</t>
  </si>
  <si>
    <t>Burnt</t>
  </si>
  <si>
    <t>Coppice</t>
  </si>
  <si>
    <t>Sem regime</t>
  </si>
  <si>
    <t>uneven-aged</t>
  </si>
  <si>
    <t>Harvested</t>
  </si>
  <si>
    <t>Gap</t>
  </si>
  <si>
    <t>Coppice mista</t>
  </si>
  <si>
    <t>Clump</t>
  </si>
  <si>
    <t>4.2) Do you think of any reason why extreme S values are to be excluded?</t>
  </si>
  <si>
    <t>4.1) Do you think of any reason for the high number of even-aged plots without S?</t>
  </si>
  <si>
    <t>4.3) Can you propose an expedite way to analyzing the data you've been provided?</t>
  </si>
  <si>
    <t>4.4) You have just been informed you will have to simulate the conversion of unevenaged stands to even-aged stands. What will you do?</t>
  </si>
  <si>
    <t>Row Labels</t>
  </si>
  <si>
    <t>10</t>
  </si>
  <si>
    <t>20</t>
  </si>
  <si>
    <t>30</t>
  </si>
  <si>
    <t>40</t>
  </si>
  <si>
    <t>Grand Total</t>
  </si>
  <si>
    <t>Count of trial nr</t>
  </si>
  <si>
    <t>Column Labels</t>
  </si>
  <si>
    <t>Bin</t>
  </si>
  <si>
    <t>More</t>
  </si>
  <si>
    <t>Frequency</t>
  </si>
  <si>
    <t>Cumulative %</t>
  </si>
  <si>
    <t>pdf</t>
  </si>
  <si>
    <t>cumulative</t>
  </si>
  <si>
    <t>VALUE (      IF(X44&lt;=10,"10",IF(X44&lt;=20,"20",IF(X44&lt;=30,"30","40")))     )</t>
  </si>
  <si>
    <t>price</t>
  </si>
  <si>
    <r>
      <t>4) I got ill and Margarida asked for your help to prepare the inputs to run some eucalyptus simulations using StandsSIM.md simulator. This tool requires information about site index; however, for some reason, S hasn't been estimated for all NFI plots. Using Monte Carlo simulation use the information of plots with S to assign S values to the remaining plots taking into co</t>
    </r>
    <r>
      <rPr>
        <b/>
        <sz val="11"/>
        <color theme="1"/>
        <rFont val="Calibri"/>
        <family val="2"/>
        <scheme val="minor"/>
      </rPr>
      <t>nsideration that  S values lower than 8 and greater than 26 should be disregarded</t>
    </r>
    <r>
      <rPr>
        <sz val="11"/>
        <color theme="1"/>
        <rFont val="Calibri"/>
        <family val="2"/>
        <scheme val="minor"/>
      </rPr>
      <t>. Consider S classes with range=1</t>
    </r>
  </si>
  <si>
    <t>upper</t>
  </si>
  <si>
    <t>lower</t>
  </si>
  <si>
    <t>rand</t>
  </si>
  <si>
    <t>RANDBETWEEN(0,100)</t>
  </si>
  <si>
    <t>S_final</t>
  </si>
  <si>
    <t>rand()</t>
  </si>
  <si>
    <t>F(x)</t>
  </si>
  <si>
    <t>upper lim</t>
  </si>
  <si>
    <t>d class</t>
  </si>
  <si>
    <t>lower lim</t>
  </si>
  <si>
    <t>(alternatively)</t>
  </si>
  <si>
    <t>range of the interval=</t>
  </si>
  <si>
    <t>d (cm)</t>
  </si>
  <si>
    <t>d_class</t>
  </si>
  <si>
    <t>r_2</t>
  </si>
  <si>
    <t>r_1</t>
  </si>
  <si>
    <t>id_arv</t>
  </si>
  <si>
    <t xml:space="preserve">Weibull distribution function: </t>
  </si>
  <si>
    <t>P90=</t>
  </si>
  <si>
    <t>dmin=</t>
  </si>
  <si>
    <r>
      <t>m</t>
    </r>
    <r>
      <rPr>
        <vertAlign val="superscript"/>
        <sz val="10"/>
        <rFont val="Arial"/>
        <family val="2"/>
      </rPr>
      <t>2</t>
    </r>
    <r>
      <rPr>
        <sz val="10"/>
        <rFont val="Arial"/>
        <family val="2"/>
      </rPr>
      <t xml:space="preserve"> ha</t>
    </r>
    <r>
      <rPr>
        <vertAlign val="superscript"/>
        <sz val="10"/>
        <rFont val="Arial"/>
        <family val="2"/>
      </rPr>
      <t>-1</t>
    </r>
  </si>
  <si>
    <t>G=</t>
  </si>
  <si>
    <t>c=</t>
  </si>
  <si>
    <t>m</t>
  </si>
  <si>
    <t>hdom=</t>
  </si>
  <si>
    <t>b=</t>
  </si>
  <si>
    <r>
      <t>ha</t>
    </r>
    <r>
      <rPr>
        <vertAlign val="superscript"/>
        <sz val="10"/>
        <rFont val="Arial"/>
        <family val="2"/>
      </rPr>
      <t>-1</t>
    </r>
  </si>
  <si>
    <t>N=</t>
  </si>
  <si>
    <t>a=</t>
  </si>
  <si>
    <t>years</t>
  </si>
  <si>
    <t>t=</t>
  </si>
  <si>
    <t>Weibull parameters</t>
  </si>
  <si>
    <t>Diameter distribution</t>
  </si>
  <si>
    <t>Summarizing the data:</t>
  </si>
  <si>
    <t>summarizing the data:</t>
  </si>
  <si>
    <t xml:space="preserve">Demand for pulp (units/week) and the lead time for pulp production (weeks) are given by theoretical distributions </t>
  </si>
  <si>
    <r>
      <t xml:space="preserve">demand has a </t>
    </r>
    <r>
      <rPr>
        <b/>
        <sz val="11"/>
        <color theme="5"/>
        <rFont val="Calibri"/>
        <family val="2"/>
        <scheme val="minor"/>
      </rPr>
      <t>normal</t>
    </r>
    <r>
      <rPr>
        <b/>
        <sz val="11"/>
        <color theme="1"/>
        <rFont val="Calibri"/>
        <family val="2"/>
        <scheme val="minor"/>
      </rPr>
      <t xml:space="preserve"> </t>
    </r>
    <r>
      <rPr>
        <sz val="11"/>
        <color theme="1"/>
        <rFont val="Calibri"/>
        <family val="2"/>
        <scheme val="minor"/>
      </rPr>
      <t>distribution:</t>
    </r>
  </si>
  <si>
    <t>std=</t>
  </si>
  <si>
    <r>
      <t xml:space="preserve">lead time has an </t>
    </r>
    <r>
      <rPr>
        <b/>
        <sz val="11"/>
        <color theme="5"/>
        <rFont val="Calibri"/>
        <family val="2"/>
        <scheme val="minor"/>
      </rPr>
      <t>exponential</t>
    </r>
    <r>
      <rPr>
        <sz val="11"/>
        <color theme="1"/>
        <rFont val="Calibri"/>
        <family val="2"/>
        <scheme val="minor"/>
      </rPr>
      <t xml:space="preserve"> distribution:</t>
    </r>
  </si>
  <si>
    <t>Quantity ordered (units)=</t>
  </si>
  <si>
    <t>Order point (units)=</t>
  </si>
  <si>
    <t>Initial stock (units)=</t>
  </si>
  <si>
    <r>
      <rPr>
        <b/>
        <sz val="11"/>
        <color theme="5"/>
        <rFont val="Calibri"/>
        <family val="2"/>
        <scheme val="minor"/>
      </rPr>
      <t>normal</t>
    </r>
    <r>
      <rPr>
        <sz val="11"/>
        <color theme="1"/>
        <rFont val="Calibri"/>
        <family val="2"/>
        <scheme val="minor"/>
      </rPr>
      <t xml:space="preserve"> distribution for demand considering a 50 units interval</t>
    </r>
  </si>
  <si>
    <t>lower xlow</t>
  </si>
  <si>
    <t>upper xup</t>
  </si>
  <si>
    <t>z=(xup-200)/50</t>
  </si>
  <si>
    <t>cummulative distribution of x</t>
  </si>
  <si>
    <r>
      <rPr>
        <b/>
        <sz val="11"/>
        <color theme="5"/>
        <rFont val="Calibri"/>
        <family val="2"/>
        <scheme val="minor"/>
      </rPr>
      <t>exponential</t>
    </r>
    <r>
      <rPr>
        <sz val="11"/>
        <color theme="1"/>
        <rFont val="Calibri"/>
        <family val="2"/>
        <scheme val="minor"/>
      </rPr>
      <t xml:space="preserve"> distribution for lead time considering 1 week interval</t>
    </r>
  </si>
  <si>
    <t>1-EXP(-uplim/1)</t>
  </si>
  <si>
    <t>Simulate a 16 weeks period:</t>
  </si>
  <si>
    <t xml:space="preserve"> - for each week draw random numbers (=randbetween(1,100)) that represent the demand</t>
  </si>
  <si>
    <t xml:space="preserve"> - use the Lookup function to assing the demand value to each week based on the Normal distribution (green table in the previous page)</t>
  </si>
  <si>
    <t xml:space="preserve"> - Knowing you started with 600 paper units, determine when you will have to order again (order point 200 units in red)</t>
  </si>
  <si>
    <t xml:space="preserve"> - whenever the order point is met, draw a second random number to estimate how long will the mill take to make the delivery</t>
  </si>
  <si>
    <t xml:space="preserve"> - update your stock as you go</t>
  </si>
  <si>
    <t>lookup</t>
  </si>
  <si>
    <t>r_demand</t>
  </si>
  <si>
    <t>demand</t>
  </si>
  <si>
    <r>
      <t>Stock (</t>
    </r>
    <r>
      <rPr>
        <i/>
        <sz val="9"/>
        <color rgb="FF0070C0"/>
        <rFont val="Calibri"/>
        <family val="2"/>
        <scheme val="minor"/>
      </rPr>
      <t>units of pulp  in the mill</t>
    </r>
    <r>
      <rPr>
        <sz val="9"/>
        <color rgb="FF0070C0"/>
        <rFont val="Calibri"/>
        <family val="2"/>
        <scheme val="minor"/>
      </rPr>
      <t>)</t>
    </r>
  </si>
  <si>
    <t>r_leadtime</t>
  </si>
  <si>
    <t>lead-time</t>
  </si>
  <si>
    <t>orders</t>
  </si>
  <si>
    <t>receive</t>
  </si>
  <si>
    <t xml:space="preserve"> order 600 units</t>
  </si>
  <si>
    <t>receive 600 units</t>
  </si>
  <si>
    <t>NOTE: this example represents a single trial. In a real live situation, if you really wanted to carry out an analysis and draw some conclusions you would have to build several of these tables and average the results.</t>
  </si>
  <si>
    <t>mean=</t>
  </si>
  <si>
    <t>NORM.DIST(upperlim,200,50,TRUE)</t>
  </si>
  <si>
    <t>Normsdist (z)</t>
  </si>
  <si>
    <r>
      <t>6) The demand for paper (units/week) at “</t>
    </r>
    <r>
      <rPr>
        <i/>
        <sz val="11"/>
        <color theme="1"/>
        <rFont val="Arial"/>
        <family val="2"/>
      </rPr>
      <t xml:space="preserve">The Old Library” shop has </t>
    </r>
    <r>
      <rPr>
        <sz val="11"/>
        <color theme="1"/>
        <rFont val="Arial"/>
        <family val="2"/>
      </rPr>
      <t>a normal distribution with a mean of 200 units per week and a standard deviation of 50 units per week. The lead time for paper production (weeks) follows an exponential distribution with a mean lead time of one week. Simulate the paper stock at “</t>
    </r>
    <r>
      <rPr>
        <i/>
        <sz val="11"/>
        <color theme="1"/>
        <rFont val="Arial"/>
        <family val="2"/>
      </rPr>
      <t xml:space="preserve">The Old Library” </t>
    </r>
    <r>
      <rPr>
        <sz val="11"/>
        <color theme="1"/>
        <rFont val="Arial"/>
        <family val="2"/>
      </rPr>
      <t>for 16 weeks assuming that the initial stock is 600 units and that whenever an order is made 600 units are ordered/delivered. The order point is 200 units.</t>
    </r>
  </si>
  <si>
    <t>a = 0.9 * dmin</t>
  </si>
  <si>
    <t>-LN(1-0.95)</t>
  </si>
  <si>
    <t>P90 =</t>
  </si>
  <si>
    <r>
      <t xml:space="preserve">5) The AOR students went on a visit to Leiria National Forest where they practiced forest inventory for a whole day. In a stand with 708 trees ha-1 a circular trial plot with 500 m2 was measured. By the end of the day while they were at a local restaurant waiting for dinner they calculated some stand variables such as hdom (10.5 m), basal area (21.8 m2ha-1), the minimum diameter (3.8 cm) and percentile 90 (27.2 cm). Unfortunately, after a few beers they left the restaurant leaving the field forms with the tree diameters behind. Feeling guilty for the loss they decided to use the Weibull probability density function to simulate the diameter distribution for this stand (considering </t>
    </r>
    <r>
      <rPr>
        <b/>
        <sz val="10"/>
        <color theme="6"/>
        <rFont val="Arial"/>
        <family val="2"/>
      </rPr>
      <t>c=3.6</t>
    </r>
    <r>
      <rPr>
        <sz val="10"/>
        <rFont val="Arial"/>
        <family val="2"/>
      </rPr>
      <t>, a=0.9 dmin, b=(P90-a)/(</t>
    </r>
    <r>
      <rPr>
        <sz val="10"/>
        <color theme="9"/>
        <rFont val="Arial"/>
        <family val="2"/>
      </rPr>
      <t>2.99573</t>
    </r>
    <r>
      <rPr>
        <sz val="10"/>
        <rFont val="Arial"/>
        <family val="2"/>
      </rPr>
      <t xml:space="preserve">^(1/c)).
</t>
    </r>
  </si>
  <si>
    <t>b = (P90 - a) / ((-ln(1-0.9)^(1/c))</t>
  </si>
  <si>
    <t>Please note that if you're provided any other percentile (e.g. P95) instead of P90, the calculus of a = 0.95*dmin and b =  (P95 - a) / ((-ln(1-0.95)^(1/c)). The value 2.99573 that shows in the instructions of the exercise for b (orange colour) corresponds to ( -LN(1-0.95) ), thus it is wrong you must calculate it for P90</t>
  </si>
  <si>
    <t>2-Weibul</t>
  </si>
  <si>
    <t>WEIBULL.DIST(upperlim,c ,b ,TRUE)</t>
  </si>
  <si>
    <t>For how many trees do I need to generate a diameter:</t>
  </si>
  <si>
    <t>Nr trees per ha</t>
  </si>
  <si>
    <r>
      <t>trees in 500 m</t>
    </r>
    <r>
      <rPr>
        <vertAlign val="superscript"/>
        <sz val="10"/>
        <rFont val="Arial"/>
        <family val="2"/>
      </rPr>
      <t>2</t>
    </r>
  </si>
  <si>
    <t>Let us build an histogram (3-Weibull)</t>
  </si>
  <si>
    <t>Let us build an histogram (2-Weibull)</t>
  </si>
  <si>
    <t>Cumulat</t>
  </si>
  <si>
    <t xml:space="preserve">Consider the plot Area = </t>
  </si>
  <si>
    <t>m2</t>
  </si>
  <si>
    <t xml:space="preserve">NOTES: </t>
  </si>
  <si>
    <t>i) cross-diameters at 1.30 m above soil level were measured</t>
  </si>
  <si>
    <t>ii) You have some stumps in the plot!</t>
  </si>
  <si>
    <t>Where,</t>
  </si>
  <si>
    <t>d, is the tree diameter at breast height (cm)</t>
  </si>
  <si>
    <r>
      <t>gi, is the tree basal area, PI()/40000*d^2, (m</t>
    </r>
    <r>
      <rPr>
        <vertAlign val="superscript"/>
        <sz val="11"/>
        <color theme="1"/>
        <rFont val="Calibri"/>
        <family val="2"/>
        <scheme val="minor"/>
      </rPr>
      <t>2</t>
    </r>
    <r>
      <rPr>
        <sz val="11"/>
        <color theme="1"/>
        <rFont val="Calibri"/>
        <family val="2"/>
        <scheme val="minor"/>
      </rPr>
      <t xml:space="preserve">) </t>
    </r>
  </si>
  <si>
    <r>
      <t>g, is the average basal area of the plot (m</t>
    </r>
    <r>
      <rPr>
        <vertAlign val="superscript"/>
        <sz val="11"/>
        <color theme="1"/>
        <rFont val="Calibri"/>
        <family val="2"/>
        <scheme val="minor"/>
      </rPr>
      <t>2</t>
    </r>
    <r>
      <rPr>
        <sz val="11"/>
        <color theme="1"/>
        <rFont val="Calibri"/>
        <family val="2"/>
        <scheme val="minor"/>
      </rPr>
      <t>)</t>
    </r>
  </si>
  <si>
    <r>
      <t>G, is the stand basal area (m</t>
    </r>
    <r>
      <rPr>
        <vertAlign val="superscript"/>
        <sz val="11"/>
        <color theme="1"/>
        <rFont val="Calibri"/>
        <family val="2"/>
        <scheme val="minor"/>
      </rPr>
      <t>2</t>
    </r>
    <r>
      <rPr>
        <sz val="11"/>
        <color theme="1"/>
        <rFont val="Calibri"/>
        <family val="2"/>
        <scheme val="minor"/>
      </rPr>
      <t>ha</t>
    </r>
    <r>
      <rPr>
        <vertAlign val="superscript"/>
        <sz val="11"/>
        <color theme="1"/>
        <rFont val="Calibri"/>
        <family val="2"/>
        <scheme val="minor"/>
      </rPr>
      <t>-1</t>
    </r>
    <r>
      <rPr>
        <sz val="11"/>
        <color theme="1"/>
        <rFont val="Calibri"/>
        <family val="2"/>
        <scheme val="minor"/>
      </rPr>
      <t>)</t>
    </r>
  </si>
  <si>
    <t>a) To calculate the probability of death of each tree make sure you have all the variables in the correrct units: d, g, gi (make sure you exclude stumps)</t>
  </si>
  <si>
    <t>b)  Apply the death function</t>
  </si>
  <si>
    <t>c) draw a random number to be compared with the death probability</t>
  </si>
  <si>
    <t>plot</t>
  </si>
  <si>
    <t>d) Compare the random number to the death probability: if rand&lt; Pdeath, the tree dies</t>
  </si>
  <si>
    <r>
      <t>G (m</t>
    </r>
    <r>
      <rPr>
        <vertAlign val="superscript"/>
        <sz val="11"/>
        <color theme="1"/>
        <rFont val="Calibri"/>
        <family val="2"/>
        <scheme val="minor"/>
      </rPr>
      <t>2</t>
    </r>
    <r>
      <rPr>
        <sz val="11"/>
        <color theme="1"/>
        <rFont val="Calibri"/>
        <family val="2"/>
        <scheme val="minor"/>
      </rPr>
      <t>ha</t>
    </r>
    <r>
      <rPr>
        <vertAlign val="superscript"/>
        <sz val="11"/>
        <color theme="1"/>
        <rFont val="Calibri"/>
        <family val="2"/>
        <scheme val="minor"/>
      </rPr>
      <t>-1</t>
    </r>
    <r>
      <rPr>
        <sz val="11"/>
        <color theme="1"/>
        <rFont val="Calibri"/>
        <family val="2"/>
        <scheme val="minor"/>
      </rPr>
      <t>)</t>
    </r>
  </si>
  <si>
    <t>g_sum</t>
  </si>
  <si>
    <t>G_avg</t>
  </si>
  <si>
    <t>ID_parc</t>
  </si>
  <si>
    <t>N_tree</t>
  </si>
  <si>
    <t>N_row</t>
  </si>
  <si>
    <t>Cod_tree</t>
  </si>
  <si>
    <t>C_XX</t>
  </si>
  <si>
    <t>C_YY</t>
  </si>
  <si>
    <t>d1        (cm)</t>
  </si>
  <si>
    <t>d2       (cm)</t>
  </si>
  <si>
    <t>h1</t>
  </si>
  <si>
    <t>Rg</t>
  </si>
  <si>
    <t>exp</t>
  </si>
  <si>
    <t>P(death)</t>
  </si>
  <si>
    <t>7) Simulate which trees will die in the plot using the death probability function:</t>
  </si>
  <si>
    <t>Red</t>
  </si>
  <si>
    <t>Normal distribution</t>
  </si>
  <si>
    <t>Standard normal distribution</t>
  </si>
  <si>
    <t>gi (m2)</t>
  </si>
  <si>
    <t>Formula for the circle with a diameter of "d":  PI()/40000*"d"^2</t>
  </si>
  <si>
    <t>Area circle: PI()*radius^2</t>
  </si>
  <si>
    <t>radius=d/2</t>
  </si>
  <si>
    <t>gi =</t>
  </si>
  <si>
    <t>r_death 1</t>
  </si>
  <si>
    <t>id_1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</si>
</sst>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7" formatCode="0.000000000000000"/>
    <numFmt numFmtId="168" formatCode="0.0000"/>
  </numFmts>
  <fonts count="54" x14ac:knownFonts="1">
    <font>
      <sz val="11"/>
      <color theme="1"/>
      <name val="Calibri"/>
      <family val="2"/>
      <scheme val="minor"/>
    </font>
    <font>
      <b/>
      <sz val="11"/>
      <color theme="1"/>
      <name val="Calibri"/>
      <family val="2"/>
      <scheme val="minor"/>
    </font>
    <font>
      <sz val="9"/>
      <color theme="1"/>
      <name val="Calibri"/>
      <family val="2"/>
      <scheme val="minor"/>
    </font>
    <font>
      <sz val="11"/>
      <color rgb="FF0070C0"/>
      <name val="Calibri"/>
      <family val="2"/>
      <scheme val="minor"/>
    </font>
    <font>
      <sz val="9"/>
      <color rgb="FF0070C0"/>
      <name val="Calibri"/>
      <family val="2"/>
      <scheme val="minor"/>
    </font>
    <font>
      <b/>
      <sz val="9"/>
      <color rgb="FF0070C0"/>
      <name val="Calibri"/>
      <family val="2"/>
      <scheme val="minor"/>
    </font>
    <font>
      <i/>
      <sz val="11"/>
      <color theme="1"/>
      <name val="Calibri"/>
      <family val="2"/>
      <scheme val="minor"/>
    </font>
    <font>
      <sz val="11"/>
      <color theme="0"/>
      <name val="Calibri"/>
      <family val="2"/>
      <scheme val="minor"/>
    </font>
    <font>
      <sz val="11"/>
      <color theme="0"/>
      <name val="Calibri"/>
      <family val="2"/>
    </font>
    <font>
      <sz val="10"/>
      <name val="Arial"/>
      <family val="2"/>
    </font>
    <font>
      <b/>
      <sz val="11"/>
      <color theme="0"/>
      <name val="Calibri"/>
      <family val="2"/>
      <scheme val="minor"/>
    </font>
    <font>
      <sz val="11"/>
      <color theme="1"/>
      <name val="Arial"/>
      <family val="2"/>
    </font>
    <font>
      <b/>
      <sz val="11"/>
      <color theme="1"/>
      <name val="Arial"/>
      <family val="2"/>
    </font>
    <font>
      <sz val="9"/>
      <color theme="0"/>
      <name val="Calibri"/>
      <family val="2"/>
      <scheme val="minor"/>
    </font>
    <font>
      <b/>
      <sz val="9"/>
      <color theme="0"/>
      <name val="Calibri"/>
      <family val="2"/>
      <scheme val="minor"/>
    </font>
    <font>
      <i/>
      <u/>
      <sz val="11"/>
      <color theme="1"/>
      <name val="Calibri"/>
      <family val="2"/>
      <scheme val="minor"/>
    </font>
    <font>
      <b/>
      <sz val="11"/>
      <color theme="2" tint="-0.499984740745262"/>
      <name val="Calibri"/>
      <family val="2"/>
      <scheme val="minor"/>
    </font>
    <font>
      <b/>
      <sz val="11"/>
      <color theme="0" tint="-0.499984740745262"/>
      <name val="Calibri"/>
      <family val="2"/>
      <scheme val="minor"/>
    </font>
    <font>
      <b/>
      <sz val="11"/>
      <color rgb="FFC00000"/>
      <name val="Calibri"/>
      <family val="2"/>
      <scheme val="minor"/>
    </font>
    <font>
      <sz val="11"/>
      <color rgb="FFC00000"/>
      <name val="Calibri"/>
      <family val="2"/>
      <scheme val="minor"/>
    </font>
    <font>
      <sz val="11"/>
      <color theme="2" tint="-0.499984740745262"/>
      <name val="Calibri"/>
      <family val="2"/>
      <scheme val="minor"/>
    </font>
    <font>
      <i/>
      <sz val="11"/>
      <color theme="0"/>
      <name val="Calibri"/>
      <family val="2"/>
      <scheme val="minor"/>
    </font>
    <font>
      <sz val="9"/>
      <color rgb="FF1E1E1E"/>
      <name val="Segoe UI"/>
      <family val="2"/>
    </font>
    <font>
      <b/>
      <sz val="9"/>
      <color rgb="FF1E1E1E"/>
      <name val="Segoe UI"/>
      <family val="2"/>
    </font>
    <font>
      <b/>
      <i/>
      <sz val="9"/>
      <color rgb="FF1E1E1E"/>
      <name val="Segoe UI"/>
      <family val="2"/>
    </font>
    <font>
      <sz val="10"/>
      <color theme="1"/>
      <name val="Arial"/>
      <family val="2"/>
    </font>
    <font>
      <b/>
      <sz val="10"/>
      <color theme="1"/>
      <name val="Arial"/>
      <family val="2"/>
    </font>
    <font>
      <sz val="11"/>
      <color rgb="FFFF0000"/>
      <name val="Calibri"/>
      <family val="2"/>
      <scheme val="minor"/>
    </font>
    <font>
      <sz val="9"/>
      <name val="Arial"/>
      <family val="2"/>
    </font>
    <font>
      <b/>
      <sz val="10"/>
      <color theme="0"/>
      <name val="Arial"/>
      <family val="2"/>
    </font>
    <font>
      <i/>
      <sz val="9"/>
      <color theme="1" tint="0.499984740745262"/>
      <name val="Arial"/>
      <family val="2"/>
    </font>
    <font>
      <sz val="10"/>
      <color theme="0"/>
      <name val="Arial"/>
      <family val="2"/>
    </font>
    <font>
      <b/>
      <sz val="10"/>
      <name val="Arial"/>
      <family val="2"/>
    </font>
    <font>
      <vertAlign val="superscript"/>
      <sz val="10"/>
      <name val="Arial"/>
      <family val="2"/>
    </font>
    <font>
      <i/>
      <sz val="11"/>
      <color theme="1"/>
      <name val="Arial"/>
      <family val="2"/>
    </font>
    <font>
      <b/>
      <sz val="11"/>
      <color theme="5"/>
      <name val="Calibri"/>
      <family val="2"/>
      <scheme val="minor"/>
    </font>
    <font>
      <sz val="11"/>
      <color theme="1" tint="4.9989318521683403E-2"/>
      <name val="Calibri"/>
      <family val="2"/>
      <scheme val="minor"/>
    </font>
    <font>
      <sz val="11"/>
      <color theme="1" tint="4.9989318521683403E-2"/>
      <name val="Symbol"/>
      <family val="1"/>
      <charset val="2"/>
    </font>
    <font>
      <i/>
      <sz val="9"/>
      <color rgb="FF0070C0"/>
      <name val="Calibri"/>
      <family val="2"/>
      <scheme val="minor"/>
    </font>
    <font>
      <sz val="11"/>
      <name val="Calibri"/>
      <family val="2"/>
      <scheme val="minor"/>
    </font>
    <font>
      <i/>
      <sz val="9"/>
      <color theme="1"/>
      <name val="Calibri"/>
      <family val="2"/>
      <scheme val="minor"/>
    </font>
    <font>
      <b/>
      <sz val="10"/>
      <color theme="6"/>
      <name val="Arial"/>
      <family val="2"/>
    </font>
    <font>
      <sz val="10"/>
      <color theme="9"/>
      <name val="Arial"/>
      <family val="2"/>
    </font>
    <font>
      <sz val="10"/>
      <color rgb="FFC00000"/>
      <name val="Arial"/>
      <family val="2"/>
    </font>
    <font>
      <sz val="11"/>
      <name val="Arial"/>
      <family val="2"/>
    </font>
    <font>
      <b/>
      <sz val="10"/>
      <color rgb="FFC00000"/>
      <name val="Arial"/>
      <family val="2"/>
    </font>
    <font>
      <sz val="16"/>
      <color theme="1"/>
      <name val="Calibri"/>
      <family val="2"/>
      <scheme val="minor"/>
    </font>
    <font>
      <vertAlign val="superscript"/>
      <sz val="11"/>
      <color theme="1"/>
      <name val="Calibri"/>
      <family val="2"/>
      <scheme val="minor"/>
    </font>
    <font>
      <sz val="11"/>
      <color theme="4"/>
      <name val="Calibri"/>
      <family val="2"/>
      <scheme val="minor"/>
    </font>
    <font>
      <sz val="11"/>
      <color theme="7"/>
      <name val="Calibri"/>
      <family val="2"/>
      <scheme val="minor"/>
    </font>
    <font>
      <sz val="11"/>
      <color theme="9"/>
      <name val="Calibri"/>
      <family val="2"/>
      <scheme val="minor"/>
    </font>
    <font>
      <sz val="10"/>
      <color indexed="8"/>
      <name val="Arial"/>
      <family val="2"/>
    </font>
    <font>
      <sz val="11"/>
      <color indexed="8"/>
      <name val="Calibri"/>
      <family val="2"/>
    </font>
    <font>
      <sz val="18"/>
      <color theme="0"/>
      <name val="Calibri"/>
      <family val="2"/>
      <scheme val="minor"/>
    </font>
  </fonts>
  <fills count="35">
    <fill>
      <patternFill patternType="none"/>
    </fill>
    <fill>
      <patternFill patternType="gray125"/>
    </fill>
    <fill>
      <patternFill patternType="solid">
        <fgColor rgb="FF99CC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99CC"/>
        <bgColor indexed="64"/>
      </patternFill>
    </fill>
    <fill>
      <patternFill patternType="solid">
        <fgColor theme="9"/>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8"/>
        <bgColor indexed="64"/>
      </patternFill>
    </fill>
    <fill>
      <patternFill patternType="solid">
        <fgColor theme="1" tint="0.34998626667073579"/>
        <bgColor indexed="64"/>
      </patternFill>
    </fill>
    <fill>
      <patternFill patternType="solid">
        <fgColor theme="9" tint="-0.249977111117893"/>
        <bgColor indexed="64"/>
      </patternFill>
    </fill>
    <fill>
      <patternFill patternType="solid">
        <fgColor theme="4"/>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indexed="22"/>
        <bgColor indexed="0"/>
      </patternFill>
    </fill>
    <fill>
      <patternFill patternType="solid">
        <fgColor theme="6" tint="-0.499984740745262"/>
        <bgColor indexed="64"/>
      </patternFill>
    </fill>
    <fill>
      <patternFill patternType="solid">
        <fgColor theme="4"/>
        <bgColor indexed="0"/>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9" fillId="0" borderId="0"/>
    <xf numFmtId="0" fontId="51" fillId="0" borderId="0"/>
  </cellStyleXfs>
  <cellXfs count="304">
    <xf numFmtId="0" fontId="0" fillId="0" borderId="0" xfId="0"/>
    <xf numFmtId="0" fontId="0" fillId="0" borderId="0" xfId="0" applyAlignment="1">
      <alignment horizontal="left"/>
    </xf>
    <xf numFmtId="0" fontId="0" fillId="0" borderId="0" xfId="0" applyAlignment="1">
      <alignment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0" xfId="0" applyBorder="1"/>
    <xf numFmtId="0" fontId="3" fillId="0" borderId="0" xfId="0" applyFont="1"/>
    <xf numFmtId="0" fontId="3" fillId="0" borderId="0" xfId="0" applyFont="1" applyBorder="1"/>
    <xf numFmtId="0" fontId="3" fillId="0" borderId="0" xfId="0" applyFont="1" applyBorder="1" applyAlignment="1">
      <alignment horizontal="center" vertical="center"/>
    </xf>
    <xf numFmtId="0" fontId="3" fillId="0" borderId="0" xfId="0" applyFont="1" applyBorder="1" applyAlignment="1">
      <alignment horizontal="center"/>
    </xf>
    <xf numFmtId="0" fontId="0" fillId="0" borderId="0" xfId="0" applyNumberFormat="1" applyFill="1" applyBorder="1" applyAlignment="1"/>
    <xf numFmtId="0" fontId="0" fillId="0" borderId="0" xfId="0" applyFill="1" applyBorder="1" applyAlignment="1"/>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xf>
    <xf numFmtId="0" fontId="0" fillId="0" borderId="0" xfId="0" applyNumberFormat="1"/>
    <xf numFmtId="0" fontId="7" fillId="9"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0" fillId="7" borderId="1" xfId="0" applyFill="1" applyBorder="1"/>
    <xf numFmtId="0" fontId="7" fillId="10" borderId="1" xfId="0" applyFont="1" applyFill="1" applyBorder="1" applyAlignment="1">
      <alignment horizontal="center"/>
    </xf>
    <xf numFmtId="0" fontId="7" fillId="11" borderId="1" xfId="0" applyFont="1" applyFill="1" applyBorder="1" applyAlignment="1">
      <alignment horizontal="center"/>
    </xf>
    <xf numFmtId="0" fontId="7" fillId="6" borderId="1" xfId="0" applyFont="1" applyFill="1" applyBorder="1" applyAlignment="1">
      <alignment horizont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7"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8" fillId="10" borderId="1" xfId="0" applyFont="1" applyFill="1" applyBorder="1" applyAlignment="1">
      <alignment horizontal="center" vertical="center" wrapText="1"/>
    </xf>
    <xf numFmtId="0" fontId="0" fillId="4" borderId="1" xfId="0" applyFill="1" applyBorder="1" applyAlignment="1">
      <alignment horizontal="center"/>
    </xf>
    <xf numFmtId="0" fontId="0" fillId="13" borderId="1" xfId="0" applyFill="1" applyBorder="1" applyAlignment="1">
      <alignment horizontal="center"/>
    </xf>
    <xf numFmtId="0" fontId="0" fillId="5" borderId="1" xfId="0" applyFill="1" applyBorder="1"/>
    <xf numFmtId="0" fontId="0" fillId="3" borderId="1" xfId="0" applyFill="1" applyBorder="1"/>
    <xf numFmtId="0" fontId="0" fillId="12" borderId="1" xfId="0" applyFill="1" applyBorder="1" applyAlignment="1">
      <alignment horizontal="center"/>
    </xf>
    <xf numFmtId="0" fontId="0" fillId="5" borderId="1" xfId="0" applyFill="1" applyBorder="1" applyAlignment="1">
      <alignment horizontal="center"/>
    </xf>
    <xf numFmtId="0" fontId="10" fillId="0" borderId="0" xfId="0" applyFont="1" applyFill="1" applyAlignment="1">
      <alignment horizontal="center" vertical="center"/>
    </xf>
    <xf numFmtId="0" fontId="1" fillId="0" borderId="0" xfId="0" applyFont="1" applyAlignment="1">
      <alignment horizontal="center" vertical="center"/>
    </xf>
    <xf numFmtId="0" fontId="13" fillId="14" borderId="1" xfId="0" applyFont="1" applyFill="1" applyBorder="1" applyAlignment="1">
      <alignment horizontal="center" vertical="center"/>
    </xf>
    <xf numFmtId="0" fontId="13" fillId="14" borderId="1" xfId="0" applyFont="1" applyFill="1" applyBorder="1" applyAlignment="1">
      <alignment horizontal="center" vertical="center" wrapText="1"/>
    </xf>
    <xf numFmtId="0" fontId="13" fillId="10" borderId="1" xfId="0" applyFont="1" applyFill="1" applyBorder="1" applyAlignment="1">
      <alignment horizontal="center" vertical="center"/>
    </xf>
    <xf numFmtId="0" fontId="13" fillId="10" borderId="1" xfId="0" applyFont="1" applyFill="1" applyBorder="1" applyAlignment="1">
      <alignment horizontal="center" vertical="center" wrapText="1"/>
    </xf>
    <xf numFmtId="0" fontId="7" fillId="10" borderId="0" xfId="0" applyFont="1" applyFill="1" applyAlignment="1">
      <alignment horizontal="center" vertical="center"/>
    </xf>
    <xf numFmtId="0" fontId="7" fillId="14" borderId="0" xfId="0" applyFont="1" applyFill="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7" fillId="11" borderId="0" xfId="0" applyFont="1" applyFill="1" applyAlignment="1">
      <alignment horizontal="center" vertical="center"/>
    </xf>
    <xf numFmtId="164" fontId="3" fillId="5" borderId="1" xfId="0" applyNumberFormat="1" applyFont="1" applyFill="1" applyBorder="1"/>
    <xf numFmtId="0" fontId="3" fillId="5" borderId="1" xfId="0" applyFont="1" applyFill="1" applyBorder="1" applyAlignment="1">
      <alignment horizontal="center"/>
    </xf>
    <xf numFmtId="0" fontId="3" fillId="5" borderId="1" xfId="0" applyFont="1" applyFill="1" applyBorder="1" applyAlignment="1">
      <alignment horizontal="center" vertical="center"/>
    </xf>
    <xf numFmtId="0" fontId="14" fillId="14" borderId="1" xfId="0" applyFont="1" applyFill="1" applyBorder="1" applyAlignment="1">
      <alignment horizontal="center" vertical="center"/>
    </xf>
    <xf numFmtId="0" fontId="14" fillId="10"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5" borderId="1" xfId="0" applyFont="1" applyFill="1" applyBorder="1" applyAlignment="1">
      <alignment horizontal="center" vertical="center"/>
    </xf>
    <xf numFmtId="0" fontId="13" fillId="15" borderId="1" xfId="0" applyFont="1" applyFill="1" applyBorder="1" applyAlignment="1">
      <alignment horizontal="center" vertical="center"/>
    </xf>
    <xf numFmtId="0" fontId="3" fillId="7" borderId="1" xfId="0" applyFont="1" applyFill="1" applyBorder="1"/>
    <xf numFmtId="0" fontId="3" fillId="7" borderId="1" xfId="0" applyFont="1" applyFill="1" applyBorder="1" applyAlignment="1">
      <alignment horizontal="center"/>
    </xf>
    <xf numFmtId="0" fontId="3" fillId="7" borderId="1" xfId="0" applyFont="1" applyFill="1" applyBorder="1" applyAlignment="1">
      <alignment horizontal="center" vertical="center"/>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horizontal="center" vertical="center"/>
    </xf>
    <xf numFmtId="0" fontId="3" fillId="8" borderId="1" xfId="0" applyFont="1" applyFill="1" applyBorder="1" applyAlignment="1">
      <alignment horizontal="center"/>
    </xf>
    <xf numFmtId="0" fontId="3" fillId="8" borderId="1" xfId="0" applyFont="1" applyFill="1" applyBorder="1" applyAlignment="1">
      <alignment horizontal="center" vertical="center"/>
    </xf>
    <xf numFmtId="0" fontId="6" fillId="0" borderId="0" xfId="0" applyFont="1" applyFill="1" applyBorder="1" applyAlignment="1">
      <alignment horizontal="center"/>
    </xf>
    <xf numFmtId="0" fontId="0" fillId="0" borderId="2" xfId="0" applyBorder="1"/>
    <xf numFmtId="0" fontId="11" fillId="0" borderId="0" xfId="0" applyFont="1" applyAlignment="1">
      <alignment vertical="center" wrapText="1"/>
    </xf>
    <xf numFmtId="0" fontId="0" fillId="0" borderId="2" xfId="0" applyBorder="1" applyAlignment="1">
      <alignment horizontal="center"/>
    </xf>
    <xf numFmtId="0" fontId="0" fillId="3" borderId="1" xfId="0" applyFill="1" applyBorder="1" applyAlignment="1">
      <alignment horizontal="center"/>
    </xf>
    <xf numFmtId="0" fontId="0" fillId="7" borderId="1" xfId="0" applyFill="1" applyBorder="1" applyAlignment="1">
      <alignment horizontal="center"/>
    </xf>
    <xf numFmtId="0" fontId="0" fillId="0" borderId="0" xfId="0" applyNumberFormat="1" applyFill="1" applyBorder="1" applyAlignment="1">
      <alignment vertical="center" wrapText="1"/>
    </xf>
    <xf numFmtId="0" fontId="0" fillId="0" borderId="0" xfId="0" applyAlignment="1">
      <alignment vertical="center"/>
    </xf>
    <xf numFmtId="0" fontId="15" fillId="0" borderId="0" xfId="0" applyFont="1" applyFill="1" applyBorder="1" applyAlignment="1">
      <alignment horizontal="center" vertical="center"/>
    </xf>
    <xf numFmtId="0" fontId="15" fillId="0" borderId="0" xfId="0" applyFont="1" applyAlignment="1">
      <alignment horizontal="center" vertical="center"/>
    </xf>
    <xf numFmtId="0" fontId="7" fillId="10" borderId="1" xfId="0" applyFont="1" applyFill="1" applyBorder="1" applyAlignment="1">
      <alignment vertical="center"/>
    </xf>
    <xf numFmtId="0" fontId="7" fillId="11" borderId="1" xfId="0" applyFont="1" applyFill="1" applyBorder="1" applyAlignment="1">
      <alignment vertical="center"/>
    </xf>
    <xf numFmtId="0" fontId="7" fillId="6" borderId="1" xfId="0" applyFont="1" applyFill="1" applyBorder="1" applyAlignment="1">
      <alignment vertical="center"/>
    </xf>
    <xf numFmtId="0" fontId="13" fillId="9" borderId="1" xfId="0" applyFont="1" applyFill="1" applyBorder="1" applyAlignment="1">
      <alignment horizontal="center" vertical="center"/>
    </xf>
    <xf numFmtId="0" fontId="1" fillId="0" borderId="0" xfId="0" applyFont="1"/>
    <xf numFmtId="0" fontId="10" fillId="9" borderId="1" xfId="0" applyFont="1" applyFill="1" applyBorder="1" applyAlignment="1">
      <alignment horizontal="center" vertical="center"/>
    </xf>
    <xf numFmtId="0" fontId="10" fillId="19" borderId="1" xfId="0" applyFont="1" applyFill="1" applyBorder="1" applyAlignment="1">
      <alignment horizontal="center" vertical="center"/>
    </xf>
    <xf numFmtId="0" fontId="10" fillId="17" borderId="1" xfId="0" applyFont="1" applyFill="1" applyBorder="1" applyAlignment="1">
      <alignment horizontal="center" vertical="center"/>
    </xf>
    <xf numFmtId="1" fontId="0" fillId="0" borderId="1" xfId="0" applyNumberFormat="1" applyBorder="1" applyAlignment="1">
      <alignment horizontal="center" vertical="center"/>
    </xf>
    <xf numFmtId="1" fontId="0" fillId="0" borderId="1" xfId="0" applyNumberFormat="1" applyBorder="1" applyAlignment="1">
      <alignment horizontal="center"/>
    </xf>
    <xf numFmtId="0" fontId="0" fillId="18" borderId="1" xfId="0" applyFill="1" applyBorder="1" applyAlignment="1">
      <alignment horizontal="center" vertical="center"/>
    </xf>
    <xf numFmtId="0" fontId="0" fillId="20" borderId="1" xfId="0" applyFill="1" applyBorder="1" applyAlignment="1">
      <alignment horizontal="center"/>
    </xf>
    <xf numFmtId="0" fontId="0" fillId="16" borderId="1" xfId="0" applyFill="1" applyBorder="1" applyAlignment="1">
      <alignment horizontal="center"/>
    </xf>
    <xf numFmtId="0" fontId="0" fillId="0" borderId="0" xfId="0" applyNumberFormat="1" applyFill="1" applyBorder="1" applyAlignment="1">
      <alignment vertical="center"/>
    </xf>
    <xf numFmtId="0" fontId="0" fillId="0" borderId="0" xfId="0" applyAlignment="1"/>
    <xf numFmtId="0" fontId="19" fillId="0" borderId="0" xfId="0" applyNumberFormat="1" applyFont="1" applyFill="1" applyBorder="1" applyAlignment="1">
      <alignment vertical="center"/>
    </xf>
    <xf numFmtId="0" fontId="19" fillId="0" borderId="0" xfId="0" applyNumberFormat="1" applyFont="1" applyFill="1" applyBorder="1" applyAlignment="1">
      <alignment vertical="center" wrapText="1"/>
    </xf>
    <xf numFmtId="0" fontId="19" fillId="0" borderId="0" xfId="0" applyFont="1"/>
    <xf numFmtId="0" fontId="20" fillId="0" borderId="0" xfId="0" applyFont="1"/>
    <xf numFmtId="0" fontId="20" fillId="0" borderId="0" xfId="0" applyFont="1" applyAlignment="1">
      <alignment horizontal="center" vertical="center"/>
    </xf>
    <xf numFmtId="0" fontId="0" fillId="0" borderId="2" xfId="0" applyBorder="1" applyAlignment="1">
      <alignment horizontal="center"/>
    </xf>
    <xf numFmtId="0" fontId="0" fillId="0" borderId="0" xfId="0" applyAlignment="1">
      <alignment horizontal="left" vertical="top"/>
    </xf>
    <xf numFmtId="0" fontId="0" fillId="0" borderId="0" xfId="0" applyFill="1" applyBorder="1"/>
    <xf numFmtId="0" fontId="0" fillId="0" borderId="0" xfId="0" applyFill="1" applyBorder="1" applyAlignment="1">
      <alignment horizontal="left"/>
    </xf>
    <xf numFmtId="0" fontId="0" fillId="0" borderId="0" xfId="0" applyNumberFormat="1" applyFill="1" applyBorder="1"/>
    <xf numFmtId="0" fontId="0" fillId="0" borderId="0" xfId="0" applyFill="1" applyBorder="1" applyAlignment="1">
      <alignment horizontal="right" vertical="center"/>
    </xf>
    <xf numFmtId="0" fontId="0" fillId="0" borderId="0" xfId="0" applyFill="1" applyBorder="1" applyAlignment="1">
      <alignment vertical="center"/>
    </xf>
    <xf numFmtId="0" fontId="21" fillId="0" borderId="0" xfId="0" applyFont="1" applyFill="1" applyBorder="1" applyAlignment="1">
      <alignment horizontal="center"/>
    </xf>
    <xf numFmtId="0" fontId="22" fillId="0" borderId="0" xfId="0" applyFont="1" applyAlignment="1">
      <alignment horizontal="left" vertical="center" indent="1"/>
    </xf>
    <xf numFmtId="0" fontId="0" fillId="0" borderId="0" xfId="0" applyBorder="1" applyAlignment="1">
      <alignment horizontal="right"/>
    </xf>
    <xf numFmtId="0" fontId="3" fillId="21" borderId="1" xfId="0" applyFont="1" applyFill="1" applyBorder="1" applyAlignment="1">
      <alignment horizontal="center"/>
    </xf>
    <xf numFmtId="0" fontId="3" fillId="21" borderId="1" xfId="0" applyFont="1" applyFill="1" applyBorder="1" applyAlignment="1">
      <alignment horizontal="center" vertical="center"/>
    </xf>
    <xf numFmtId="0" fontId="3" fillId="4" borderId="1" xfId="0" applyFont="1" applyFill="1" applyBorder="1" applyAlignment="1">
      <alignment horizontal="center" vertical="center"/>
    </xf>
    <xf numFmtId="1" fontId="7" fillId="0" borderId="1" xfId="0" applyNumberFormat="1" applyFont="1" applyBorder="1" applyAlignment="1">
      <alignment horizontal="center"/>
    </xf>
    <xf numFmtId="0" fontId="3" fillId="0" borderId="3" xfId="0" applyFont="1" applyFill="1" applyBorder="1" applyAlignment="1">
      <alignment horizontal="center" vertical="center"/>
    </xf>
    <xf numFmtId="0" fontId="0" fillId="0" borderId="0" xfId="0" applyBorder="1" applyAlignment="1">
      <alignment horizontal="center"/>
    </xf>
    <xf numFmtId="0" fontId="26" fillId="0" borderId="1" xfId="0" applyFont="1" applyBorder="1"/>
    <xf numFmtId="0" fontId="1" fillId="0" borderId="1" xfId="0" applyFont="1" applyBorder="1"/>
    <xf numFmtId="0" fontId="25" fillId="0" borderId="1" xfId="0" applyFont="1" applyBorder="1" applyAlignment="1">
      <alignment horizontal="center"/>
    </xf>
    <xf numFmtId="0" fontId="1" fillId="0" borderId="1" xfId="0" applyFont="1" applyBorder="1" applyAlignment="1">
      <alignment horizontal="center"/>
    </xf>
    <xf numFmtId="0" fontId="0" fillId="0" borderId="0" xfId="0" pivotButton="1"/>
    <xf numFmtId="0" fontId="0" fillId="0" borderId="4" xfId="0" applyFill="1" applyBorder="1" applyAlignment="1"/>
    <xf numFmtId="0" fontId="6" fillId="0" borderId="5" xfId="0" applyFont="1" applyFill="1" applyBorder="1" applyAlignment="1">
      <alignment horizontal="center"/>
    </xf>
    <xf numFmtId="10" fontId="0" fillId="0" borderId="0" xfId="0" applyNumberFormat="1" applyFill="1" applyBorder="1" applyAlignment="1"/>
    <xf numFmtId="10" fontId="0" fillId="0" borderId="4" xfId="0" applyNumberFormat="1" applyFill="1" applyBorder="1" applyAlignment="1"/>
    <xf numFmtId="0" fontId="6" fillId="4" borderId="5" xfId="0" applyFont="1" applyFill="1" applyBorder="1" applyAlignment="1">
      <alignment horizontal="center"/>
    </xf>
    <xf numFmtId="0" fontId="0" fillId="4" borderId="0" xfId="0" applyNumberFormat="1" applyFill="1" applyBorder="1" applyAlignment="1"/>
    <xf numFmtId="0" fontId="0" fillId="4" borderId="0" xfId="0" applyFill="1" applyBorder="1" applyAlignment="1"/>
    <xf numFmtId="10" fontId="0" fillId="4" borderId="0" xfId="0" applyNumberFormat="1" applyFill="1" applyBorder="1" applyAlignment="1"/>
    <xf numFmtId="0" fontId="0" fillId="4" borderId="4" xfId="0" applyFill="1" applyBorder="1" applyAlignment="1"/>
    <xf numFmtId="10" fontId="0" fillId="4" borderId="4" xfId="0" applyNumberFormat="1" applyFill="1" applyBorder="1" applyAlignment="1"/>
    <xf numFmtId="0" fontId="0" fillId="16" borderId="0" xfId="0" applyFill="1"/>
    <xf numFmtId="0" fontId="27" fillId="0" borderId="1" xfId="0" applyFont="1" applyBorder="1" applyAlignment="1">
      <alignment horizontal="center"/>
    </xf>
    <xf numFmtId="0" fontId="0" fillId="3" borderId="0" xfId="0" applyFill="1"/>
    <xf numFmtId="0" fontId="0" fillId="3" borderId="0" xfId="0" applyFill="1" applyBorder="1" applyAlignment="1"/>
    <xf numFmtId="0" fontId="25" fillId="0" borderId="0" xfId="0" applyFont="1" applyBorder="1" applyAlignment="1">
      <alignment horizontal="center"/>
    </xf>
    <xf numFmtId="0" fontId="0" fillId="0" borderId="6" xfId="0" applyBorder="1"/>
    <xf numFmtId="0" fontId="0" fillId="0" borderId="7" xfId="0" applyBorder="1"/>
    <xf numFmtId="0" fontId="0" fillId="0" borderId="8" xfId="0" applyBorder="1"/>
    <xf numFmtId="2" fontId="0" fillId="0" borderId="0" xfId="0" applyNumberFormat="1" applyAlignment="1">
      <alignment horizontal="center"/>
    </xf>
    <xf numFmtId="0" fontId="26" fillId="0" borderId="7" xfId="0" applyFont="1" applyBorder="1" applyAlignment="1">
      <alignment horizontal="center"/>
    </xf>
    <xf numFmtId="0" fontId="0" fillId="3" borderId="2" xfId="0" applyFill="1" applyBorder="1" applyAlignment="1">
      <alignment horizontal="center"/>
    </xf>
    <xf numFmtId="0" fontId="0" fillId="0" borderId="0" xfId="0" applyAlignment="1">
      <alignment horizontal="center"/>
    </xf>
    <xf numFmtId="0" fontId="9" fillId="0" borderId="0" xfId="1"/>
    <xf numFmtId="0" fontId="9" fillId="22" borderId="0" xfId="1" applyFill="1" applyBorder="1"/>
    <xf numFmtId="165" fontId="9" fillId="0" borderId="0" xfId="1" applyNumberFormat="1"/>
    <xf numFmtId="0" fontId="9" fillId="0" borderId="0" xfId="1" applyAlignment="1">
      <alignment horizontal="right"/>
    </xf>
    <xf numFmtId="0" fontId="9" fillId="0" borderId="0" xfId="1" applyFont="1" applyAlignment="1">
      <alignment horizontal="right"/>
    </xf>
    <xf numFmtId="1" fontId="9" fillId="0" borderId="0" xfId="1" applyNumberFormat="1"/>
    <xf numFmtId="0" fontId="9" fillId="22" borderId="0" xfId="1" applyFill="1"/>
    <xf numFmtId="1" fontId="9" fillId="22" borderId="0" xfId="1" applyNumberFormat="1" applyFill="1" applyBorder="1" applyAlignment="1">
      <alignment horizontal="center"/>
    </xf>
    <xf numFmtId="0" fontId="9" fillId="22" borderId="0" xfId="1" applyFill="1" applyBorder="1" applyAlignment="1">
      <alignment horizontal="center"/>
    </xf>
    <xf numFmtId="165" fontId="9" fillId="23" borderId="1" xfId="1" applyNumberFormat="1" applyFill="1" applyBorder="1" applyAlignment="1">
      <alignment horizontal="center"/>
    </xf>
    <xf numFmtId="165" fontId="9" fillId="7" borderId="1" xfId="1" applyNumberFormat="1" applyFill="1" applyBorder="1" applyAlignment="1">
      <alignment horizontal="center"/>
    </xf>
    <xf numFmtId="0" fontId="9" fillId="0" borderId="1" xfId="1" applyBorder="1" applyAlignment="1">
      <alignment horizontal="center"/>
    </xf>
    <xf numFmtId="0" fontId="9" fillId="22" borderId="0" xfId="1" applyFill="1" applyBorder="1" applyAlignment="1">
      <alignment horizontal="left"/>
    </xf>
    <xf numFmtId="0" fontId="9" fillId="22" borderId="0" xfId="1" applyFont="1" applyFill="1" applyBorder="1"/>
    <xf numFmtId="1" fontId="9" fillId="22" borderId="0" xfId="1" applyNumberFormat="1" applyFill="1" applyBorder="1" applyAlignment="1">
      <alignment horizontal="left"/>
    </xf>
    <xf numFmtId="0" fontId="9" fillId="22" borderId="0" xfId="1" quotePrefix="1" applyFill="1" applyBorder="1" applyAlignment="1">
      <alignment horizontal="right"/>
    </xf>
    <xf numFmtId="0" fontId="9" fillId="22" borderId="0" xfId="1" applyFont="1" applyFill="1" applyBorder="1" applyAlignment="1">
      <alignment horizontal="left"/>
    </xf>
    <xf numFmtId="0" fontId="9" fillId="22" borderId="0" xfId="1" applyFill="1" applyBorder="1" applyAlignment="1">
      <alignment horizontal="right"/>
    </xf>
    <xf numFmtId="0" fontId="28" fillId="22" borderId="0" xfId="1" applyFont="1" applyFill="1" applyAlignment="1">
      <alignment vertical="top" wrapText="1"/>
    </xf>
    <xf numFmtId="0" fontId="9" fillId="22" borderId="0" xfId="1" applyFont="1" applyFill="1" applyBorder="1" applyAlignment="1">
      <alignment horizontal="right"/>
    </xf>
    <xf numFmtId="0" fontId="9" fillId="22" borderId="0" xfId="1" applyFont="1" applyFill="1"/>
    <xf numFmtId="164" fontId="9" fillId="22" borderId="0" xfId="1" applyNumberFormat="1" applyFill="1"/>
    <xf numFmtId="0" fontId="9" fillId="22" borderId="0" xfId="1" applyFont="1" applyFill="1" applyAlignment="1">
      <alignment horizontal="right"/>
    </xf>
    <xf numFmtId="165" fontId="9" fillId="22" borderId="0" xfId="1" applyNumberFormat="1" applyFill="1"/>
    <xf numFmtId="0" fontId="9" fillId="8" borderId="1" xfId="1" applyFill="1" applyBorder="1" applyAlignment="1">
      <alignment horizontal="center"/>
    </xf>
    <xf numFmtId="0" fontId="9" fillId="8" borderId="1" xfId="1" applyFill="1" applyBorder="1" applyAlignment="1">
      <alignment horizontal="center" vertical="center"/>
    </xf>
    <xf numFmtId="165" fontId="9" fillId="5" borderId="1" xfId="1" applyNumberFormat="1" applyFill="1" applyBorder="1" applyAlignment="1">
      <alignment horizontal="center"/>
    </xf>
    <xf numFmtId="1" fontId="9" fillId="5" borderId="1" xfId="1" applyNumberFormat="1" applyFill="1" applyBorder="1" applyAlignment="1">
      <alignment horizontal="center"/>
    </xf>
    <xf numFmtId="0" fontId="29" fillId="24" borderId="1" xfId="1" applyFont="1" applyFill="1" applyBorder="1" applyAlignment="1">
      <alignment horizontal="center"/>
    </xf>
    <xf numFmtId="0" fontId="29" fillId="25" borderId="1" xfId="1" applyFont="1" applyFill="1" applyBorder="1" applyAlignment="1">
      <alignment horizontal="center"/>
    </xf>
    <xf numFmtId="0" fontId="9" fillId="22" borderId="0" xfId="1" applyFill="1" applyAlignment="1">
      <alignment wrapText="1"/>
    </xf>
    <xf numFmtId="1" fontId="29" fillId="26" borderId="1" xfId="1" applyNumberFormat="1" applyFont="1" applyFill="1" applyBorder="1" applyAlignment="1">
      <alignment horizontal="center"/>
    </xf>
    <xf numFmtId="0" fontId="30" fillId="0" borderId="0" xfId="1" applyFont="1"/>
    <xf numFmtId="0" fontId="9" fillId="22" borderId="0" xfId="1" applyFill="1" applyAlignment="1">
      <alignment horizontal="left"/>
    </xf>
    <xf numFmtId="0" fontId="31" fillId="6" borderId="0" xfId="1" applyFont="1" applyFill="1"/>
    <xf numFmtId="0" fontId="29" fillId="22" borderId="0" xfId="1" applyFont="1" applyFill="1" applyBorder="1" applyAlignment="1">
      <alignment horizontal="center"/>
    </xf>
    <xf numFmtId="0" fontId="9" fillId="22" borderId="0" xfId="1" applyFont="1" applyFill="1" applyBorder="1" applyAlignment="1">
      <alignment horizontal="center"/>
    </xf>
    <xf numFmtId="0" fontId="31" fillId="27" borderId="1" xfId="1" applyFont="1" applyFill="1" applyBorder="1" applyAlignment="1">
      <alignment horizontal="center"/>
    </xf>
    <xf numFmtId="0" fontId="31" fillId="24" borderId="1" xfId="1" applyFont="1" applyFill="1" applyBorder="1" applyAlignment="1">
      <alignment horizontal="center"/>
    </xf>
    <xf numFmtId="0" fontId="9" fillId="22" borderId="1" xfId="1" applyFont="1" applyFill="1" applyBorder="1" applyAlignment="1">
      <alignment horizontal="center"/>
    </xf>
    <xf numFmtId="0" fontId="9" fillId="3" borderId="0" xfId="1" applyFill="1"/>
    <xf numFmtId="165" fontId="9" fillId="3" borderId="0" xfId="1" applyNumberFormat="1" applyFill="1"/>
    <xf numFmtId="1" fontId="9" fillId="3" borderId="0" xfId="1" applyNumberFormat="1" applyFill="1"/>
    <xf numFmtId="165" fontId="9" fillId="3" borderId="0" xfId="1" applyNumberFormat="1" applyFont="1" applyFill="1"/>
    <xf numFmtId="0" fontId="32" fillId="22" borderId="0" xfId="1" applyFont="1" applyFill="1" applyAlignment="1">
      <alignment horizontal="right"/>
    </xf>
    <xf numFmtId="0" fontId="9" fillId="22" borderId="7" xfId="1" applyFill="1" applyBorder="1" applyAlignment="1">
      <alignment horizontal="right"/>
    </xf>
    <xf numFmtId="2" fontId="9" fillId="22" borderId="0" xfId="1" applyNumberFormat="1" applyFill="1"/>
    <xf numFmtId="0" fontId="9" fillId="22" borderId="9" xfId="1" applyFill="1" applyBorder="1" applyAlignment="1">
      <alignment horizontal="right"/>
    </xf>
    <xf numFmtId="1" fontId="9" fillId="22" borderId="0" xfId="1" applyNumberFormat="1" applyFill="1"/>
    <xf numFmtId="0" fontId="9" fillId="22" borderId="0" xfId="1" applyFill="1" applyAlignment="1">
      <alignment horizontal="right"/>
    </xf>
    <xf numFmtId="165" fontId="9" fillId="22" borderId="10" xfId="1" applyNumberFormat="1" applyFill="1" applyBorder="1"/>
    <xf numFmtId="0" fontId="32" fillId="22" borderId="11" xfId="1" applyFont="1" applyFill="1" applyBorder="1"/>
    <xf numFmtId="0" fontId="32" fillId="22" borderId="0" xfId="1" applyFont="1" applyFill="1"/>
    <xf numFmtId="0" fontId="9" fillId="22" borderId="0" xfId="1" applyFill="1" applyAlignment="1">
      <alignment horizontal="left" vertical="center" wrapText="1"/>
    </xf>
    <xf numFmtId="0" fontId="9" fillId="22" borderId="0" xfId="1" applyFill="1" applyAlignment="1">
      <alignment vertical="center" wrapText="1"/>
    </xf>
    <xf numFmtId="0" fontId="9" fillId="22" borderId="0" xfId="1" applyFill="1" applyAlignment="1">
      <alignment vertical="center"/>
    </xf>
    <xf numFmtId="0" fontId="9" fillId="22" borderId="0" xfId="1" applyFill="1" applyAlignment="1">
      <alignment horizontal="left" vertical="center"/>
    </xf>
    <xf numFmtId="0" fontId="9" fillId="22" borderId="0" xfId="1" applyFill="1" applyBorder="1" applyAlignment="1">
      <alignment horizontal="left" vertical="center" wrapText="1"/>
    </xf>
    <xf numFmtId="0" fontId="11" fillId="0" borderId="0" xfId="0" applyFont="1"/>
    <xf numFmtId="0" fontId="0" fillId="0" borderId="0" xfId="0" applyAlignment="1">
      <alignment horizontal="right"/>
    </xf>
    <xf numFmtId="0" fontId="27" fillId="0" borderId="0" xfId="0" applyFont="1"/>
    <xf numFmtId="0" fontId="0" fillId="0" borderId="0" xfId="0" applyFill="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36" fillId="28" borderId="1" xfId="0" applyFont="1" applyFill="1" applyBorder="1" applyAlignment="1">
      <alignment horizontal="center"/>
    </xf>
    <xf numFmtId="0" fontId="36" fillId="28" borderId="1" xfId="0" applyFont="1" applyFill="1" applyBorder="1" applyAlignment="1">
      <alignment horizontal="center" vertical="center"/>
    </xf>
    <xf numFmtId="0" fontId="37" fillId="28" borderId="1" xfId="0" applyFont="1" applyFill="1" applyBorder="1" applyAlignment="1">
      <alignment horizontal="center"/>
    </xf>
    <xf numFmtId="0" fontId="13" fillId="24" borderId="1" xfId="0" applyFont="1" applyFill="1" applyBorder="1" applyAlignment="1">
      <alignment horizontal="center" vertical="center"/>
    </xf>
    <xf numFmtId="0" fontId="13" fillId="24" borderId="1" xfId="0" applyFont="1" applyFill="1" applyBorder="1" applyAlignment="1">
      <alignment horizontal="center" vertical="center" wrapText="1"/>
    </xf>
    <xf numFmtId="0" fontId="7" fillId="24" borderId="0" xfId="0" applyFont="1" applyFill="1" applyAlignment="1">
      <alignment horizontal="center" vertical="center"/>
    </xf>
    <xf numFmtId="0" fontId="36" fillId="7" borderId="1" xfId="0" applyFont="1" applyFill="1" applyBorder="1" applyAlignment="1">
      <alignment horizontal="center"/>
    </xf>
    <xf numFmtId="2" fontId="36" fillId="7" borderId="1" xfId="0" applyNumberFormat="1" applyFont="1" applyFill="1" applyBorder="1" applyAlignment="1">
      <alignment horizontal="center"/>
    </xf>
    <xf numFmtId="0" fontId="36" fillId="7" borderId="1" xfId="0" applyFont="1" applyFill="1" applyBorder="1" applyAlignment="1">
      <alignment horizontal="center" vertical="center"/>
    </xf>
    <xf numFmtId="0" fontId="2" fillId="0" borderId="0" xfId="0" applyFont="1" applyAlignment="1">
      <alignment horizontal="center"/>
    </xf>
    <xf numFmtId="0" fontId="0" fillId="28" borderId="1" xfId="0" applyFill="1" applyBorder="1" applyAlignment="1">
      <alignment vertical="center"/>
    </xf>
    <xf numFmtId="0" fontId="0" fillId="28" borderId="1" xfId="0" applyFill="1" applyBorder="1"/>
    <xf numFmtId="0" fontId="0" fillId="0" borderId="1" xfId="0" applyBorder="1"/>
    <xf numFmtId="0" fontId="0" fillId="28" borderId="1" xfId="0" applyFill="1" applyBorder="1" applyAlignment="1">
      <alignment horizontal="center" vertical="center"/>
    </xf>
    <xf numFmtId="0" fontId="39" fillId="0" borderId="1" xfId="0" applyFont="1" applyBorder="1" applyAlignment="1">
      <alignment horizontal="center"/>
    </xf>
    <xf numFmtId="0" fontId="0" fillId="7" borderId="1" xfId="0" applyFill="1" applyBorder="1" applyAlignment="1">
      <alignment horizontal="center" vertical="center"/>
    </xf>
    <xf numFmtId="0" fontId="40" fillId="0" borderId="0" xfId="0" applyFont="1" applyAlignment="1">
      <alignment horizontal="left" vertical="center"/>
    </xf>
    <xf numFmtId="2" fontId="9" fillId="22" borderId="6" xfId="1" applyNumberFormat="1" applyFill="1" applyBorder="1"/>
    <xf numFmtId="0" fontId="9" fillId="23" borderId="0" xfId="1" applyFont="1" applyFill="1"/>
    <xf numFmtId="0" fontId="9" fillId="29" borderId="0" xfId="1" applyFill="1" applyBorder="1"/>
    <xf numFmtId="0" fontId="32" fillId="29" borderId="0" xfId="1" quotePrefix="1" applyFont="1" applyFill="1" applyBorder="1"/>
    <xf numFmtId="2" fontId="9" fillId="5" borderId="6" xfId="1" applyNumberFormat="1" applyFill="1" applyBorder="1"/>
    <xf numFmtId="2" fontId="9" fillId="13" borderId="8" xfId="1" applyNumberFormat="1" applyFill="1" applyBorder="1"/>
    <xf numFmtId="2" fontId="9" fillId="22" borderId="0" xfId="1" applyNumberFormat="1" applyFill="1" applyAlignment="1">
      <alignment horizontal="left"/>
    </xf>
    <xf numFmtId="164" fontId="9" fillId="7" borderId="1" xfId="1" applyNumberFormat="1" applyFill="1" applyBorder="1" applyAlignment="1">
      <alignment horizontal="center"/>
    </xf>
    <xf numFmtId="0" fontId="43" fillId="8" borderId="1" xfId="1" applyFont="1" applyFill="1" applyBorder="1" applyAlignment="1">
      <alignment horizontal="center" vertical="center"/>
    </xf>
    <xf numFmtId="0" fontId="43" fillId="8" borderId="1" xfId="1" applyFont="1" applyFill="1" applyBorder="1" applyAlignment="1">
      <alignment horizontal="center"/>
    </xf>
    <xf numFmtId="164" fontId="9" fillId="23" borderId="1" xfId="1" applyNumberFormat="1" applyFill="1" applyBorder="1" applyAlignment="1">
      <alignment horizontal="center"/>
    </xf>
    <xf numFmtId="167" fontId="9" fillId="22" borderId="0" xfId="1" applyNumberFormat="1" applyFill="1"/>
    <xf numFmtId="2" fontId="9" fillId="22" borderId="0" xfId="1" applyNumberFormat="1" applyFill="1" applyBorder="1" applyAlignment="1">
      <alignment horizontal="center"/>
    </xf>
    <xf numFmtId="0" fontId="9" fillId="0" borderId="0" xfId="1" applyAlignment="1">
      <alignment horizontal="left"/>
    </xf>
    <xf numFmtId="165" fontId="45" fillId="7" borderId="1" xfId="1" applyNumberFormat="1" applyFont="1" applyFill="1" applyBorder="1" applyAlignment="1">
      <alignment horizontal="center"/>
    </xf>
    <xf numFmtId="164" fontId="9" fillId="22" borderId="0" xfId="1" applyNumberFormat="1" applyFill="1" applyAlignment="1">
      <alignment horizontal="right"/>
    </xf>
    <xf numFmtId="0" fontId="9" fillId="22" borderId="2" xfId="1" applyFill="1" applyBorder="1"/>
    <xf numFmtId="0" fontId="31" fillId="22" borderId="0" xfId="1" applyFont="1" applyFill="1" applyBorder="1" applyAlignment="1">
      <alignment horizontal="center"/>
    </xf>
    <xf numFmtId="0" fontId="29" fillId="26" borderId="1" xfId="1" applyFont="1" applyFill="1" applyBorder="1" applyAlignment="1">
      <alignment horizontal="center"/>
    </xf>
    <xf numFmtId="0" fontId="31" fillId="30" borderId="1" xfId="1" applyFont="1" applyFill="1" applyBorder="1" applyAlignment="1">
      <alignment horizontal="center"/>
    </xf>
    <xf numFmtId="2" fontId="9" fillId="5" borderId="1" xfId="1" applyNumberFormat="1" applyFill="1" applyBorder="1" applyAlignment="1">
      <alignment horizontal="center"/>
    </xf>
    <xf numFmtId="2" fontId="9" fillId="29" borderId="1" xfId="1" applyNumberFormat="1" applyFill="1" applyBorder="1" applyAlignment="1">
      <alignment horizontal="center"/>
    </xf>
    <xf numFmtId="0" fontId="31" fillId="22" borderId="0" xfId="1" applyFont="1" applyFill="1" applyBorder="1" applyAlignment="1">
      <alignment horizontal="left" vertical="center" wrapText="1"/>
    </xf>
    <xf numFmtId="0" fontId="31" fillId="22" borderId="0" xfId="1" applyFont="1" applyFill="1" applyBorder="1"/>
    <xf numFmtId="0" fontId="39" fillId="22" borderId="4" xfId="0" applyFont="1" applyFill="1" applyBorder="1" applyAlignment="1"/>
    <xf numFmtId="0" fontId="0" fillId="5" borderId="0" xfId="0" applyNumberFormat="1" applyFill="1" applyBorder="1" applyAlignment="1"/>
    <xf numFmtId="0" fontId="0" fillId="5" borderId="0" xfId="0" applyFill="1" applyBorder="1" applyAlignment="1"/>
    <xf numFmtId="0" fontId="39" fillId="5" borderId="0" xfId="0" applyFont="1" applyFill="1" applyBorder="1" applyAlignment="1"/>
    <xf numFmtId="0" fontId="39" fillId="4" borderId="0" xfId="0" applyFont="1" applyFill="1" applyBorder="1" applyAlignment="1"/>
    <xf numFmtId="0" fontId="29" fillId="25" borderId="12" xfId="1" applyFont="1" applyFill="1" applyBorder="1" applyAlignment="1">
      <alignment horizontal="center"/>
    </xf>
    <xf numFmtId="0" fontId="0" fillId="0" borderId="0" xfId="0" applyAlignment="1">
      <alignment horizontal="left" vertical="center" wrapText="1"/>
    </xf>
    <xf numFmtId="0" fontId="0" fillId="0" borderId="0" xfId="0" applyNumberFormat="1" applyFill="1" applyBorder="1" applyAlignment="1">
      <alignment horizontal="left" vertical="center" wrapText="1"/>
    </xf>
    <xf numFmtId="0" fontId="0" fillId="0" borderId="0" xfId="0" applyAlignment="1">
      <alignment horizontal="left" wrapText="1"/>
    </xf>
    <xf numFmtId="0" fontId="11" fillId="0" borderId="0" xfId="0" applyFont="1" applyAlignment="1">
      <alignment horizontal="left" vertical="center" wrapText="1"/>
    </xf>
    <xf numFmtId="0" fontId="0" fillId="0" borderId="0" xfId="0" applyAlignment="1">
      <alignment horizontal="center"/>
    </xf>
    <xf numFmtId="0" fontId="25" fillId="0" borderId="0" xfId="0" applyFont="1" applyAlignment="1">
      <alignment horizontal="left" vertical="top" wrapText="1"/>
    </xf>
    <xf numFmtId="0" fontId="0" fillId="0" borderId="0" xfId="0" applyFont="1" applyFill="1" applyBorder="1" applyAlignment="1">
      <alignment horizontal="left" wrapText="1"/>
    </xf>
    <xf numFmtId="0" fontId="9" fillId="5" borderId="0" xfId="1" applyFill="1" applyBorder="1" applyAlignment="1">
      <alignment horizontal="center"/>
    </xf>
    <xf numFmtId="0" fontId="9" fillId="22" borderId="4" xfId="1" applyFill="1" applyBorder="1" applyAlignment="1">
      <alignment horizontal="center"/>
    </xf>
    <xf numFmtId="0" fontId="9" fillId="22" borderId="0" xfId="1" applyFill="1" applyAlignment="1">
      <alignment horizontal="center" wrapText="1"/>
    </xf>
    <xf numFmtId="0" fontId="44" fillId="22" borderId="0" xfId="1" applyFont="1" applyFill="1" applyAlignment="1">
      <alignment horizontal="center" vertical="center" wrapText="1"/>
    </xf>
    <xf numFmtId="0" fontId="9" fillId="22" borderId="0" xfId="1" applyFill="1" applyBorder="1" applyAlignment="1">
      <alignment horizontal="center"/>
    </xf>
    <xf numFmtId="0" fontId="11" fillId="0" borderId="0" xfId="0" applyFont="1" applyAlignment="1">
      <alignment horizontal="left" wrapText="1"/>
    </xf>
    <xf numFmtId="0" fontId="46" fillId="0" borderId="0" xfId="0" applyFont="1" applyAlignment="1">
      <alignment vertical="center" wrapText="1"/>
    </xf>
    <xf numFmtId="0" fontId="46" fillId="0" borderId="0" xfId="0" applyFont="1" applyAlignment="1">
      <alignment horizontal="left" vertical="center" wrapText="1"/>
    </xf>
    <xf numFmtId="165" fontId="0" fillId="0" borderId="0" xfId="0" applyNumberFormat="1"/>
    <xf numFmtId="0" fontId="0" fillId="0" borderId="0" xfId="0" applyFont="1" applyAlignment="1">
      <alignment horizontal="right"/>
    </xf>
    <xf numFmtId="0" fontId="0" fillId="0" borderId="0" xfId="0" applyFont="1" applyAlignment="1">
      <alignment horizontal="justify" vertical="center"/>
    </xf>
    <xf numFmtId="0" fontId="0" fillId="0" borderId="0" xfId="0" applyFont="1" applyFill="1"/>
    <xf numFmtId="0" fontId="0" fillId="0" borderId="0" xfId="0" applyFont="1" applyAlignment="1">
      <alignment horizontal="left" vertical="center"/>
    </xf>
    <xf numFmtId="0" fontId="0" fillId="0" borderId="0" xfId="0" applyFont="1" applyAlignment="1">
      <alignment horizontal="left" vertical="center"/>
    </xf>
    <xf numFmtId="0" fontId="48" fillId="0" borderId="0" xfId="0" applyFont="1" applyFill="1"/>
    <xf numFmtId="0" fontId="49" fillId="0" borderId="0" xfId="0" applyFont="1" applyFill="1"/>
    <xf numFmtId="0" fontId="50" fillId="0" borderId="0" xfId="0" applyFont="1"/>
    <xf numFmtId="0" fontId="0" fillId="0" borderId="0" xfId="0" applyFont="1"/>
    <xf numFmtId="0" fontId="0" fillId="0" borderId="0" xfId="0" applyFont="1" applyBorder="1" applyAlignment="1">
      <alignment horizontal="center"/>
    </xf>
    <xf numFmtId="0" fontId="0" fillId="31" borderId="0" xfId="0" applyFill="1"/>
    <xf numFmtId="0" fontId="0" fillId="31" borderId="1" xfId="0" applyFill="1" applyBorder="1" applyAlignment="1">
      <alignment horizontal="center"/>
    </xf>
    <xf numFmtId="0" fontId="48" fillId="0" borderId="0" xfId="0" applyFont="1"/>
    <xf numFmtId="0" fontId="52" fillId="32" borderId="13" xfId="2" applyFont="1" applyFill="1" applyBorder="1" applyAlignment="1">
      <alignment horizontal="center"/>
    </xf>
    <xf numFmtId="0" fontId="52" fillId="32" borderId="13" xfId="2" applyFont="1" applyFill="1" applyBorder="1" applyAlignment="1">
      <alignment horizontal="center" wrapText="1"/>
    </xf>
    <xf numFmtId="0" fontId="52" fillId="32" borderId="14" xfId="2" applyFont="1" applyFill="1" applyBorder="1" applyAlignment="1">
      <alignment horizontal="center"/>
    </xf>
    <xf numFmtId="0" fontId="52" fillId="32" borderId="1" xfId="2" applyFont="1" applyFill="1" applyBorder="1" applyAlignment="1">
      <alignment horizontal="center"/>
    </xf>
    <xf numFmtId="0" fontId="0" fillId="31" borderId="0" xfId="0" applyFill="1" applyAlignment="1">
      <alignment horizontal="center"/>
    </xf>
    <xf numFmtId="0" fontId="52" fillId="0" borderId="15" xfId="2" applyFont="1" applyFill="1" applyBorder="1" applyAlignment="1">
      <alignment horizontal="right" wrapText="1"/>
    </xf>
    <xf numFmtId="2" fontId="50" fillId="0" borderId="0" xfId="0" applyNumberFormat="1" applyFont="1" applyAlignment="1">
      <alignment horizontal="center"/>
    </xf>
    <xf numFmtId="0" fontId="49" fillId="0" borderId="0" xfId="0" applyFont="1"/>
    <xf numFmtId="165" fontId="36" fillId="28" borderId="1" xfId="0" applyNumberFormat="1" applyFont="1" applyFill="1" applyBorder="1" applyAlignment="1">
      <alignment horizontal="center"/>
    </xf>
    <xf numFmtId="165" fontId="36" fillId="28" borderId="1" xfId="0" applyNumberFormat="1" applyFont="1" applyFill="1" applyBorder="1" applyAlignment="1">
      <alignment horizontal="center" vertical="center"/>
    </xf>
    <xf numFmtId="0" fontId="13" fillId="33" borderId="1" xfId="0" applyFont="1" applyFill="1" applyBorder="1" applyAlignment="1">
      <alignment horizontal="center" vertical="center" wrapText="1"/>
    </xf>
    <xf numFmtId="0" fontId="53" fillId="14" borderId="0" xfId="0" applyFont="1" applyFill="1"/>
    <xf numFmtId="0" fontId="7" fillId="14" borderId="0" xfId="0" applyFont="1" applyFill="1"/>
    <xf numFmtId="0" fontId="7" fillId="33" borderId="0" xfId="0" applyFont="1" applyFill="1"/>
    <xf numFmtId="0" fontId="53" fillId="33" borderId="0" xfId="0" applyFont="1" applyFill="1" applyAlignment="1">
      <alignment horizontal="right"/>
    </xf>
    <xf numFmtId="0" fontId="37" fillId="28" borderId="1" xfId="0" applyNumberFormat="1" applyFont="1" applyFill="1" applyBorder="1" applyAlignment="1">
      <alignment horizontal="center"/>
    </xf>
    <xf numFmtId="0" fontId="7" fillId="0" borderId="1" xfId="0" applyFont="1" applyBorder="1"/>
    <xf numFmtId="0" fontId="50" fillId="0" borderId="1" xfId="0" applyFont="1" applyBorder="1" applyAlignment="1">
      <alignment horizontal="center"/>
    </xf>
    <xf numFmtId="168" fontId="49" fillId="0" borderId="0" xfId="0" applyNumberFormat="1" applyFont="1" applyFill="1"/>
    <xf numFmtId="0" fontId="8" fillId="34" borderId="1" xfId="2" applyFont="1" applyFill="1" applyBorder="1" applyAlignment="1">
      <alignment horizontal="center"/>
    </xf>
  </cellXfs>
  <cellStyles count="3">
    <cellStyle name="Normal" xfId="0" builtinId="0"/>
    <cellStyle name="Normal 2" xfId="1"/>
    <cellStyle name="Normal_Sheet1" xfId="2"/>
  </cellStyles>
  <dxfs count="0"/>
  <tableStyles count="0" defaultTableStyle="TableStyleMedium9" defaultPivotStyle="PivotStyleLight16"/>
  <colors>
    <mruColors>
      <color rgb="FF0099CC"/>
      <color rgb="FF33CC33"/>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x</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41"/>
        </c:manualLayout>
      </c:layout>
      <c:barChart>
        <c:barDir val="col"/>
        <c:grouping val="clustered"/>
        <c:varyColors val="0"/>
        <c:ser>
          <c:idx val="1"/>
          <c:order val="0"/>
          <c:spPr>
            <a:solidFill>
              <a:schemeClr val="accent3">
                <a:lumMod val="75000"/>
              </a:schemeClr>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Ex_2_class!$C$14:$C$19</c:f>
              <c:numCache>
                <c:formatCode>General</c:formatCode>
                <c:ptCount val="6"/>
                <c:pt idx="0">
                  <c:v>0</c:v>
                </c:pt>
                <c:pt idx="1">
                  <c:v>1</c:v>
                </c:pt>
                <c:pt idx="2">
                  <c:v>2</c:v>
                </c:pt>
                <c:pt idx="3">
                  <c:v>3</c:v>
                </c:pt>
                <c:pt idx="4">
                  <c:v>4</c:v>
                </c:pt>
                <c:pt idx="5">
                  <c:v>5</c:v>
                </c:pt>
              </c:numCache>
            </c:numRef>
          </c:cat>
          <c:val>
            <c:numRef>
              <c:f>Ex_2_class!$D$14:$D$19</c:f>
              <c:numCache>
                <c:formatCode>General</c:formatCode>
                <c:ptCount val="6"/>
                <c:pt idx="0">
                  <c:v>0.1</c:v>
                </c:pt>
                <c:pt idx="1">
                  <c:v>0.2</c:v>
                </c:pt>
                <c:pt idx="2">
                  <c:v>0.25</c:v>
                </c:pt>
                <c:pt idx="3">
                  <c:v>0.25</c:v>
                </c:pt>
                <c:pt idx="4">
                  <c:v>0.15</c:v>
                </c:pt>
                <c:pt idx="5">
                  <c:v>0.05</c:v>
                </c:pt>
              </c:numCache>
            </c:numRef>
          </c:val>
          <c:extLst>
            <c:ext xmlns:c16="http://schemas.microsoft.com/office/drawing/2014/chart" uri="{C3380CC4-5D6E-409C-BE32-E72D297353CC}">
              <c16:uniqueId val="{00000000-45F6-4EF1-9857-E75FC6FD63D2}"/>
            </c:ext>
          </c:extLst>
        </c:ser>
        <c:dLbls>
          <c:showLegendKey val="0"/>
          <c:showVal val="0"/>
          <c:showCatName val="0"/>
          <c:showSerName val="0"/>
          <c:showPercent val="0"/>
          <c:showBubbleSize val="0"/>
        </c:dLbls>
        <c:gapWidth val="0"/>
        <c:axId val="203798016"/>
        <c:axId val="203799552"/>
      </c:barChart>
      <c:catAx>
        <c:axId val="203798016"/>
        <c:scaling>
          <c:orientation val="minMax"/>
        </c:scaling>
        <c:delete val="0"/>
        <c:axPos val="b"/>
        <c:numFmt formatCode="General" sourceLinked="1"/>
        <c:majorTickMark val="none"/>
        <c:minorTickMark val="none"/>
        <c:tickLblPos val="nextTo"/>
        <c:crossAx val="203799552"/>
        <c:crosses val="autoZero"/>
        <c:auto val="1"/>
        <c:lblAlgn val="ctr"/>
        <c:lblOffset val="100"/>
        <c:noMultiLvlLbl val="0"/>
      </c:catAx>
      <c:valAx>
        <c:axId val="203799552"/>
        <c:scaling>
          <c:orientation val="minMax"/>
        </c:scaling>
        <c:delete val="1"/>
        <c:axPos val="l"/>
        <c:numFmt formatCode="General" sourceLinked="1"/>
        <c:majorTickMark val="none"/>
        <c:minorTickMark val="none"/>
        <c:tickLblPos val="none"/>
        <c:crossAx val="203798016"/>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a:t>
            </a:r>
            <a:r>
              <a:rPr lang="en-US" baseline="-25000">
                <a:solidFill>
                  <a:schemeClr val="accent4"/>
                </a:solidFill>
              </a:rPr>
              <a:t>S2.5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0-B32D-4DB8-9BDD-5000B7837CD1}"/>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B32D-4DB8-9BDD-5000B7837CD1}"/>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2-B32D-4DB8-9BDD-5000B7837CD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Ex_3_class!$B$56:$B$58</c:f>
              <c:numCache>
                <c:formatCode>General</c:formatCode>
                <c:ptCount val="3"/>
                <c:pt idx="0">
                  <c:v>110</c:v>
                </c:pt>
                <c:pt idx="1">
                  <c:v>120</c:v>
                </c:pt>
                <c:pt idx="2">
                  <c:v>130</c:v>
                </c:pt>
              </c:numCache>
            </c:numRef>
          </c:cat>
          <c:val>
            <c:numRef>
              <c:f>Ex_3_class!$C$56:$C$58</c:f>
              <c:numCache>
                <c:formatCode>General</c:formatCode>
                <c:ptCount val="3"/>
                <c:pt idx="0">
                  <c:v>0.25</c:v>
                </c:pt>
                <c:pt idx="1">
                  <c:v>0.5</c:v>
                </c:pt>
                <c:pt idx="2">
                  <c:v>0.25</c:v>
                </c:pt>
              </c:numCache>
            </c:numRef>
          </c:val>
          <c:extLst>
            <c:ext xmlns:c16="http://schemas.microsoft.com/office/drawing/2014/chart" uri="{C3380CC4-5D6E-409C-BE32-E72D297353CC}">
              <c16:uniqueId val="{00000003-B32D-4DB8-9BDD-5000B7837CD1}"/>
            </c:ext>
          </c:extLst>
        </c:ser>
        <c:dLbls>
          <c:showLegendKey val="0"/>
          <c:showVal val="0"/>
          <c:showCatName val="0"/>
          <c:showSerName val="0"/>
          <c:showPercent val="0"/>
          <c:showBubbleSize val="0"/>
        </c:dLbls>
        <c:gapWidth val="0"/>
        <c:axId val="205150080"/>
        <c:axId val="205151616"/>
      </c:barChart>
      <c:catAx>
        <c:axId val="205150080"/>
        <c:scaling>
          <c:orientation val="minMax"/>
        </c:scaling>
        <c:delete val="0"/>
        <c:axPos val="b"/>
        <c:numFmt formatCode="General" sourceLinked="1"/>
        <c:majorTickMark val="none"/>
        <c:minorTickMark val="none"/>
        <c:tickLblPos val="nextTo"/>
        <c:crossAx val="205151616"/>
        <c:crosses val="autoZero"/>
        <c:auto val="1"/>
        <c:lblAlgn val="ctr"/>
        <c:lblOffset val="100"/>
        <c:noMultiLvlLbl val="0"/>
      </c:catAx>
      <c:valAx>
        <c:axId val="205151616"/>
        <c:scaling>
          <c:orientation val="minMax"/>
        </c:scaling>
        <c:delete val="1"/>
        <c:axPos val="l"/>
        <c:majorGridlines/>
        <c:numFmt formatCode="General" sourceLinked="1"/>
        <c:majorTickMark val="none"/>
        <c:minorTickMark val="none"/>
        <c:tickLblPos val="none"/>
        <c:crossAx val="20515008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4.2440306483620086E-2"/>
          <c:y val="2.6402631115743338E-2"/>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0-9B35-457C-A557-639439D569DC}"/>
              </c:ext>
            </c:extLst>
          </c:dPt>
          <c:dPt>
            <c:idx val="1"/>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1-9B35-457C-A557-639439D569DC}"/>
              </c:ext>
            </c:extLst>
          </c:dPt>
          <c:dPt>
            <c:idx val="2"/>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2-9B35-457C-A557-639439D569DC}"/>
              </c:ext>
            </c:extLst>
          </c:dPt>
          <c:dPt>
            <c:idx val="3"/>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3-9B35-457C-A557-639439D569D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Ex_3_class!$B$34:$B$37</c:f>
              <c:numCache>
                <c:formatCode>General</c:formatCode>
                <c:ptCount val="4"/>
                <c:pt idx="0">
                  <c:v>1</c:v>
                </c:pt>
                <c:pt idx="1">
                  <c:v>1.5</c:v>
                </c:pt>
                <c:pt idx="2">
                  <c:v>2</c:v>
                </c:pt>
                <c:pt idx="3">
                  <c:v>2.5</c:v>
                </c:pt>
              </c:numCache>
            </c:numRef>
          </c:cat>
          <c:val>
            <c:numRef>
              <c:f>Ex_3_class!$D$34:$D$37</c:f>
              <c:numCache>
                <c:formatCode>General</c:formatCode>
                <c:ptCount val="4"/>
                <c:pt idx="0">
                  <c:v>0.1</c:v>
                </c:pt>
                <c:pt idx="1">
                  <c:v>0.4</c:v>
                </c:pt>
                <c:pt idx="2">
                  <c:v>0.8</c:v>
                </c:pt>
                <c:pt idx="3">
                  <c:v>1</c:v>
                </c:pt>
              </c:numCache>
            </c:numRef>
          </c:val>
          <c:extLst>
            <c:ext xmlns:c16="http://schemas.microsoft.com/office/drawing/2014/chart" uri="{C3380CC4-5D6E-409C-BE32-E72D297353CC}">
              <c16:uniqueId val="{00000004-9B35-457C-A557-639439D569DC}"/>
            </c:ext>
          </c:extLst>
        </c:ser>
        <c:dLbls>
          <c:showLegendKey val="0"/>
          <c:showVal val="0"/>
          <c:showCatName val="0"/>
          <c:showSerName val="0"/>
          <c:showPercent val="0"/>
          <c:showBubbleSize val="0"/>
        </c:dLbls>
        <c:gapWidth val="0"/>
        <c:axId val="205064832"/>
        <c:axId val="205078912"/>
      </c:barChart>
      <c:catAx>
        <c:axId val="205064832"/>
        <c:scaling>
          <c:orientation val="minMax"/>
        </c:scaling>
        <c:delete val="0"/>
        <c:axPos val="b"/>
        <c:numFmt formatCode="General" sourceLinked="1"/>
        <c:majorTickMark val="none"/>
        <c:minorTickMark val="none"/>
        <c:tickLblPos val="nextTo"/>
        <c:crossAx val="205078912"/>
        <c:crosses val="autoZero"/>
        <c:auto val="1"/>
        <c:lblAlgn val="ctr"/>
        <c:lblOffset val="100"/>
        <c:noMultiLvlLbl val="0"/>
      </c:catAx>
      <c:valAx>
        <c:axId val="205078912"/>
        <c:scaling>
          <c:orientation val="minMax"/>
        </c:scaling>
        <c:delete val="1"/>
        <c:axPos val="l"/>
        <c:numFmt formatCode="General" sourceLinked="1"/>
        <c:majorTickMark val="none"/>
        <c:minorTickMark val="none"/>
        <c:tickLblPos val="none"/>
        <c:crossAx val="205064832"/>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0-E657-4136-8A69-F85C783FBBF8}"/>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E657-4136-8A69-F85C783FBBF8}"/>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2-E657-4136-8A69-F85C783FBBF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Ex_3_class!$B$40:$B$42</c:f>
              <c:numCache>
                <c:formatCode>General</c:formatCode>
                <c:ptCount val="3"/>
                <c:pt idx="0">
                  <c:v>180</c:v>
                </c:pt>
                <c:pt idx="1">
                  <c:v>190</c:v>
                </c:pt>
                <c:pt idx="2">
                  <c:v>200</c:v>
                </c:pt>
              </c:numCache>
            </c:numRef>
          </c:cat>
          <c:val>
            <c:numRef>
              <c:f>Ex_3_class!$D$40:$D$42</c:f>
              <c:numCache>
                <c:formatCode>General</c:formatCode>
                <c:ptCount val="3"/>
                <c:pt idx="0">
                  <c:v>0.3</c:v>
                </c:pt>
                <c:pt idx="1">
                  <c:v>0.8</c:v>
                </c:pt>
                <c:pt idx="2">
                  <c:v>1</c:v>
                </c:pt>
              </c:numCache>
            </c:numRef>
          </c:val>
          <c:extLst>
            <c:ext xmlns:c16="http://schemas.microsoft.com/office/drawing/2014/chart" uri="{C3380CC4-5D6E-409C-BE32-E72D297353CC}">
              <c16:uniqueId val="{00000003-E657-4136-8A69-F85C783FBBF8}"/>
            </c:ext>
          </c:extLst>
        </c:ser>
        <c:dLbls>
          <c:showLegendKey val="0"/>
          <c:showVal val="0"/>
          <c:showCatName val="0"/>
          <c:showSerName val="0"/>
          <c:showPercent val="0"/>
          <c:showBubbleSize val="0"/>
        </c:dLbls>
        <c:gapWidth val="0"/>
        <c:axId val="205113984"/>
        <c:axId val="205119872"/>
      </c:barChart>
      <c:catAx>
        <c:axId val="205113984"/>
        <c:scaling>
          <c:orientation val="minMax"/>
        </c:scaling>
        <c:delete val="0"/>
        <c:axPos val="b"/>
        <c:numFmt formatCode="General" sourceLinked="1"/>
        <c:majorTickMark val="none"/>
        <c:minorTickMark val="none"/>
        <c:tickLblPos val="nextTo"/>
        <c:crossAx val="205119872"/>
        <c:crosses val="autoZero"/>
        <c:auto val="1"/>
        <c:lblAlgn val="ctr"/>
        <c:lblOffset val="100"/>
        <c:noMultiLvlLbl val="0"/>
      </c:catAx>
      <c:valAx>
        <c:axId val="205119872"/>
        <c:scaling>
          <c:orientation val="minMax"/>
        </c:scaling>
        <c:delete val="1"/>
        <c:axPos val="l"/>
        <c:majorGridlines/>
        <c:numFmt formatCode="General" sourceLinked="1"/>
        <c:majorTickMark val="none"/>
        <c:minorTickMark val="none"/>
        <c:tickLblPos val="none"/>
        <c:crossAx val="20511398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8000291719181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0-6ABF-469E-98D8-9BB5073B8B9B}"/>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6ABF-469E-98D8-9BB5073B8B9B}"/>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2-6ABF-469E-98D8-9BB5073B8B9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Ex_3_class!$B$45:$B$48</c:f>
              <c:numCache>
                <c:formatCode>General</c:formatCode>
                <c:ptCount val="4"/>
                <c:pt idx="0">
                  <c:v>150</c:v>
                </c:pt>
                <c:pt idx="1">
                  <c:v>160</c:v>
                </c:pt>
                <c:pt idx="2">
                  <c:v>170</c:v>
                </c:pt>
                <c:pt idx="3">
                  <c:v>180</c:v>
                </c:pt>
              </c:numCache>
            </c:numRef>
          </c:cat>
          <c:val>
            <c:numRef>
              <c:f>Ex_3_class!$D$45:$D$48</c:f>
              <c:numCache>
                <c:formatCode>General</c:formatCode>
                <c:ptCount val="4"/>
                <c:pt idx="0">
                  <c:v>0.25</c:v>
                </c:pt>
                <c:pt idx="1">
                  <c:v>0.65</c:v>
                </c:pt>
                <c:pt idx="2">
                  <c:v>0.9</c:v>
                </c:pt>
                <c:pt idx="3">
                  <c:v>1</c:v>
                </c:pt>
              </c:numCache>
            </c:numRef>
          </c:val>
          <c:extLst>
            <c:ext xmlns:c16="http://schemas.microsoft.com/office/drawing/2014/chart" uri="{C3380CC4-5D6E-409C-BE32-E72D297353CC}">
              <c16:uniqueId val="{00000003-6ABF-469E-98D8-9BB5073B8B9B}"/>
            </c:ext>
          </c:extLst>
        </c:ser>
        <c:dLbls>
          <c:showLegendKey val="0"/>
          <c:showVal val="0"/>
          <c:showCatName val="0"/>
          <c:showSerName val="0"/>
          <c:showPercent val="0"/>
          <c:showBubbleSize val="0"/>
        </c:dLbls>
        <c:gapWidth val="0"/>
        <c:axId val="205273728"/>
        <c:axId val="205275520"/>
      </c:barChart>
      <c:catAx>
        <c:axId val="205273728"/>
        <c:scaling>
          <c:orientation val="minMax"/>
        </c:scaling>
        <c:delete val="0"/>
        <c:axPos val="b"/>
        <c:numFmt formatCode="General" sourceLinked="1"/>
        <c:majorTickMark val="none"/>
        <c:minorTickMark val="none"/>
        <c:tickLblPos val="nextTo"/>
        <c:crossAx val="205275520"/>
        <c:crosses val="autoZero"/>
        <c:auto val="1"/>
        <c:lblAlgn val="ctr"/>
        <c:lblOffset val="100"/>
        <c:noMultiLvlLbl val="0"/>
      </c:catAx>
      <c:valAx>
        <c:axId val="205275520"/>
        <c:scaling>
          <c:orientation val="minMax"/>
        </c:scaling>
        <c:delete val="1"/>
        <c:axPos val="l"/>
        <c:majorGridlines/>
        <c:numFmt formatCode="General" sourceLinked="1"/>
        <c:majorTickMark val="none"/>
        <c:minorTickMark val="none"/>
        <c:tickLblPos val="none"/>
        <c:crossAx val="2052737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0-E7DD-486F-AE62-1549263D7C5A}"/>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E7DD-486F-AE62-1549263D7C5A}"/>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2-E7DD-486F-AE62-1549263D7C5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Ex_3_class!$B$51:$B$53</c:f>
              <c:numCache>
                <c:formatCode>General</c:formatCode>
                <c:ptCount val="3"/>
                <c:pt idx="0">
                  <c:v>130</c:v>
                </c:pt>
                <c:pt idx="1">
                  <c:v>140</c:v>
                </c:pt>
                <c:pt idx="2">
                  <c:v>150</c:v>
                </c:pt>
              </c:numCache>
            </c:numRef>
          </c:cat>
          <c:val>
            <c:numRef>
              <c:f>Ex_3_class!$D$51:$D$53</c:f>
              <c:numCache>
                <c:formatCode>General</c:formatCode>
                <c:ptCount val="3"/>
                <c:pt idx="0">
                  <c:v>0.3</c:v>
                </c:pt>
                <c:pt idx="1">
                  <c:v>0.89999999999999991</c:v>
                </c:pt>
                <c:pt idx="2">
                  <c:v>0.99999999999999989</c:v>
                </c:pt>
              </c:numCache>
            </c:numRef>
          </c:val>
          <c:extLst>
            <c:ext xmlns:c16="http://schemas.microsoft.com/office/drawing/2014/chart" uri="{C3380CC4-5D6E-409C-BE32-E72D297353CC}">
              <c16:uniqueId val="{00000003-E7DD-486F-AE62-1549263D7C5A}"/>
            </c:ext>
          </c:extLst>
        </c:ser>
        <c:dLbls>
          <c:showLegendKey val="0"/>
          <c:showVal val="0"/>
          <c:showCatName val="0"/>
          <c:showSerName val="0"/>
          <c:showPercent val="0"/>
          <c:showBubbleSize val="0"/>
        </c:dLbls>
        <c:gapWidth val="0"/>
        <c:axId val="205310592"/>
        <c:axId val="205320576"/>
      </c:barChart>
      <c:catAx>
        <c:axId val="205310592"/>
        <c:scaling>
          <c:orientation val="minMax"/>
        </c:scaling>
        <c:delete val="0"/>
        <c:axPos val="b"/>
        <c:numFmt formatCode="General" sourceLinked="1"/>
        <c:majorTickMark val="none"/>
        <c:minorTickMark val="none"/>
        <c:tickLblPos val="nextTo"/>
        <c:crossAx val="205320576"/>
        <c:crosses val="autoZero"/>
        <c:auto val="1"/>
        <c:lblAlgn val="ctr"/>
        <c:lblOffset val="100"/>
        <c:noMultiLvlLbl val="0"/>
      </c:catAx>
      <c:valAx>
        <c:axId val="205320576"/>
        <c:scaling>
          <c:orientation val="minMax"/>
        </c:scaling>
        <c:delete val="1"/>
        <c:axPos val="l"/>
        <c:majorGridlines/>
        <c:numFmt formatCode="General" sourceLinked="1"/>
        <c:majorTickMark val="none"/>
        <c:minorTickMark val="none"/>
        <c:tickLblPos val="none"/>
        <c:crossAx val="205310592"/>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4"/>
                </a:solidFill>
              </a:rPr>
              <a:t>D2.5</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chemeClr val="accent4">
                <a:lumMod val="40000"/>
                <a:lumOff val="60000"/>
              </a:schemeClr>
            </a:solidFill>
            <a:ln>
              <a:solidFill>
                <a:schemeClr val="tx2">
                  <a:lumMod val="75000"/>
                </a:schemeClr>
              </a:solidFill>
            </a:ln>
          </c:spPr>
          <c:invertIfNegative val="0"/>
          <c:dPt>
            <c:idx val="1"/>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0-A378-4882-AD3D-8EAEB6EAF030}"/>
              </c:ext>
            </c:extLst>
          </c:dPt>
          <c:dPt>
            <c:idx val="2"/>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1-A378-4882-AD3D-8EAEB6EAF030}"/>
              </c:ext>
            </c:extLst>
          </c:dPt>
          <c:dPt>
            <c:idx val="3"/>
            <c:invertIfNegative val="0"/>
            <c:bubble3D val="0"/>
            <c:spPr>
              <a:solidFill>
                <a:schemeClr val="accent4">
                  <a:lumMod val="40000"/>
                  <a:lumOff val="60000"/>
                </a:schemeClr>
              </a:solidFill>
              <a:ln>
                <a:solidFill>
                  <a:schemeClr val="tx2">
                    <a:lumMod val="75000"/>
                  </a:schemeClr>
                </a:solidFill>
              </a:ln>
            </c:spPr>
            <c:extLst>
              <c:ext xmlns:c16="http://schemas.microsoft.com/office/drawing/2014/chart" uri="{C3380CC4-5D6E-409C-BE32-E72D297353CC}">
                <c16:uniqueId val="{00000002-A378-4882-AD3D-8EAEB6EAF030}"/>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Ex_3_class!$B$56:$B$58</c:f>
              <c:numCache>
                <c:formatCode>General</c:formatCode>
                <c:ptCount val="3"/>
                <c:pt idx="0">
                  <c:v>110</c:v>
                </c:pt>
                <c:pt idx="1">
                  <c:v>120</c:v>
                </c:pt>
                <c:pt idx="2">
                  <c:v>130</c:v>
                </c:pt>
              </c:numCache>
            </c:numRef>
          </c:cat>
          <c:val>
            <c:numRef>
              <c:f>Ex_3_class!$D$56:$D$58</c:f>
              <c:numCache>
                <c:formatCode>General</c:formatCode>
                <c:ptCount val="3"/>
                <c:pt idx="0">
                  <c:v>0.25</c:v>
                </c:pt>
                <c:pt idx="1">
                  <c:v>0.75</c:v>
                </c:pt>
                <c:pt idx="2">
                  <c:v>1</c:v>
                </c:pt>
              </c:numCache>
            </c:numRef>
          </c:val>
          <c:extLst>
            <c:ext xmlns:c16="http://schemas.microsoft.com/office/drawing/2014/chart" uri="{C3380CC4-5D6E-409C-BE32-E72D297353CC}">
              <c16:uniqueId val="{00000003-A378-4882-AD3D-8EAEB6EAF030}"/>
            </c:ext>
          </c:extLst>
        </c:ser>
        <c:dLbls>
          <c:showLegendKey val="0"/>
          <c:showVal val="0"/>
          <c:showCatName val="0"/>
          <c:showSerName val="0"/>
          <c:showPercent val="0"/>
          <c:showBubbleSize val="0"/>
        </c:dLbls>
        <c:gapWidth val="0"/>
        <c:axId val="205376128"/>
        <c:axId val="205386112"/>
      </c:barChart>
      <c:catAx>
        <c:axId val="205376128"/>
        <c:scaling>
          <c:orientation val="minMax"/>
        </c:scaling>
        <c:delete val="0"/>
        <c:axPos val="b"/>
        <c:numFmt formatCode="General" sourceLinked="1"/>
        <c:majorTickMark val="none"/>
        <c:minorTickMark val="none"/>
        <c:tickLblPos val="nextTo"/>
        <c:crossAx val="205386112"/>
        <c:crosses val="autoZero"/>
        <c:auto val="1"/>
        <c:lblAlgn val="ctr"/>
        <c:lblOffset val="100"/>
        <c:noMultiLvlLbl val="0"/>
      </c:catAx>
      <c:valAx>
        <c:axId val="205386112"/>
        <c:scaling>
          <c:orientation val="minMax"/>
        </c:scaling>
        <c:delete val="1"/>
        <c:axPos val="l"/>
        <c:majorGridlines/>
        <c:numFmt formatCode="General" sourceLinked="1"/>
        <c:majorTickMark val="none"/>
        <c:minorTickMark val="none"/>
        <c:tickLblPos val="none"/>
        <c:crossAx val="205376128"/>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layout/>
      <c:overlay val="0"/>
    </c:title>
    <c:autoTitleDeleted val="0"/>
    <c:plotArea>
      <c:layout/>
      <c:barChart>
        <c:barDir val="col"/>
        <c:grouping val="clustered"/>
        <c:varyColors val="0"/>
        <c:ser>
          <c:idx val="0"/>
          <c:order val="0"/>
          <c:tx>
            <c:v>Frequency</c:v>
          </c:tx>
          <c:invertIfNegative val="0"/>
          <c:cat>
            <c:strRef>
              <c:f>Ex_4_class!$AA$21:$AA$38</c:f>
              <c:strCache>
                <c:ptCount val="18"/>
                <c:pt idx="0">
                  <c:v>8.5</c:v>
                </c:pt>
                <c:pt idx="1">
                  <c:v>9.5</c:v>
                </c:pt>
                <c:pt idx="2">
                  <c:v>10.5</c:v>
                </c:pt>
                <c:pt idx="3">
                  <c:v>11.5</c:v>
                </c:pt>
                <c:pt idx="4">
                  <c:v>12.5</c:v>
                </c:pt>
                <c:pt idx="5">
                  <c:v>13.5</c:v>
                </c:pt>
                <c:pt idx="6">
                  <c:v>14.5</c:v>
                </c:pt>
                <c:pt idx="7">
                  <c:v>15.5</c:v>
                </c:pt>
                <c:pt idx="8">
                  <c:v>16.5</c:v>
                </c:pt>
                <c:pt idx="9">
                  <c:v>17.5</c:v>
                </c:pt>
                <c:pt idx="10">
                  <c:v>18.5</c:v>
                </c:pt>
                <c:pt idx="11">
                  <c:v>19.5</c:v>
                </c:pt>
                <c:pt idx="12">
                  <c:v>20.5</c:v>
                </c:pt>
                <c:pt idx="13">
                  <c:v>21.5</c:v>
                </c:pt>
                <c:pt idx="14">
                  <c:v>22.5</c:v>
                </c:pt>
                <c:pt idx="15">
                  <c:v>23.5</c:v>
                </c:pt>
                <c:pt idx="16">
                  <c:v>24.5</c:v>
                </c:pt>
                <c:pt idx="17">
                  <c:v>More</c:v>
                </c:pt>
              </c:strCache>
            </c:strRef>
          </c:cat>
          <c:val>
            <c:numRef>
              <c:f>Ex_4_class!$AB$21:$AB$38</c:f>
              <c:numCache>
                <c:formatCode>General</c:formatCode>
                <c:ptCount val="18"/>
                <c:pt idx="0">
                  <c:v>6</c:v>
                </c:pt>
                <c:pt idx="1">
                  <c:v>8</c:v>
                </c:pt>
                <c:pt idx="2">
                  <c:v>14</c:v>
                </c:pt>
                <c:pt idx="3">
                  <c:v>8</c:v>
                </c:pt>
                <c:pt idx="4">
                  <c:v>11</c:v>
                </c:pt>
                <c:pt idx="5">
                  <c:v>8</c:v>
                </c:pt>
                <c:pt idx="6">
                  <c:v>11</c:v>
                </c:pt>
                <c:pt idx="7">
                  <c:v>9</c:v>
                </c:pt>
                <c:pt idx="8">
                  <c:v>11</c:v>
                </c:pt>
                <c:pt idx="9">
                  <c:v>12</c:v>
                </c:pt>
                <c:pt idx="10">
                  <c:v>8</c:v>
                </c:pt>
                <c:pt idx="11">
                  <c:v>5</c:v>
                </c:pt>
                <c:pt idx="12">
                  <c:v>5</c:v>
                </c:pt>
                <c:pt idx="13">
                  <c:v>3</c:v>
                </c:pt>
                <c:pt idx="14">
                  <c:v>1</c:v>
                </c:pt>
                <c:pt idx="15">
                  <c:v>3</c:v>
                </c:pt>
                <c:pt idx="16">
                  <c:v>2</c:v>
                </c:pt>
                <c:pt idx="17">
                  <c:v>0</c:v>
                </c:pt>
              </c:numCache>
            </c:numRef>
          </c:val>
          <c:extLst>
            <c:ext xmlns:c16="http://schemas.microsoft.com/office/drawing/2014/chart" uri="{C3380CC4-5D6E-409C-BE32-E72D297353CC}">
              <c16:uniqueId val="{00000001-2E56-4CAE-BD36-BD50B1BFDC98}"/>
            </c:ext>
          </c:extLst>
        </c:ser>
        <c:dLbls>
          <c:showLegendKey val="0"/>
          <c:showVal val="0"/>
          <c:showCatName val="0"/>
          <c:showSerName val="0"/>
          <c:showPercent val="0"/>
          <c:showBubbleSize val="0"/>
        </c:dLbls>
        <c:gapWidth val="150"/>
        <c:axId val="1215491503"/>
        <c:axId val="1215497327"/>
      </c:barChart>
      <c:lineChart>
        <c:grouping val="standard"/>
        <c:varyColors val="0"/>
        <c:ser>
          <c:idx val="1"/>
          <c:order val="1"/>
          <c:tx>
            <c:v>Cumulative %</c:v>
          </c:tx>
          <c:cat>
            <c:strRef>
              <c:f>Ex_4_class!$AA$21:$AA$38</c:f>
              <c:strCache>
                <c:ptCount val="18"/>
                <c:pt idx="0">
                  <c:v>8.5</c:v>
                </c:pt>
                <c:pt idx="1">
                  <c:v>9.5</c:v>
                </c:pt>
                <c:pt idx="2">
                  <c:v>10.5</c:v>
                </c:pt>
                <c:pt idx="3">
                  <c:v>11.5</c:v>
                </c:pt>
                <c:pt idx="4">
                  <c:v>12.5</c:v>
                </c:pt>
                <c:pt idx="5">
                  <c:v>13.5</c:v>
                </c:pt>
                <c:pt idx="6">
                  <c:v>14.5</c:v>
                </c:pt>
                <c:pt idx="7">
                  <c:v>15.5</c:v>
                </c:pt>
                <c:pt idx="8">
                  <c:v>16.5</c:v>
                </c:pt>
                <c:pt idx="9">
                  <c:v>17.5</c:v>
                </c:pt>
                <c:pt idx="10">
                  <c:v>18.5</c:v>
                </c:pt>
                <c:pt idx="11">
                  <c:v>19.5</c:v>
                </c:pt>
                <c:pt idx="12">
                  <c:v>20.5</c:v>
                </c:pt>
                <c:pt idx="13">
                  <c:v>21.5</c:v>
                </c:pt>
                <c:pt idx="14">
                  <c:v>22.5</c:v>
                </c:pt>
                <c:pt idx="15">
                  <c:v>23.5</c:v>
                </c:pt>
                <c:pt idx="16">
                  <c:v>24.5</c:v>
                </c:pt>
                <c:pt idx="17">
                  <c:v>More</c:v>
                </c:pt>
              </c:strCache>
            </c:strRef>
          </c:cat>
          <c:val>
            <c:numRef>
              <c:f>Ex_4_class!$AC$21:$AC$38</c:f>
              <c:numCache>
                <c:formatCode>0.00%</c:formatCode>
                <c:ptCount val="18"/>
                <c:pt idx="0">
                  <c:v>4.8000000000000001E-2</c:v>
                </c:pt>
                <c:pt idx="1">
                  <c:v>0.112</c:v>
                </c:pt>
                <c:pt idx="2">
                  <c:v>0.224</c:v>
                </c:pt>
                <c:pt idx="3">
                  <c:v>0.28799999999999998</c:v>
                </c:pt>
                <c:pt idx="4">
                  <c:v>0.376</c:v>
                </c:pt>
                <c:pt idx="5">
                  <c:v>0.44</c:v>
                </c:pt>
                <c:pt idx="6">
                  <c:v>0.52800000000000002</c:v>
                </c:pt>
                <c:pt idx="7">
                  <c:v>0.6</c:v>
                </c:pt>
                <c:pt idx="8">
                  <c:v>0.68799999999999994</c:v>
                </c:pt>
                <c:pt idx="9">
                  <c:v>0.78400000000000003</c:v>
                </c:pt>
                <c:pt idx="10">
                  <c:v>0.84799999999999998</c:v>
                </c:pt>
                <c:pt idx="11">
                  <c:v>0.88800000000000001</c:v>
                </c:pt>
                <c:pt idx="12">
                  <c:v>0.92800000000000005</c:v>
                </c:pt>
                <c:pt idx="13">
                  <c:v>0.95199999999999996</c:v>
                </c:pt>
                <c:pt idx="14">
                  <c:v>0.96</c:v>
                </c:pt>
                <c:pt idx="15">
                  <c:v>0.98399999999999999</c:v>
                </c:pt>
                <c:pt idx="16">
                  <c:v>1</c:v>
                </c:pt>
                <c:pt idx="17">
                  <c:v>1</c:v>
                </c:pt>
              </c:numCache>
            </c:numRef>
          </c:val>
          <c:smooth val="0"/>
          <c:extLst>
            <c:ext xmlns:c16="http://schemas.microsoft.com/office/drawing/2014/chart" uri="{C3380CC4-5D6E-409C-BE32-E72D297353CC}">
              <c16:uniqueId val="{00000002-2E56-4CAE-BD36-BD50B1BFDC98}"/>
            </c:ext>
          </c:extLst>
        </c:ser>
        <c:dLbls>
          <c:showLegendKey val="0"/>
          <c:showVal val="0"/>
          <c:showCatName val="0"/>
          <c:showSerName val="0"/>
          <c:showPercent val="0"/>
          <c:showBubbleSize val="0"/>
        </c:dLbls>
        <c:marker val="1"/>
        <c:smooth val="0"/>
        <c:axId val="1215492751"/>
        <c:axId val="1215494831"/>
      </c:lineChart>
      <c:catAx>
        <c:axId val="1215491503"/>
        <c:scaling>
          <c:orientation val="minMax"/>
        </c:scaling>
        <c:delete val="0"/>
        <c:axPos val="b"/>
        <c:title>
          <c:tx>
            <c:rich>
              <a:bodyPr/>
              <a:lstStyle/>
              <a:p>
                <a:pPr>
                  <a:defRPr/>
                </a:pPr>
                <a:r>
                  <a:rPr lang="en-US"/>
                  <a:t>Bin</a:t>
                </a:r>
              </a:p>
            </c:rich>
          </c:tx>
          <c:layout/>
          <c:overlay val="0"/>
        </c:title>
        <c:numFmt formatCode="General" sourceLinked="1"/>
        <c:majorTickMark val="out"/>
        <c:minorTickMark val="none"/>
        <c:tickLblPos val="nextTo"/>
        <c:crossAx val="1215497327"/>
        <c:crosses val="autoZero"/>
        <c:auto val="1"/>
        <c:lblAlgn val="ctr"/>
        <c:lblOffset val="100"/>
        <c:noMultiLvlLbl val="0"/>
      </c:catAx>
      <c:valAx>
        <c:axId val="1215497327"/>
        <c:scaling>
          <c:orientation val="minMax"/>
        </c:scaling>
        <c:delete val="0"/>
        <c:axPos val="l"/>
        <c:title>
          <c:tx>
            <c:rich>
              <a:bodyPr/>
              <a:lstStyle/>
              <a:p>
                <a:pPr>
                  <a:defRPr/>
                </a:pPr>
                <a:r>
                  <a:rPr lang="en-US"/>
                  <a:t>Frequency</a:t>
                </a:r>
              </a:p>
            </c:rich>
          </c:tx>
          <c:layout/>
          <c:overlay val="0"/>
        </c:title>
        <c:numFmt formatCode="General" sourceLinked="1"/>
        <c:majorTickMark val="out"/>
        <c:minorTickMark val="none"/>
        <c:tickLblPos val="nextTo"/>
        <c:crossAx val="1215491503"/>
        <c:crosses val="autoZero"/>
        <c:crossBetween val="between"/>
      </c:valAx>
      <c:valAx>
        <c:axId val="1215494831"/>
        <c:scaling>
          <c:orientation val="minMax"/>
        </c:scaling>
        <c:delete val="0"/>
        <c:axPos val="r"/>
        <c:numFmt formatCode="0.00%" sourceLinked="1"/>
        <c:majorTickMark val="out"/>
        <c:minorTickMark val="none"/>
        <c:tickLblPos val="nextTo"/>
        <c:crossAx val="1215492751"/>
        <c:crosses val="max"/>
        <c:crossBetween val="between"/>
      </c:valAx>
      <c:catAx>
        <c:axId val="1215492751"/>
        <c:scaling>
          <c:orientation val="minMax"/>
        </c:scaling>
        <c:delete val="1"/>
        <c:axPos val="b"/>
        <c:numFmt formatCode="General" sourceLinked="1"/>
        <c:majorTickMark val="out"/>
        <c:minorTickMark val="none"/>
        <c:tickLblPos val="nextTo"/>
        <c:crossAx val="1215494831"/>
        <c:crosses val="autoZero"/>
        <c:auto val="1"/>
        <c:lblAlgn val="ctr"/>
        <c:lblOffset val="100"/>
        <c:noMultiLvlLbl val="0"/>
      </c:cat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2-Weibull</c:v>
          </c:tx>
          <c:spPr>
            <a:solidFill>
              <a:schemeClr val="accent6">
                <a:lumMod val="75000"/>
              </a:schemeClr>
            </a:solidFill>
            <a:ln>
              <a:noFill/>
            </a:ln>
            <a:effectLst/>
          </c:spPr>
          <c:invertIfNegative val="0"/>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Ex_5_class!$Z$32:$Z$39</c:f>
              <c:numCache>
                <c:formatCode>General</c:formatCode>
                <c:ptCount val="8"/>
                <c:pt idx="0">
                  <c:v>0</c:v>
                </c:pt>
                <c:pt idx="1">
                  <c:v>0.17142857142857143</c:v>
                </c:pt>
                <c:pt idx="2">
                  <c:v>0.54285714285714293</c:v>
                </c:pt>
                <c:pt idx="3">
                  <c:v>0.91428571428571437</c:v>
                </c:pt>
                <c:pt idx="4">
                  <c:v>1</c:v>
                </c:pt>
                <c:pt idx="5">
                  <c:v>1</c:v>
                </c:pt>
                <c:pt idx="6">
                  <c:v>1</c:v>
                </c:pt>
                <c:pt idx="7">
                  <c:v>1</c:v>
                </c:pt>
              </c:numCache>
            </c:numRef>
          </c:val>
          <c:extLst>
            <c:ext xmlns:c16="http://schemas.microsoft.com/office/drawing/2014/chart" uri="{C3380CC4-5D6E-409C-BE32-E72D297353CC}">
              <c16:uniqueId val="{00000001-35F8-4E10-B690-57EE5B43956C}"/>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2-Weibul</c:v>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Ex_5_class!$X$32:$X$39</c:f>
              <c:numCache>
                <c:formatCode>General</c:formatCode>
                <c:ptCount val="8"/>
                <c:pt idx="0">
                  <c:v>0</c:v>
                </c:pt>
                <c:pt idx="1">
                  <c:v>6</c:v>
                </c:pt>
                <c:pt idx="2">
                  <c:v>13</c:v>
                </c:pt>
                <c:pt idx="3">
                  <c:v>13</c:v>
                </c:pt>
                <c:pt idx="4">
                  <c:v>3</c:v>
                </c:pt>
                <c:pt idx="5">
                  <c:v>0</c:v>
                </c:pt>
                <c:pt idx="6">
                  <c:v>0</c:v>
                </c:pt>
                <c:pt idx="7">
                  <c:v>0</c:v>
                </c:pt>
              </c:numCache>
            </c:numRef>
          </c:val>
          <c:extLst>
            <c:ext xmlns:c16="http://schemas.microsoft.com/office/drawing/2014/chart" uri="{C3380CC4-5D6E-409C-BE32-E72D297353CC}">
              <c16:uniqueId val="{00000001-6F74-4AB9-9BF1-01D97E2A5273}"/>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v>3-Weibul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Ex_5_class!$S$32:$S$39</c:f>
              <c:numCache>
                <c:formatCode>General</c:formatCode>
                <c:ptCount val="8"/>
                <c:pt idx="0">
                  <c:v>0</c:v>
                </c:pt>
                <c:pt idx="1">
                  <c:v>2</c:v>
                </c:pt>
                <c:pt idx="2">
                  <c:v>5</c:v>
                </c:pt>
                <c:pt idx="3">
                  <c:v>18</c:v>
                </c:pt>
                <c:pt idx="4">
                  <c:v>9</c:v>
                </c:pt>
                <c:pt idx="5">
                  <c:v>1</c:v>
                </c:pt>
                <c:pt idx="6">
                  <c:v>0</c:v>
                </c:pt>
                <c:pt idx="7">
                  <c:v>0</c:v>
                </c:pt>
              </c:numCache>
            </c:numRef>
          </c:val>
          <c:extLst>
            <c:ext xmlns:c16="http://schemas.microsoft.com/office/drawing/2014/chart" uri="{C3380CC4-5D6E-409C-BE32-E72D297353CC}">
              <c16:uniqueId val="{00000000-A758-41E5-BC99-068D1D1CC5CC}"/>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y</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74"/>
        </c:manualLayout>
      </c:layout>
      <c:barChart>
        <c:barDir val="col"/>
        <c:grouping val="clustered"/>
        <c:varyColors val="0"/>
        <c:ser>
          <c:idx val="1"/>
          <c:order val="0"/>
          <c:spPr>
            <a:solidFill>
              <a:srgbClr val="0099CC"/>
            </a:solidFill>
            <a:ln>
              <a:solidFill>
                <a:schemeClr val="accent3">
                  <a:lumMod val="50000"/>
                </a:schemeClr>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Ex_2_class!$G$14:$G$17</c:f>
              <c:numCache>
                <c:formatCode>General</c:formatCode>
                <c:ptCount val="4"/>
                <c:pt idx="0">
                  <c:v>2</c:v>
                </c:pt>
                <c:pt idx="1">
                  <c:v>3</c:v>
                </c:pt>
                <c:pt idx="2">
                  <c:v>4</c:v>
                </c:pt>
                <c:pt idx="3">
                  <c:v>5</c:v>
                </c:pt>
              </c:numCache>
            </c:numRef>
          </c:cat>
          <c:val>
            <c:numRef>
              <c:f>Ex_2_class!$H$14:$H$17</c:f>
              <c:numCache>
                <c:formatCode>General</c:formatCode>
                <c:ptCount val="4"/>
                <c:pt idx="0">
                  <c:v>0.25</c:v>
                </c:pt>
                <c:pt idx="1">
                  <c:v>0.3</c:v>
                </c:pt>
                <c:pt idx="2">
                  <c:v>0.25</c:v>
                </c:pt>
                <c:pt idx="3">
                  <c:v>0.2</c:v>
                </c:pt>
              </c:numCache>
            </c:numRef>
          </c:val>
          <c:extLst>
            <c:ext xmlns:c16="http://schemas.microsoft.com/office/drawing/2014/chart" uri="{C3380CC4-5D6E-409C-BE32-E72D297353CC}">
              <c16:uniqueId val="{00000000-5BE7-400B-BE28-62A337477032}"/>
            </c:ext>
          </c:extLst>
        </c:ser>
        <c:dLbls>
          <c:showLegendKey val="0"/>
          <c:showVal val="0"/>
          <c:showCatName val="0"/>
          <c:showSerName val="0"/>
          <c:showPercent val="0"/>
          <c:showBubbleSize val="0"/>
        </c:dLbls>
        <c:gapWidth val="0"/>
        <c:axId val="203828224"/>
        <c:axId val="203866880"/>
      </c:barChart>
      <c:catAx>
        <c:axId val="203828224"/>
        <c:scaling>
          <c:orientation val="minMax"/>
        </c:scaling>
        <c:delete val="0"/>
        <c:axPos val="b"/>
        <c:numFmt formatCode="General" sourceLinked="1"/>
        <c:majorTickMark val="none"/>
        <c:minorTickMark val="none"/>
        <c:tickLblPos val="nextTo"/>
        <c:crossAx val="203866880"/>
        <c:crosses val="autoZero"/>
        <c:auto val="1"/>
        <c:lblAlgn val="ctr"/>
        <c:lblOffset val="100"/>
        <c:noMultiLvlLbl val="0"/>
      </c:catAx>
      <c:valAx>
        <c:axId val="203866880"/>
        <c:scaling>
          <c:orientation val="minMax"/>
        </c:scaling>
        <c:delete val="1"/>
        <c:axPos val="l"/>
        <c:numFmt formatCode="General" sourceLinked="1"/>
        <c:majorTickMark val="none"/>
        <c:minorTickMark val="none"/>
        <c:tickLblPos val="none"/>
        <c:crossAx val="203828224"/>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v>3-Weibull</c:v>
          </c:tx>
          <c:spPr>
            <a:solidFill>
              <a:schemeClr val="accent1"/>
            </a:solidFill>
            <a:ln>
              <a:noFill/>
            </a:ln>
            <a:effectLst/>
          </c:spPr>
          <c:invertIfNegative val="0"/>
          <c:cat>
            <c:numRef>
              <c:f>Ex_5_class!$C$33:$C$40</c:f>
              <c:numCache>
                <c:formatCode>General</c:formatCode>
                <c:ptCount val="8"/>
                <c:pt idx="0">
                  <c:v>5</c:v>
                </c:pt>
                <c:pt idx="1">
                  <c:v>10</c:v>
                </c:pt>
                <c:pt idx="2">
                  <c:v>15</c:v>
                </c:pt>
                <c:pt idx="3">
                  <c:v>20</c:v>
                </c:pt>
                <c:pt idx="4">
                  <c:v>25</c:v>
                </c:pt>
                <c:pt idx="5">
                  <c:v>30</c:v>
                </c:pt>
                <c:pt idx="6">
                  <c:v>35</c:v>
                </c:pt>
                <c:pt idx="7">
                  <c:v>40</c:v>
                </c:pt>
              </c:numCache>
            </c:numRef>
          </c:cat>
          <c:val>
            <c:numRef>
              <c:f>Ex_5_class!$U$32:$U$39</c:f>
              <c:numCache>
                <c:formatCode>General</c:formatCode>
                <c:ptCount val="8"/>
                <c:pt idx="0">
                  <c:v>0</c:v>
                </c:pt>
                <c:pt idx="1">
                  <c:v>5.7142857142857141E-2</c:v>
                </c:pt>
                <c:pt idx="2">
                  <c:v>0.19999999999999998</c:v>
                </c:pt>
                <c:pt idx="3">
                  <c:v>0.71428571428571419</c:v>
                </c:pt>
                <c:pt idx="4">
                  <c:v>0.97142857142857131</c:v>
                </c:pt>
                <c:pt idx="5">
                  <c:v>0.99999999999999989</c:v>
                </c:pt>
                <c:pt idx="6">
                  <c:v>0.99999999999999989</c:v>
                </c:pt>
                <c:pt idx="7">
                  <c:v>0.99999999999999989</c:v>
                </c:pt>
              </c:numCache>
            </c:numRef>
          </c:val>
          <c:extLst>
            <c:ext xmlns:c16="http://schemas.microsoft.com/office/drawing/2014/chart" uri="{C3380CC4-5D6E-409C-BE32-E72D297353CC}">
              <c16:uniqueId val="{00000000-78A6-4874-A4BD-A0BC037EA9A1}"/>
            </c:ext>
          </c:extLst>
        </c:ser>
        <c:dLbls>
          <c:showLegendKey val="0"/>
          <c:showVal val="0"/>
          <c:showCatName val="0"/>
          <c:showSerName val="0"/>
          <c:showPercent val="0"/>
          <c:showBubbleSize val="0"/>
        </c:dLbls>
        <c:gapWidth val="69"/>
        <c:overlap val="-27"/>
        <c:axId val="721097423"/>
        <c:axId val="721097839"/>
      </c:barChart>
      <c:catAx>
        <c:axId val="72109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839"/>
        <c:crosses val="autoZero"/>
        <c:auto val="1"/>
        <c:lblAlgn val="ctr"/>
        <c:lblOffset val="100"/>
        <c:noMultiLvlLbl val="0"/>
      </c:catAx>
      <c:valAx>
        <c:axId val="721097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097423"/>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1981_before</a:t>
            </a:r>
            <a:r>
              <a:rPr lang="pt-PT" baseline="0"/>
              <a:t> death</a:t>
            </a:r>
            <a:endParaRPr lang="pt-PT"/>
          </a:p>
        </c:rich>
      </c:tx>
      <c:layout/>
      <c:overlay val="0"/>
    </c:title>
    <c:autoTitleDeleted val="0"/>
    <c:plotArea>
      <c:layout/>
      <c:scatterChart>
        <c:scatterStyle val="lineMarker"/>
        <c:varyColors val="0"/>
        <c:ser>
          <c:idx val="0"/>
          <c:order val="0"/>
          <c:spPr>
            <a:ln w="28575">
              <a:noFill/>
            </a:ln>
          </c:spPr>
          <c:marker>
            <c:symbol val="circle"/>
            <c:size val="4"/>
            <c:spPr>
              <a:solidFill>
                <a:srgbClr val="99CC00"/>
              </a:solidFill>
              <a:ln>
                <a:solidFill>
                  <a:schemeClr val="accent3">
                    <a:lumMod val="50000"/>
                  </a:schemeClr>
                </a:solidFill>
              </a:ln>
            </c:spPr>
          </c:marker>
          <c:xVal>
            <c:numRef>
              <c:f>[2]Ex_6_Pdeath_class!$F$42:$F$305</c:f>
              <c:numCache>
                <c:formatCode>General</c:formatCode>
                <c:ptCount val="264"/>
                <c:pt idx="0">
                  <c:v>1.5</c:v>
                </c:pt>
                <c:pt idx="1">
                  <c:v>4.5</c:v>
                </c:pt>
                <c:pt idx="2">
                  <c:v>7.5</c:v>
                </c:pt>
                <c:pt idx="3">
                  <c:v>10.5</c:v>
                </c:pt>
                <c:pt idx="4">
                  <c:v>13.5</c:v>
                </c:pt>
                <c:pt idx="5">
                  <c:v>16.5</c:v>
                </c:pt>
                <c:pt idx="6">
                  <c:v>19.5</c:v>
                </c:pt>
                <c:pt idx="7">
                  <c:v>22.5</c:v>
                </c:pt>
                <c:pt idx="8">
                  <c:v>25.5</c:v>
                </c:pt>
                <c:pt idx="9">
                  <c:v>28.5</c:v>
                </c:pt>
                <c:pt idx="10">
                  <c:v>31.5</c:v>
                </c:pt>
                <c:pt idx="11">
                  <c:v>34.5</c:v>
                </c:pt>
                <c:pt idx="12">
                  <c:v>37.5</c:v>
                </c:pt>
                <c:pt idx="13">
                  <c:v>40.5</c:v>
                </c:pt>
                <c:pt idx="14">
                  <c:v>43.5</c:v>
                </c:pt>
                <c:pt idx="15">
                  <c:v>46.5</c:v>
                </c:pt>
                <c:pt idx="16">
                  <c:v>49.5</c:v>
                </c:pt>
                <c:pt idx="17">
                  <c:v>52.5</c:v>
                </c:pt>
                <c:pt idx="18">
                  <c:v>55.5</c:v>
                </c:pt>
                <c:pt idx="19">
                  <c:v>58.5</c:v>
                </c:pt>
                <c:pt idx="20">
                  <c:v>61.5</c:v>
                </c:pt>
                <c:pt idx="21">
                  <c:v>64.5</c:v>
                </c:pt>
                <c:pt idx="22">
                  <c:v>67.5</c:v>
                </c:pt>
                <c:pt idx="23">
                  <c:v>70.5</c:v>
                </c:pt>
                <c:pt idx="24">
                  <c:v>70.5</c:v>
                </c:pt>
                <c:pt idx="25">
                  <c:v>67.5</c:v>
                </c:pt>
                <c:pt idx="26">
                  <c:v>64.5</c:v>
                </c:pt>
                <c:pt idx="27">
                  <c:v>61.5</c:v>
                </c:pt>
                <c:pt idx="28">
                  <c:v>58.5</c:v>
                </c:pt>
                <c:pt idx="29">
                  <c:v>55.5</c:v>
                </c:pt>
                <c:pt idx="30">
                  <c:v>52.5</c:v>
                </c:pt>
                <c:pt idx="31">
                  <c:v>49.5</c:v>
                </c:pt>
                <c:pt idx="32">
                  <c:v>46.5</c:v>
                </c:pt>
                <c:pt idx="33">
                  <c:v>43.5</c:v>
                </c:pt>
                <c:pt idx="34">
                  <c:v>40.5</c:v>
                </c:pt>
                <c:pt idx="35">
                  <c:v>37.5</c:v>
                </c:pt>
                <c:pt idx="36">
                  <c:v>34.5</c:v>
                </c:pt>
                <c:pt idx="37">
                  <c:v>31.5</c:v>
                </c:pt>
                <c:pt idx="38">
                  <c:v>28.5</c:v>
                </c:pt>
                <c:pt idx="39">
                  <c:v>25.5</c:v>
                </c:pt>
                <c:pt idx="40">
                  <c:v>22.5</c:v>
                </c:pt>
                <c:pt idx="41">
                  <c:v>19.5</c:v>
                </c:pt>
                <c:pt idx="42">
                  <c:v>16.5</c:v>
                </c:pt>
                <c:pt idx="43">
                  <c:v>13.5</c:v>
                </c:pt>
                <c:pt idx="44">
                  <c:v>10.5</c:v>
                </c:pt>
                <c:pt idx="45">
                  <c:v>7.5</c:v>
                </c:pt>
                <c:pt idx="46">
                  <c:v>4.5</c:v>
                </c:pt>
                <c:pt idx="47">
                  <c:v>1.5</c:v>
                </c:pt>
                <c:pt idx="48">
                  <c:v>1.5</c:v>
                </c:pt>
                <c:pt idx="49">
                  <c:v>4.5</c:v>
                </c:pt>
                <c:pt idx="50">
                  <c:v>7.5</c:v>
                </c:pt>
                <c:pt idx="51">
                  <c:v>10.5</c:v>
                </c:pt>
                <c:pt idx="52">
                  <c:v>13.5</c:v>
                </c:pt>
                <c:pt idx="53">
                  <c:v>16.5</c:v>
                </c:pt>
                <c:pt idx="54">
                  <c:v>19.5</c:v>
                </c:pt>
                <c:pt idx="55">
                  <c:v>22.5</c:v>
                </c:pt>
                <c:pt idx="56">
                  <c:v>25.5</c:v>
                </c:pt>
                <c:pt idx="57">
                  <c:v>28.5</c:v>
                </c:pt>
                <c:pt idx="58">
                  <c:v>31.5</c:v>
                </c:pt>
                <c:pt idx="59">
                  <c:v>34.5</c:v>
                </c:pt>
                <c:pt idx="60">
                  <c:v>37.5</c:v>
                </c:pt>
                <c:pt idx="61">
                  <c:v>40.5</c:v>
                </c:pt>
                <c:pt idx="62">
                  <c:v>43.5</c:v>
                </c:pt>
                <c:pt idx="63">
                  <c:v>46.5</c:v>
                </c:pt>
                <c:pt idx="64">
                  <c:v>49.5</c:v>
                </c:pt>
                <c:pt idx="65">
                  <c:v>52.5</c:v>
                </c:pt>
                <c:pt idx="66">
                  <c:v>55.5</c:v>
                </c:pt>
                <c:pt idx="67">
                  <c:v>58.5</c:v>
                </c:pt>
                <c:pt idx="68">
                  <c:v>61.5</c:v>
                </c:pt>
                <c:pt idx="69">
                  <c:v>64.5</c:v>
                </c:pt>
                <c:pt idx="70">
                  <c:v>67.5</c:v>
                </c:pt>
                <c:pt idx="71">
                  <c:v>70.5</c:v>
                </c:pt>
                <c:pt idx="72">
                  <c:v>70.5</c:v>
                </c:pt>
                <c:pt idx="73">
                  <c:v>67.5</c:v>
                </c:pt>
                <c:pt idx="74">
                  <c:v>64.5</c:v>
                </c:pt>
                <c:pt idx="75">
                  <c:v>61.5</c:v>
                </c:pt>
                <c:pt idx="76">
                  <c:v>58.5</c:v>
                </c:pt>
                <c:pt idx="77">
                  <c:v>55.5</c:v>
                </c:pt>
                <c:pt idx="78">
                  <c:v>52.5</c:v>
                </c:pt>
                <c:pt idx="79">
                  <c:v>49.5</c:v>
                </c:pt>
                <c:pt idx="80">
                  <c:v>46.5</c:v>
                </c:pt>
                <c:pt idx="81">
                  <c:v>43.5</c:v>
                </c:pt>
                <c:pt idx="82">
                  <c:v>40.5</c:v>
                </c:pt>
                <c:pt idx="83">
                  <c:v>37.5</c:v>
                </c:pt>
                <c:pt idx="84">
                  <c:v>34.5</c:v>
                </c:pt>
                <c:pt idx="85">
                  <c:v>31.5</c:v>
                </c:pt>
                <c:pt idx="86">
                  <c:v>28.5</c:v>
                </c:pt>
                <c:pt idx="87">
                  <c:v>25.5</c:v>
                </c:pt>
                <c:pt idx="88">
                  <c:v>22.5</c:v>
                </c:pt>
                <c:pt idx="89">
                  <c:v>19.5</c:v>
                </c:pt>
                <c:pt idx="90">
                  <c:v>16.5</c:v>
                </c:pt>
                <c:pt idx="91">
                  <c:v>13.5</c:v>
                </c:pt>
                <c:pt idx="92">
                  <c:v>10.5</c:v>
                </c:pt>
                <c:pt idx="93">
                  <c:v>7.5</c:v>
                </c:pt>
                <c:pt idx="94">
                  <c:v>4.5</c:v>
                </c:pt>
                <c:pt idx="95">
                  <c:v>1.5</c:v>
                </c:pt>
                <c:pt idx="96">
                  <c:v>1.5</c:v>
                </c:pt>
                <c:pt idx="97">
                  <c:v>4.5</c:v>
                </c:pt>
                <c:pt idx="98">
                  <c:v>7.5</c:v>
                </c:pt>
                <c:pt idx="99">
                  <c:v>10.5</c:v>
                </c:pt>
                <c:pt idx="100">
                  <c:v>13.5</c:v>
                </c:pt>
                <c:pt idx="101">
                  <c:v>16.5</c:v>
                </c:pt>
                <c:pt idx="102">
                  <c:v>19.5</c:v>
                </c:pt>
                <c:pt idx="103">
                  <c:v>22.5</c:v>
                </c:pt>
                <c:pt idx="104">
                  <c:v>25.5</c:v>
                </c:pt>
                <c:pt idx="105">
                  <c:v>28.5</c:v>
                </c:pt>
                <c:pt idx="106">
                  <c:v>31.5</c:v>
                </c:pt>
                <c:pt idx="107">
                  <c:v>34.5</c:v>
                </c:pt>
                <c:pt idx="108">
                  <c:v>37.5</c:v>
                </c:pt>
                <c:pt idx="109">
                  <c:v>40.5</c:v>
                </c:pt>
                <c:pt idx="110">
                  <c:v>43.5</c:v>
                </c:pt>
                <c:pt idx="111">
                  <c:v>46.5</c:v>
                </c:pt>
                <c:pt idx="112">
                  <c:v>49.5</c:v>
                </c:pt>
                <c:pt idx="113">
                  <c:v>52.5</c:v>
                </c:pt>
                <c:pt idx="114">
                  <c:v>55.5</c:v>
                </c:pt>
                <c:pt idx="115">
                  <c:v>58.5</c:v>
                </c:pt>
                <c:pt idx="116">
                  <c:v>61.5</c:v>
                </c:pt>
                <c:pt idx="117">
                  <c:v>64.5</c:v>
                </c:pt>
                <c:pt idx="118">
                  <c:v>67.5</c:v>
                </c:pt>
                <c:pt idx="119">
                  <c:v>70.5</c:v>
                </c:pt>
                <c:pt idx="120">
                  <c:v>70.5</c:v>
                </c:pt>
                <c:pt idx="121">
                  <c:v>67.5</c:v>
                </c:pt>
                <c:pt idx="122">
                  <c:v>64.5</c:v>
                </c:pt>
                <c:pt idx="123">
                  <c:v>61.5</c:v>
                </c:pt>
                <c:pt idx="124">
                  <c:v>58.5</c:v>
                </c:pt>
                <c:pt idx="125">
                  <c:v>55.5</c:v>
                </c:pt>
                <c:pt idx="126">
                  <c:v>52.5</c:v>
                </c:pt>
                <c:pt idx="127">
                  <c:v>49.5</c:v>
                </c:pt>
                <c:pt idx="128">
                  <c:v>46.5</c:v>
                </c:pt>
                <c:pt idx="129">
                  <c:v>43.5</c:v>
                </c:pt>
                <c:pt idx="130">
                  <c:v>40.5</c:v>
                </c:pt>
                <c:pt idx="131">
                  <c:v>37.5</c:v>
                </c:pt>
                <c:pt idx="132">
                  <c:v>34.5</c:v>
                </c:pt>
                <c:pt idx="133">
                  <c:v>31.5</c:v>
                </c:pt>
                <c:pt idx="134">
                  <c:v>28.5</c:v>
                </c:pt>
                <c:pt idx="135">
                  <c:v>25.5</c:v>
                </c:pt>
                <c:pt idx="136">
                  <c:v>22.5</c:v>
                </c:pt>
                <c:pt idx="137">
                  <c:v>19.5</c:v>
                </c:pt>
                <c:pt idx="138">
                  <c:v>16.5</c:v>
                </c:pt>
                <c:pt idx="139">
                  <c:v>13.5</c:v>
                </c:pt>
                <c:pt idx="140">
                  <c:v>10.5</c:v>
                </c:pt>
                <c:pt idx="141">
                  <c:v>7.5</c:v>
                </c:pt>
                <c:pt idx="142">
                  <c:v>4.5</c:v>
                </c:pt>
                <c:pt idx="143">
                  <c:v>1.5</c:v>
                </c:pt>
                <c:pt idx="144">
                  <c:v>1.5</c:v>
                </c:pt>
                <c:pt idx="145">
                  <c:v>4.5</c:v>
                </c:pt>
                <c:pt idx="146">
                  <c:v>7.5</c:v>
                </c:pt>
                <c:pt idx="147">
                  <c:v>10.5</c:v>
                </c:pt>
                <c:pt idx="148">
                  <c:v>13.5</c:v>
                </c:pt>
                <c:pt idx="149">
                  <c:v>16.5</c:v>
                </c:pt>
                <c:pt idx="150">
                  <c:v>19.5</c:v>
                </c:pt>
                <c:pt idx="151">
                  <c:v>22.5</c:v>
                </c:pt>
                <c:pt idx="152">
                  <c:v>25.5</c:v>
                </c:pt>
                <c:pt idx="153">
                  <c:v>28.5</c:v>
                </c:pt>
                <c:pt idx="154">
                  <c:v>31.5</c:v>
                </c:pt>
                <c:pt idx="155">
                  <c:v>34.5</c:v>
                </c:pt>
                <c:pt idx="156">
                  <c:v>37.5</c:v>
                </c:pt>
                <c:pt idx="157">
                  <c:v>40.5</c:v>
                </c:pt>
                <c:pt idx="158">
                  <c:v>43.5</c:v>
                </c:pt>
                <c:pt idx="159">
                  <c:v>46.5</c:v>
                </c:pt>
                <c:pt idx="160">
                  <c:v>49.5</c:v>
                </c:pt>
                <c:pt idx="161">
                  <c:v>52.5</c:v>
                </c:pt>
                <c:pt idx="162">
                  <c:v>55.5</c:v>
                </c:pt>
                <c:pt idx="163">
                  <c:v>58.5</c:v>
                </c:pt>
                <c:pt idx="164">
                  <c:v>61.5</c:v>
                </c:pt>
                <c:pt idx="165">
                  <c:v>64.5</c:v>
                </c:pt>
                <c:pt idx="166">
                  <c:v>67.5</c:v>
                </c:pt>
                <c:pt idx="167">
                  <c:v>70.5</c:v>
                </c:pt>
                <c:pt idx="168">
                  <c:v>70.5</c:v>
                </c:pt>
                <c:pt idx="169">
                  <c:v>67.5</c:v>
                </c:pt>
                <c:pt idx="170">
                  <c:v>64.5</c:v>
                </c:pt>
                <c:pt idx="171">
                  <c:v>61.5</c:v>
                </c:pt>
                <c:pt idx="172">
                  <c:v>58.5</c:v>
                </c:pt>
                <c:pt idx="173">
                  <c:v>55.5</c:v>
                </c:pt>
                <c:pt idx="174">
                  <c:v>52.5</c:v>
                </c:pt>
                <c:pt idx="175">
                  <c:v>49.5</c:v>
                </c:pt>
                <c:pt idx="176">
                  <c:v>46.5</c:v>
                </c:pt>
                <c:pt idx="177">
                  <c:v>43.5</c:v>
                </c:pt>
                <c:pt idx="178">
                  <c:v>40.5</c:v>
                </c:pt>
                <c:pt idx="179">
                  <c:v>37.5</c:v>
                </c:pt>
                <c:pt idx="180">
                  <c:v>34.5</c:v>
                </c:pt>
                <c:pt idx="181">
                  <c:v>31.5</c:v>
                </c:pt>
                <c:pt idx="182">
                  <c:v>28.5</c:v>
                </c:pt>
                <c:pt idx="183">
                  <c:v>25.5</c:v>
                </c:pt>
                <c:pt idx="184">
                  <c:v>22.5</c:v>
                </c:pt>
                <c:pt idx="185">
                  <c:v>19.5</c:v>
                </c:pt>
                <c:pt idx="186">
                  <c:v>16.5</c:v>
                </c:pt>
                <c:pt idx="187">
                  <c:v>13.5</c:v>
                </c:pt>
                <c:pt idx="188">
                  <c:v>10.5</c:v>
                </c:pt>
                <c:pt idx="189">
                  <c:v>7.5</c:v>
                </c:pt>
                <c:pt idx="190">
                  <c:v>4.5</c:v>
                </c:pt>
                <c:pt idx="191">
                  <c:v>1.5</c:v>
                </c:pt>
                <c:pt idx="192">
                  <c:v>1.5</c:v>
                </c:pt>
                <c:pt idx="193">
                  <c:v>4.5</c:v>
                </c:pt>
                <c:pt idx="194">
                  <c:v>7.5</c:v>
                </c:pt>
                <c:pt idx="195">
                  <c:v>10.5</c:v>
                </c:pt>
                <c:pt idx="196">
                  <c:v>13.5</c:v>
                </c:pt>
                <c:pt idx="197">
                  <c:v>16.5</c:v>
                </c:pt>
                <c:pt idx="198">
                  <c:v>19.5</c:v>
                </c:pt>
                <c:pt idx="199">
                  <c:v>22.5</c:v>
                </c:pt>
                <c:pt idx="200">
                  <c:v>25.5</c:v>
                </c:pt>
                <c:pt idx="201">
                  <c:v>28.5</c:v>
                </c:pt>
                <c:pt idx="202">
                  <c:v>31.5</c:v>
                </c:pt>
                <c:pt idx="203">
                  <c:v>34.5</c:v>
                </c:pt>
                <c:pt idx="204">
                  <c:v>37.5</c:v>
                </c:pt>
                <c:pt idx="205">
                  <c:v>40.5</c:v>
                </c:pt>
                <c:pt idx="206">
                  <c:v>43.5</c:v>
                </c:pt>
                <c:pt idx="207">
                  <c:v>46.5</c:v>
                </c:pt>
                <c:pt idx="208">
                  <c:v>49.5</c:v>
                </c:pt>
                <c:pt idx="209">
                  <c:v>52.5</c:v>
                </c:pt>
                <c:pt idx="210">
                  <c:v>55.5</c:v>
                </c:pt>
                <c:pt idx="211">
                  <c:v>58.5</c:v>
                </c:pt>
                <c:pt idx="212">
                  <c:v>61.5</c:v>
                </c:pt>
                <c:pt idx="213">
                  <c:v>64.5</c:v>
                </c:pt>
                <c:pt idx="214">
                  <c:v>67.5</c:v>
                </c:pt>
                <c:pt idx="215">
                  <c:v>70.5</c:v>
                </c:pt>
                <c:pt idx="216">
                  <c:v>70.5</c:v>
                </c:pt>
                <c:pt idx="217">
                  <c:v>67.5</c:v>
                </c:pt>
                <c:pt idx="218">
                  <c:v>64.5</c:v>
                </c:pt>
                <c:pt idx="219">
                  <c:v>61.5</c:v>
                </c:pt>
                <c:pt idx="220">
                  <c:v>58.5</c:v>
                </c:pt>
                <c:pt idx="221">
                  <c:v>55.5</c:v>
                </c:pt>
                <c:pt idx="222">
                  <c:v>52.5</c:v>
                </c:pt>
                <c:pt idx="223">
                  <c:v>49.5</c:v>
                </c:pt>
                <c:pt idx="224">
                  <c:v>46.5</c:v>
                </c:pt>
                <c:pt idx="225">
                  <c:v>43.5</c:v>
                </c:pt>
                <c:pt idx="226">
                  <c:v>40.5</c:v>
                </c:pt>
                <c:pt idx="227">
                  <c:v>37.5</c:v>
                </c:pt>
                <c:pt idx="228">
                  <c:v>34.5</c:v>
                </c:pt>
                <c:pt idx="229">
                  <c:v>31.5</c:v>
                </c:pt>
                <c:pt idx="230">
                  <c:v>28.5</c:v>
                </c:pt>
                <c:pt idx="231">
                  <c:v>25.5</c:v>
                </c:pt>
                <c:pt idx="232">
                  <c:v>22.5</c:v>
                </c:pt>
                <c:pt idx="233">
                  <c:v>19.5</c:v>
                </c:pt>
                <c:pt idx="234">
                  <c:v>16.5</c:v>
                </c:pt>
                <c:pt idx="235">
                  <c:v>13.5</c:v>
                </c:pt>
                <c:pt idx="236">
                  <c:v>10.5</c:v>
                </c:pt>
                <c:pt idx="237">
                  <c:v>7.5</c:v>
                </c:pt>
                <c:pt idx="238">
                  <c:v>4.5</c:v>
                </c:pt>
                <c:pt idx="239">
                  <c:v>1.5</c:v>
                </c:pt>
                <c:pt idx="240">
                  <c:v>1.5</c:v>
                </c:pt>
                <c:pt idx="241">
                  <c:v>4.5</c:v>
                </c:pt>
                <c:pt idx="242">
                  <c:v>7.5</c:v>
                </c:pt>
                <c:pt idx="243">
                  <c:v>10.5</c:v>
                </c:pt>
                <c:pt idx="244">
                  <c:v>13.5</c:v>
                </c:pt>
                <c:pt idx="245">
                  <c:v>16.5</c:v>
                </c:pt>
                <c:pt idx="246">
                  <c:v>19.5</c:v>
                </c:pt>
                <c:pt idx="247">
                  <c:v>22.5</c:v>
                </c:pt>
                <c:pt idx="248">
                  <c:v>25.5</c:v>
                </c:pt>
                <c:pt idx="249">
                  <c:v>28.5</c:v>
                </c:pt>
                <c:pt idx="250">
                  <c:v>31.5</c:v>
                </c:pt>
                <c:pt idx="251">
                  <c:v>34.5</c:v>
                </c:pt>
                <c:pt idx="252">
                  <c:v>37.5</c:v>
                </c:pt>
                <c:pt idx="253">
                  <c:v>40.5</c:v>
                </c:pt>
                <c:pt idx="254">
                  <c:v>43.5</c:v>
                </c:pt>
                <c:pt idx="255">
                  <c:v>46.5</c:v>
                </c:pt>
                <c:pt idx="256">
                  <c:v>49.5</c:v>
                </c:pt>
                <c:pt idx="257">
                  <c:v>52.5</c:v>
                </c:pt>
                <c:pt idx="258">
                  <c:v>55.5</c:v>
                </c:pt>
                <c:pt idx="259">
                  <c:v>58.5</c:v>
                </c:pt>
                <c:pt idx="260">
                  <c:v>61.5</c:v>
                </c:pt>
                <c:pt idx="261">
                  <c:v>64.5</c:v>
                </c:pt>
                <c:pt idx="262">
                  <c:v>67.5</c:v>
                </c:pt>
                <c:pt idx="263">
                  <c:v>70.5</c:v>
                </c:pt>
              </c:numCache>
            </c:numRef>
          </c:xVal>
          <c:yVal>
            <c:numRef>
              <c:f>[2]Ex_6_Pdeath_class!$G$42:$G$305</c:f>
              <c:numCache>
                <c:formatCode>General</c:formatCode>
                <c:ptCount val="26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7</c:v>
                </c:pt>
                <c:pt idx="73">
                  <c:v>7</c:v>
                </c:pt>
                <c:pt idx="74">
                  <c:v>7</c:v>
                </c:pt>
                <c:pt idx="75">
                  <c:v>7</c:v>
                </c:pt>
                <c:pt idx="76">
                  <c:v>7</c:v>
                </c:pt>
                <c:pt idx="77">
                  <c:v>7</c:v>
                </c:pt>
                <c:pt idx="78">
                  <c:v>7</c:v>
                </c:pt>
                <c:pt idx="79">
                  <c:v>7</c:v>
                </c:pt>
                <c:pt idx="80">
                  <c:v>7</c:v>
                </c:pt>
                <c:pt idx="81">
                  <c:v>7</c:v>
                </c:pt>
                <c:pt idx="82">
                  <c:v>7</c:v>
                </c:pt>
                <c:pt idx="83">
                  <c:v>7</c:v>
                </c:pt>
                <c:pt idx="84">
                  <c:v>7</c:v>
                </c:pt>
                <c:pt idx="85">
                  <c:v>7</c:v>
                </c:pt>
                <c:pt idx="86">
                  <c:v>7</c:v>
                </c:pt>
                <c:pt idx="87">
                  <c:v>7</c:v>
                </c:pt>
                <c:pt idx="88">
                  <c:v>7</c:v>
                </c:pt>
                <c:pt idx="89">
                  <c:v>7</c:v>
                </c:pt>
                <c:pt idx="90">
                  <c:v>7</c:v>
                </c:pt>
                <c:pt idx="91">
                  <c:v>7</c:v>
                </c:pt>
                <c:pt idx="92">
                  <c:v>7</c:v>
                </c:pt>
                <c:pt idx="93">
                  <c:v>7</c:v>
                </c:pt>
                <c:pt idx="94">
                  <c:v>7</c:v>
                </c:pt>
                <c:pt idx="95">
                  <c:v>7</c:v>
                </c:pt>
                <c:pt idx="96">
                  <c:v>9</c:v>
                </c:pt>
                <c:pt idx="97">
                  <c:v>9</c:v>
                </c:pt>
                <c:pt idx="98">
                  <c:v>9</c:v>
                </c:pt>
                <c:pt idx="99">
                  <c:v>9</c:v>
                </c:pt>
                <c:pt idx="100">
                  <c:v>9</c:v>
                </c:pt>
                <c:pt idx="101">
                  <c:v>9</c:v>
                </c:pt>
                <c:pt idx="102">
                  <c:v>9</c:v>
                </c:pt>
                <c:pt idx="103">
                  <c:v>9</c:v>
                </c:pt>
                <c:pt idx="104">
                  <c:v>9</c:v>
                </c:pt>
                <c:pt idx="105">
                  <c:v>9</c:v>
                </c:pt>
                <c:pt idx="106">
                  <c:v>9</c:v>
                </c:pt>
                <c:pt idx="107">
                  <c:v>9</c:v>
                </c:pt>
                <c:pt idx="108">
                  <c:v>9</c:v>
                </c:pt>
                <c:pt idx="109">
                  <c:v>9</c:v>
                </c:pt>
                <c:pt idx="110">
                  <c:v>9</c:v>
                </c:pt>
                <c:pt idx="111">
                  <c:v>9</c:v>
                </c:pt>
                <c:pt idx="112">
                  <c:v>9</c:v>
                </c:pt>
                <c:pt idx="113">
                  <c:v>9</c:v>
                </c:pt>
                <c:pt idx="114">
                  <c:v>9</c:v>
                </c:pt>
                <c:pt idx="115">
                  <c:v>9</c:v>
                </c:pt>
                <c:pt idx="116">
                  <c:v>9</c:v>
                </c:pt>
                <c:pt idx="117">
                  <c:v>9</c:v>
                </c:pt>
                <c:pt idx="118">
                  <c:v>9</c:v>
                </c:pt>
                <c:pt idx="119">
                  <c:v>9</c:v>
                </c:pt>
                <c:pt idx="120">
                  <c:v>11</c:v>
                </c:pt>
                <c:pt idx="121">
                  <c:v>11</c:v>
                </c:pt>
                <c:pt idx="122">
                  <c:v>11</c:v>
                </c:pt>
                <c:pt idx="123">
                  <c:v>11</c:v>
                </c:pt>
                <c:pt idx="124">
                  <c:v>11</c:v>
                </c:pt>
                <c:pt idx="125">
                  <c:v>11</c:v>
                </c:pt>
                <c:pt idx="126">
                  <c:v>11</c:v>
                </c:pt>
                <c:pt idx="127">
                  <c:v>11</c:v>
                </c:pt>
                <c:pt idx="128">
                  <c:v>11</c:v>
                </c:pt>
                <c:pt idx="129">
                  <c:v>11</c:v>
                </c:pt>
                <c:pt idx="130">
                  <c:v>11</c:v>
                </c:pt>
                <c:pt idx="131">
                  <c:v>11</c:v>
                </c:pt>
                <c:pt idx="132">
                  <c:v>11</c:v>
                </c:pt>
                <c:pt idx="133">
                  <c:v>11</c:v>
                </c:pt>
                <c:pt idx="134">
                  <c:v>11</c:v>
                </c:pt>
                <c:pt idx="135">
                  <c:v>11</c:v>
                </c:pt>
                <c:pt idx="136">
                  <c:v>11</c:v>
                </c:pt>
                <c:pt idx="137">
                  <c:v>11</c:v>
                </c:pt>
                <c:pt idx="138">
                  <c:v>11</c:v>
                </c:pt>
                <c:pt idx="139">
                  <c:v>11</c:v>
                </c:pt>
                <c:pt idx="140">
                  <c:v>11</c:v>
                </c:pt>
                <c:pt idx="141">
                  <c:v>11</c:v>
                </c:pt>
                <c:pt idx="142">
                  <c:v>11</c:v>
                </c:pt>
                <c:pt idx="143">
                  <c:v>11</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13</c:v>
                </c:pt>
                <c:pt idx="167">
                  <c:v>13</c:v>
                </c:pt>
                <c:pt idx="168">
                  <c:v>15</c:v>
                </c:pt>
                <c:pt idx="169">
                  <c:v>15</c:v>
                </c:pt>
                <c:pt idx="170">
                  <c:v>15</c:v>
                </c:pt>
                <c:pt idx="171">
                  <c:v>15</c:v>
                </c:pt>
                <c:pt idx="172">
                  <c:v>15</c:v>
                </c:pt>
                <c:pt idx="173">
                  <c:v>15</c:v>
                </c:pt>
                <c:pt idx="174">
                  <c:v>15</c:v>
                </c:pt>
                <c:pt idx="175">
                  <c:v>15</c:v>
                </c:pt>
                <c:pt idx="176">
                  <c:v>15</c:v>
                </c:pt>
                <c:pt idx="177">
                  <c:v>15</c:v>
                </c:pt>
                <c:pt idx="178">
                  <c:v>15</c:v>
                </c:pt>
                <c:pt idx="179">
                  <c:v>15</c:v>
                </c:pt>
                <c:pt idx="180">
                  <c:v>15</c:v>
                </c:pt>
                <c:pt idx="181">
                  <c:v>15</c:v>
                </c:pt>
                <c:pt idx="182">
                  <c:v>15</c:v>
                </c:pt>
                <c:pt idx="183">
                  <c:v>15</c:v>
                </c:pt>
                <c:pt idx="184">
                  <c:v>15</c:v>
                </c:pt>
                <c:pt idx="185">
                  <c:v>15</c:v>
                </c:pt>
                <c:pt idx="186">
                  <c:v>15</c:v>
                </c:pt>
                <c:pt idx="187">
                  <c:v>15</c:v>
                </c:pt>
                <c:pt idx="188">
                  <c:v>15</c:v>
                </c:pt>
                <c:pt idx="189">
                  <c:v>15</c:v>
                </c:pt>
                <c:pt idx="190">
                  <c:v>15</c:v>
                </c:pt>
                <c:pt idx="191">
                  <c:v>15</c:v>
                </c:pt>
                <c:pt idx="192">
                  <c:v>17</c:v>
                </c:pt>
                <c:pt idx="193">
                  <c:v>17</c:v>
                </c:pt>
                <c:pt idx="194">
                  <c:v>17</c:v>
                </c:pt>
                <c:pt idx="195">
                  <c:v>17</c:v>
                </c:pt>
                <c:pt idx="196">
                  <c:v>17</c:v>
                </c:pt>
                <c:pt idx="197">
                  <c:v>17</c:v>
                </c:pt>
                <c:pt idx="198">
                  <c:v>17</c:v>
                </c:pt>
                <c:pt idx="199">
                  <c:v>17</c:v>
                </c:pt>
                <c:pt idx="200">
                  <c:v>17</c:v>
                </c:pt>
                <c:pt idx="201">
                  <c:v>17</c:v>
                </c:pt>
                <c:pt idx="202">
                  <c:v>17</c:v>
                </c:pt>
                <c:pt idx="203">
                  <c:v>17</c:v>
                </c:pt>
                <c:pt idx="204">
                  <c:v>17</c:v>
                </c:pt>
                <c:pt idx="205">
                  <c:v>17</c:v>
                </c:pt>
                <c:pt idx="206">
                  <c:v>17</c:v>
                </c:pt>
                <c:pt idx="207">
                  <c:v>17</c:v>
                </c:pt>
                <c:pt idx="208">
                  <c:v>17</c:v>
                </c:pt>
                <c:pt idx="209">
                  <c:v>17</c:v>
                </c:pt>
                <c:pt idx="210">
                  <c:v>17</c:v>
                </c:pt>
                <c:pt idx="211">
                  <c:v>17</c:v>
                </c:pt>
                <c:pt idx="212">
                  <c:v>17</c:v>
                </c:pt>
                <c:pt idx="213">
                  <c:v>17</c:v>
                </c:pt>
                <c:pt idx="214">
                  <c:v>17</c:v>
                </c:pt>
                <c:pt idx="215">
                  <c:v>17</c:v>
                </c:pt>
                <c:pt idx="216">
                  <c:v>19</c:v>
                </c:pt>
                <c:pt idx="217">
                  <c:v>19</c:v>
                </c:pt>
                <c:pt idx="218">
                  <c:v>19</c:v>
                </c:pt>
                <c:pt idx="219">
                  <c:v>19</c:v>
                </c:pt>
                <c:pt idx="220">
                  <c:v>19</c:v>
                </c:pt>
                <c:pt idx="221">
                  <c:v>19</c:v>
                </c:pt>
                <c:pt idx="222">
                  <c:v>19</c:v>
                </c:pt>
                <c:pt idx="223">
                  <c:v>19</c:v>
                </c:pt>
                <c:pt idx="224">
                  <c:v>19</c:v>
                </c:pt>
                <c:pt idx="225">
                  <c:v>19</c:v>
                </c:pt>
                <c:pt idx="226">
                  <c:v>19</c:v>
                </c:pt>
                <c:pt idx="227">
                  <c:v>19</c:v>
                </c:pt>
                <c:pt idx="228">
                  <c:v>19</c:v>
                </c:pt>
                <c:pt idx="229">
                  <c:v>19</c:v>
                </c:pt>
                <c:pt idx="230">
                  <c:v>19</c:v>
                </c:pt>
                <c:pt idx="231">
                  <c:v>19</c:v>
                </c:pt>
                <c:pt idx="232">
                  <c:v>19</c:v>
                </c:pt>
                <c:pt idx="233">
                  <c:v>19</c:v>
                </c:pt>
                <c:pt idx="234">
                  <c:v>19</c:v>
                </c:pt>
                <c:pt idx="235">
                  <c:v>19</c:v>
                </c:pt>
                <c:pt idx="236">
                  <c:v>19</c:v>
                </c:pt>
                <c:pt idx="237">
                  <c:v>19</c:v>
                </c:pt>
                <c:pt idx="238">
                  <c:v>19</c:v>
                </c:pt>
                <c:pt idx="239">
                  <c:v>19</c:v>
                </c:pt>
                <c:pt idx="240">
                  <c:v>21</c:v>
                </c:pt>
                <c:pt idx="241">
                  <c:v>21</c:v>
                </c:pt>
                <c:pt idx="242">
                  <c:v>21</c:v>
                </c:pt>
                <c:pt idx="243">
                  <c:v>21</c:v>
                </c:pt>
                <c:pt idx="244">
                  <c:v>21</c:v>
                </c:pt>
                <c:pt idx="245">
                  <c:v>21</c:v>
                </c:pt>
                <c:pt idx="246">
                  <c:v>21</c:v>
                </c:pt>
                <c:pt idx="247">
                  <c:v>21</c:v>
                </c:pt>
                <c:pt idx="248">
                  <c:v>21</c:v>
                </c:pt>
                <c:pt idx="249">
                  <c:v>21</c:v>
                </c:pt>
                <c:pt idx="250">
                  <c:v>21</c:v>
                </c:pt>
                <c:pt idx="251">
                  <c:v>21</c:v>
                </c:pt>
                <c:pt idx="252">
                  <c:v>21</c:v>
                </c:pt>
                <c:pt idx="253">
                  <c:v>21</c:v>
                </c:pt>
                <c:pt idx="254">
                  <c:v>21</c:v>
                </c:pt>
                <c:pt idx="255">
                  <c:v>21</c:v>
                </c:pt>
                <c:pt idx="256">
                  <c:v>21</c:v>
                </c:pt>
                <c:pt idx="257">
                  <c:v>21</c:v>
                </c:pt>
                <c:pt idx="258">
                  <c:v>21</c:v>
                </c:pt>
                <c:pt idx="259">
                  <c:v>21</c:v>
                </c:pt>
                <c:pt idx="260">
                  <c:v>21</c:v>
                </c:pt>
                <c:pt idx="261">
                  <c:v>21</c:v>
                </c:pt>
                <c:pt idx="262">
                  <c:v>21</c:v>
                </c:pt>
                <c:pt idx="263">
                  <c:v>21</c:v>
                </c:pt>
              </c:numCache>
            </c:numRef>
          </c:yVal>
          <c:smooth val="0"/>
          <c:extLst>
            <c:ext xmlns:c16="http://schemas.microsoft.com/office/drawing/2014/chart" uri="{C3380CC4-5D6E-409C-BE32-E72D297353CC}">
              <c16:uniqueId val="{00000000-F137-4CDC-A5EB-2AD6D9D7F847}"/>
            </c:ext>
          </c:extLst>
        </c:ser>
        <c:dLbls>
          <c:showLegendKey val="0"/>
          <c:showVal val="0"/>
          <c:showCatName val="0"/>
          <c:showSerName val="0"/>
          <c:showPercent val="0"/>
          <c:showBubbleSize val="0"/>
        </c:dLbls>
        <c:axId val="205719424"/>
        <c:axId val="205754368"/>
      </c:scatterChart>
      <c:valAx>
        <c:axId val="205719424"/>
        <c:scaling>
          <c:orientation val="minMax"/>
          <c:max val="70"/>
        </c:scaling>
        <c:delete val="0"/>
        <c:axPos val="b"/>
        <c:title>
          <c:tx>
            <c:rich>
              <a:bodyPr/>
              <a:lstStyle/>
              <a:p>
                <a:pPr>
                  <a:defRPr/>
                </a:pPr>
                <a:r>
                  <a:rPr lang="en-US"/>
                  <a:t>x</a:t>
                </a:r>
              </a:p>
            </c:rich>
          </c:tx>
          <c:layout/>
          <c:overlay val="0"/>
        </c:title>
        <c:numFmt formatCode="General" sourceLinked="1"/>
        <c:majorTickMark val="none"/>
        <c:minorTickMark val="none"/>
        <c:tickLblPos val="nextTo"/>
        <c:crossAx val="205754368"/>
        <c:crosses val="autoZero"/>
        <c:crossBetween val="midCat"/>
      </c:valAx>
      <c:valAx>
        <c:axId val="205754368"/>
        <c:scaling>
          <c:orientation val="minMax"/>
          <c:max val="22"/>
          <c:min val="0"/>
        </c:scaling>
        <c:delete val="0"/>
        <c:axPos val="l"/>
        <c:majorGridlines/>
        <c:title>
          <c:tx>
            <c:rich>
              <a:bodyPr/>
              <a:lstStyle/>
              <a:p>
                <a:pPr>
                  <a:defRPr/>
                </a:pPr>
                <a:r>
                  <a:rPr lang="en-US"/>
                  <a:t>y</a:t>
                </a:r>
              </a:p>
            </c:rich>
          </c:tx>
          <c:layout/>
          <c:overlay val="0"/>
        </c:title>
        <c:numFmt formatCode="General" sourceLinked="1"/>
        <c:majorTickMark val="none"/>
        <c:minorTickMark val="none"/>
        <c:tickLblPos val="nextTo"/>
        <c:crossAx val="205719424"/>
        <c:crosses val="autoZero"/>
        <c:crossBetween val="midCat"/>
        <c:majorUnit val="2"/>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a:t>z</a:t>
            </a:r>
          </a:p>
        </c:rich>
      </c:tx>
      <c:layout>
        <c:manualLayout>
          <c:xMode val="edge"/>
          <c:yMode val="edge"/>
          <c:x val="0.90395809898762658"/>
          <c:y val="0"/>
        </c:manualLayout>
      </c:layout>
      <c:overlay val="0"/>
    </c:title>
    <c:autoTitleDeleted val="0"/>
    <c:plotArea>
      <c:layout>
        <c:manualLayout>
          <c:layoutTarget val="inner"/>
          <c:xMode val="edge"/>
          <c:yMode val="edge"/>
          <c:x val="9.3085739282589702E-2"/>
          <c:y val="2.8252405949256338E-2"/>
          <c:w val="0.87635870516185477"/>
          <c:h val="0.76371152469577896"/>
        </c:manualLayout>
      </c:layout>
      <c:barChart>
        <c:barDir val="col"/>
        <c:grouping val="clustered"/>
        <c:varyColors val="0"/>
        <c:ser>
          <c:idx val="1"/>
          <c:order val="0"/>
          <c:spPr>
            <a:solidFill>
              <a:schemeClr val="accent6"/>
            </a:solidFill>
            <a:ln>
              <a:solidFill>
                <a:schemeClr val="tx1">
                  <a:lumMod val="50000"/>
                  <a:lumOff val="50000"/>
                </a:schemeClr>
              </a:solidFill>
            </a:ln>
            <a:effectLst>
              <a:outerShdw dist="35921" dir="2700000" algn="br">
                <a:srgbClr val="000000"/>
              </a:outerShdw>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Ex_2_class!$K$14:$K$16</c:f>
              <c:numCache>
                <c:formatCode>General</c:formatCode>
                <c:ptCount val="3"/>
                <c:pt idx="0">
                  <c:v>4</c:v>
                </c:pt>
                <c:pt idx="1">
                  <c:v>5</c:v>
                </c:pt>
                <c:pt idx="2">
                  <c:v>6</c:v>
                </c:pt>
              </c:numCache>
            </c:numRef>
          </c:cat>
          <c:val>
            <c:numRef>
              <c:f>Ex_2_class!$L$14:$L$16</c:f>
              <c:numCache>
                <c:formatCode>General</c:formatCode>
                <c:ptCount val="3"/>
                <c:pt idx="0">
                  <c:v>0.3</c:v>
                </c:pt>
                <c:pt idx="1">
                  <c:v>0.5</c:v>
                </c:pt>
                <c:pt idx="2">
                  <c:v>0.2</c:v>
                </c:pt>
              </c:numCache>
            </c:numRef>
          </c:val>
          <c:extLst>
            <c:ext xmlns:c16="http://schemas.microsoft.com/office/drawing/2014/chart" uri="{C3380CC4-5D6E-409C-BE32-E72D297353CC}">
              <c16:uniqueId val="{00000000-60B2-4FAA-A170-20D411DF4847}"/>
            </c:ext>
          </c:extLst>
        </c:ser>
        <c:dLbls>
          <c:showLegendKey val="0"/>
          <c:showVal val="0"/>
          <c:showCatName val="0"/>
          <c:showSerName val="0"/>
          <c:showPercent val="0"/>
          <c:showBubbleSize val="0"/>
        </c:dLbls>
        <c:gapWidth val="0"/>
        <c:axId val="204555008"/>
        <c:axId val="204556544"/>
      </c:barChart>
      <c:catAx>
        <c:axId val="204555008"/>
        <c:scaling>
          <c:orientation val="minMax"/>
        </c:scaling>
        <c:delete val="0"/>
        <c:axPos val="b"/>
        <c:numFmt formatCode="General" sourceLinked="1"/>
        <c:majorTickMark val="none"/>
        <c:minorTickMark val="none"/>
        <c:tickLblPos val="nextTo"/>
        <c:crossAx val="204556544"/>
        <c:crosses val="autoZero"/>
        <c:auto val="1"/>
        <c:lblAlgn val="ctr"/>
        <c:lblOffset val="100"/>
        <c:noMultiLvlLbl val="0"/>
      </c:catAx>
      <c:valAx>
        <c:axId val="204556544"/>
        <c:scaling>
          <c:orientation val="minMax"/>
        </c:scaling>
        <c:delete val="1"/>
        <c:axPos val="l"/>
        <c:numFmt formatCode="General" sourceLinked="1"/>
        <c:majorTickMark val="none"/>
        <c:minorTickMark val="none"/>
        <c:tickLblPos val="none"/>
        <c:crossAx val="204555008"/>
        <c:crosses val="autoZero"/>
        <c:crossBetween val="between"/>
      </c:valAx>
    </c:plotArea>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overlay val="0"/>
    </c:title>
    <c:autoTitleDeleted val="0"/>
    <c:plotArea>
      <c:layout>
        <c:manualLayout>
          <c:layoutTarget val="inner"/>
          <c:xMode val="edge"/>
          <c:yMode val="edge"/>
          <c:x val="0.15873283224719284"/>
          <c:y val="0.22585737197150255"/>
          <c:w val="0.67013777172190381"/>
          <c:h val="0.40993367050958707"/>
        </c:manualLayout>
      </c:layout>
      <c:barChart>
        <c:barDir val="col"/>
        <c:grouping val="clustered"/>
        <c:varyColors val="0"/>
        <c:ser>
          <c:idx val="0"/>
          <c:order val="0"/>
          <c:tx>
            <c:v>Frequency</c:v>
          </c:tx>
          <c:invertIfNegative val="0"/>
          <c:cat>
            <c:strRef>
              <c:f>Ex_2_class!$AI$59:$AI$63</c:f>
              <c:strCache>
                <c:ptCount val="5"/>
                <c:pt idx="0">
                  <c:v>10</c:v>
                </c:pt>
                <c:pt idx="1">
                  <c:v>20</c:v>
                </c:pt>
                <c:pt idx="2">
                  <c:v>30</c:v>
                </c:pt>
                <c:pt idx="3">
                  <c:v>40</c:v>
                </c:pt>
                <c:pt idx="4">
                  <c:v>More</c:v>
                </c:pt>
              </c:strCache>
            </c:strRef>
          </c:cat>
          <c:val>
            <c:numRef>
              <c:f>Ex_2_class!$AJ$59:$AJ$63</c:f>
              <c:numCache>
                <c:formatCode>General</c:formatCode>
                <c:ptCount val="5"/>
                <c:pt idx="0">
                  <c:v>1</c:v>
                </c:pt>
                <c:pt idx="1">
                  <c:v>5</c:v>
                </c:pt>
                <c:pt idx="2">
                  <c:v>10</c:v>
                </c:pt>
                <c:pt idx="3">
                  <c:v>2</c:v>
                </c:pt>
                <c:pt idx="4">
                  <c:v>0</c:v>
                </c:pt>
              </c:numCache>
            </c:numRef>
          </c:val>
          <c:extLst>
            <c:ext xmlns:c16="http://schemas.microsoft.com/office/drawing/2014/chart" uri="{C3380CC4-5D6E-409C-BE32-E72D297353CC}">
              <c16:uniqueId val="{00000001-ED5A-4B35-BAD8-E38D6676C9F6}"/>
            </c:ext>
          </c:extLst>
        </c:ser>
        <c:dLbls>
          <c:showLegendKey val="0"/>
          <c:showVal val="0"/>
          <c:showCatName val="0"/>
          <c:showSerName val="0"/>
          <c:showPercent val="0"/>
          <c:showBubbleSize val="0"/>
        </c:dLbls>
        <c:gapWidth val="150"/>
        <c:axId val="1763955119"/>
        <c:axId val="1765292255"/>
      </c:barChart>
      <c:lineChart>
        <c:grouping val="standard"/>
        <c:varyColors val="0"/>
        <c:ser>
          <c:idx val="1"/>
          <c:order val="1"/>
          <c:tx>
            <c:v>Cumulative %</c:v>
          </c:tx>
          <c:cat>
            <c:strRef>
              <c:f>Ex_2_class!$AI$59:$AI$63</c:f>
              <c:strCache>
                <c:ptCount val="5"/>
                <c:pt idx="0">
                  <c:v>10</c:v>
                </c:pt>
                <c:pt idx="1">
                  <c:v>20</c:v>
                </c:pt>
                <c:pt idx="2">
                  <c:v>30</c:v>
                </c:pt>
                <c:pt idx="3">
                  <c:v>40</c:v>
                </c:pt>
                <c:pt idx="4">
                  <c:v>More</c:v>
                </c:pt>
              </c:strCache>
            </c:strRef>
          </c:cat>
          <c:val>
            <c:numRef>
              <c:f>Ex_2_class!$AK$59:$AK$63</c:f>
              <c:numCache>
                <c:formatCode>0.00%</c:formatCode>
                <c:ptCount val="5"/>
                <c:pt idx="0">
                  <c:v>5.5555555555555552E-2</c:v>
                </c:pt>
                <c:pt idx="1">
                  <c:v>0.33333333333333331</c:v>
                </c:pt>
                <c:pt idx="2">
                  <c:v>0.88888888888888884</c:v>
                </c:pt>
                <c:pt idx="3">
                  <c:v>1</c:v>
                </c:pt>
                <c:pt idx="4">
                  <c:v>1</c:v>
                </c:pt>
              </c:numCache>
            </c:numRef>
          </c:val>
          <c:smooth val="0"/>
          <c:extLst>
            <c:ext xmlns:c16="http://schemas.microsoft.com/office/drawing/2014/chart" uri="{C3380CC4-5D6E-409C-BE32-E72D297353CC}">
              <c16:uniqueId val="{00000002-ED5A-4B35-BAD8-E38D6676C9F6}"/>
            </c:ext>
          </c:extLst>
        </c:ser>
        <c:dLbls>
          <c:showLegendKey val="0"/>
          <c:showVal val="0"/>
          <c:showCatName val="0"/>
          <c:showSerName val="0"/>
          <c:showPercent val="0"/>
          <c:showBubbleSize val="0"/>
        </c:dLbls>
        <c:marker val="1"/>
        <c:smooth val="0"/>
        <c:axId val="1765291423"/>
        <c:axId val="1765291007"/>
      </c:lineChart>
      <c:catAx>
        <c:axId val="1763955119"/>
        <c:scaling>
          <c:orientation val="minMax"/>
        </c:scaling>
        <c:delete val="0"/>
        <c:axPos val="b"/>
        <c:title>
          <c:tx>
            <c:rich>
              <a:bodyPr/>
              <a:lstStyle/>
              <a:p>
                <a:pPr>
                  <a:defRPr/>
                </a:pPr>
                <a:r>
                  <a:rPr lang="en-US"/>
                  <a:t>Bin</a:t>
                </a:r>
              </a:p>
            </c:rich>
          </c:tx>
          <c:overlay val="0"/>
        </c:title>
        <c:numFmt formatCode="General" sourceLinked="1"/>
        <c:majorTickMark val="out"/>
        <c:minorTickMark val="none"/>
        <c:tickLblPos val="nextTo"/>
        <c:crossAx val="1765292255"/>
        <c:crosses val="autoZero"/>
        <c:auto val="1"/>
        <c:lblAlgn val="ctr"/>
        <c:lblOffset val="100"/>
        <c:noMultiLvlLbl val="0"/>
      </c:catAx>
      <c:valAx>
        <c:axId val="1765292255"/>
        <c:scaling>
          <c:orientation val="minMax"/>
        </c:scaling>
        <c:delete val="0"/>
        <c:axPos val="l"/>
        <c:title>
          <c:tx>
            <c:rich>
              <a:bodyPr/>
              <a:lstStyle/>
              <a:p>
                <a:pPr>
                  <a:defRPr/>
                </a:pPr>
                <a:r>
                  <a:rPr lang="en-US"/>
                  <a:t>Frequency</a:t>
                </a:r>
              </a:p>
            </c:rich>
          </c:tx>
          <c:overlay val="0"/>
        </c:title>
        <c:numFmt formatCode="General" sourceLinked="1"/>
        <c:majorTickMark val="out"/>
        <c:minorTickMark val="none"/>
        <c:tickLblPos val="nextTo"/>
        <c:crossAx val="1763955119"/>
        <c:crosses val="autoZero"/>
        <c:crossBetween val="between"/>
      </c:valAx>
      <c:valAx>
        <c:axId val="1765291007"/>
        <c:scaling>
          <c:orientation val="minMax"/>
        </c:scaling>
        <c:delete val="0"/>
        <c:axPos val="r"/>
        <c:numFmt formatCode="0.00%" sourceLinked="1"/>
        <c:majorTickMark val="out"/>
        <c:minorTickMark val="none"/>
        <c:tickLblPos val="nextTo"/>
        <c:crossAx val="1765291423"/>
        <c:crosses val="max"/>
        <c:crossBetween val="between"/>
      </c:valAx>
      <c:catAx>
        <c:axId val="1765291423"/>
        <c:scaling>
          <c:orientation val="minMax"/>
        </c:scaling>
        <c:delete val="1"/>
        <c:axPos val="b"/>
        <c:numFmt formatCode="General" sourceLinked="1"/>
        <c:majorTickMark val="out"/>
        <c:minorTickMark val="none"/>
        <c:tickLblPos val="nextTo"/>
        <c:crossAx val="1765291007"/>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overlay val="0"/>
    </c:title>
    <c:autoTitleDeleted val="0"/>
    <c:plotArea>
      <c:layout>
        <c:manualLayout>
          <c:layoutTarget val="inner"/>
          <c:xMode val="edge"/>
          <c:yMode val="edge"/>
          <c:x val="0.1892700530235103"/>
          <c:y val="0.21940508549519569"/>
          <c:w val="0.60667846372562506"/>
          <c:h val="0.42944067954529663"/>
        </c:manualLayout>
      </c:layout>
      <c:barChart>
        <c:barDir val="col"/>
        <c:grouping val="clustered"/>
        <c:varyColors val="0"/>
        <c:ser>
          <c:idx val="0"/>
          <c:order val="0"/>
          <c:tx>
            <c:v>Frequency</c:v>
          </c:tx>
          <c:invertIfNegative val="0"/>
          <c:cat>
            <c:strRef>
              <c:f>Ex_2_class!$AA$79:$AA$83</c:f>
              <c:strCache>
                <c:ptCount val="5"/>
                <c:pt idx="0">
                  <c:v>10</c:v>
                </c:pt>
                <c:pt idx="1">
                  <c:v>20</c:v>
                </c:pt>
                <c:pt idx="2">
                  <c:v>30</c:v>
                </c:pt>
                <c:pt idx="3">
                  <c:v>40</c:v>
                </c:pt>
                <c:pt idx="4">
                  <c:v>More</c:v>
                </c:pt>
              </c:strCache>
            </c:strRef>
          </c:cat>
          <c:val>
            <c:numRef>
              <c:f>Ex_2_class!$AB$79:$AB$83</c:f>
              <c:numCache>
                <c:formatCode>General</c:formatCode>
                <c:ptCount val="5"/>
                <c:pt idx="0">
                  <c:v>1</c:v>
                </c:pt>
                <c:pt idx="1">
                  <c:v>5</c:v>
                </c:pt>
                <c:pt idx="2">
                  <c:v>10</c:v>
                </c:pt>
                <c:pt idx="3">
                  <c:v>2</c:v>
                </c:pt>
                <c:pt idx="4">
                  <c:v>0</c:v>
                </c:pt>
              </c:numCache>
            </c:numRef>
          </c:val>
          <c:extLst>
            <c:ext xmlns:c16="http://schemas.microsoft.com/office/drawing/2014/chart" uri="{C3380CC4-5D6E-409C-BE32-E72D297353CC}">
              <c16:uniqueId val="{00000001-8104-409C-9ECE-3E283CA88BE4}"/>
            </c:ext>
          </c:extLst>
        </c:ser>
        <c:dLbls>
          <c:showLegendKey val="0"/>
          <c:showVal val="0"/>
          <c:showCatName val="0"/>
          <c:showSerName val="0"/>
          <c:showPercent val="0"/>
          <c:showBubbleSize val="0"/>
        </c:dLbls>
        <c:gapWidth val="150"/>
        <c:axId val="1763627599"/>
        <c:axId val="1763632175"/>
      </c:barChart>
      <c:lineChart>
        <c:grouping val="standard"/>
        <c:varyColors val="0"/>
        <c:ser>
          <c:idx val="1"/>
          <c:order val="1"/>
          <c:tx>
            <c:v>Cumulative %</c:v>
          </c:tx>
          <c:cat>
            <c:strRef>
              <c:f>Ex_2_class!$AA$79:$AA$83</c:f>
              <c:strCache>
                <c:ptCount val="5"/>
                <c:pt idx="0">
                  <c:v>10</c:v>
                </c:pt>
                <c:pt idx="1">
                  <c:v>20</c:v>
                </c:pt>
                <c:pt idx="2">
                  <c:v>30</c:v>
                </c:pt>
                <c:pt idx="3">
                  <c:v>40</c:v>
                </c:pt>
                <c:pt idx="4">
                  <c:v>More</c:v>
                </c:pt>
              </c:strCache>
            </c:strRef>
          </c:cat>
          <c:val>
            <c:numRef>
              <c:f>Ex_2_class!$AC$79:$AC$83</c:f>
              <c:numCache>
                <c:formatCode>0.00%</c:formatCode>
                <c:ptCount val="5"/>
                <c:pt idx="0">
                  <c:v>5.5555555555555552E-2</c:v>
                </c:pt>
                <c:pt idx="1">
                  <c:v>0.33333333333333331</c:v>
                </c:pt>
                <c:pt idx="2">
                  <c:v>0.88888888888888884</c:v>
                </c:pt>
                <c:pt idx="3">
                  <c:v>1</c:v>
                </c:pt>
                <c:pt idx="4">
                  <c:v>1</c:v>
                </c:pt>
              </c:numCache>
            </c:numRef>
          </c:val>
          <c:smooth val="0"/>
          <c:extLst>
            <c:ext xmlns:c16="http://schemas.microsoft.com/office/drawing/2014/chart" uri="{C3380CC4-5D6E-409C-BE32-E72D297353CC}">
              <c16:uniqueId val="{00000002-8104-409C-9ECE-3E283CA88BE4}"/>
            </c:ext>
          </c:extLst>
        </c:ser>
        <c:dLbls>
          <c:showLegendKey val="0"/>
          <c:showVal val="0"/>
          <c:showCatName val="0"/>
          <c:showSerName val="0"/>
          <c:showPercent val="0"/>
          <c:showBubbleSize val="0"/>
        </c:dLbls>
        <c:marker val="1"/>
        <c:smooth val="0"/>
        <c:axId val="1630928335"/>
        <c:axId val="1630927503"/>
      </c:lineChart>
      <c:catAx>
        <c:axId val="1763627599"/>
        <c:scaling>
          <c:orientation val="minMax"/>
        </c:scaling>
        <c:delete val="0"/>
        <c:axPos val="b"/>
        <c:title>
          <c:tx>
            <c:rich>
              <a:bodyPr/>
              <a:lstStyle/>
              <a:p>
                <a:pPr>
                  <a:defRPr/>
                </a:pPr>
                <a:r>
                  <a:rPr lang="en-US"/>
                  <a:t>Bin</a:t>
                </a:r>
              </a:p>
            </c:rich>
          </c:tx>
          <c:overlay val="0"/>
        </c:title>
        <c:numFmt formatCode="General" sourceLinked="1"/>
        <c:majorTickMark val="out"/>
        <c:minorTickMark val="none"/>
        <c:tickLblPos val="nextTo"/>
        <c:crossAx val="1763632175"/>
        <c:crosses val="autoZero"/>
        <c:auto val="1"/>
        <c:lblAlgn val="ctr"/>
        <c:lblOffset val="100"/>
        <c:noMultiLvlLbl val="0"/>
      </c:catAx>
      <c:valAx>
        <c:axId val="1763632175"/>
        <c:scaling>
          <c:orientation val="minMax"/>
        </c:scaling>
        <c:delete val="0"/>
        <c:axPos val="l"/>
        <c:title>
          <c:tx>
            <c:rich>
              <a:bodyPr/>
              <a:lstStyle/>
              <a:p>
                <a:pPr>
                  <a:defRPr/>
                </a:pPr>
                <a:r>
                  <a:rPr lang="en-US"/>
                  <a:t>Frequency</a:t>
                </a:r>
              </a:p>
            </c:rich>
          </c:tx>
          <c:overlay val="0"/>
        </c:title>
        <c:numFmt formatCode="General" sourceLinked="1"/>
        <c:majorTickMark val="out"/>
        <c:minorTickMark val="none"/>
        <c:tickLblPos val="nextTo"/>
        <c:crossAx val="1763627599"/>
        <c:crosses val="autoZero"/>
        <c:crossBetween val="between"/>
      </c:valAx>
      <c:valAx>
        <c:axId val="1630927503"/>
        <c:scaling>
          <c:orientation val="minMax"/>
        </c:scaling>
        <c:delete val="0"/>
        <c:axPos val="r"/>
        <c:numFmt formatCode="0.00%" sourceLinked="1"/>
        <c:majorTickMark val="out"/>
        <c:minorTickMark val="none"/>
        <c:tickLblPos val="nextTo"/>
        <c:crossAx val="1630928335"/>
        <c:crosses val="max"/>
        <c:crossBetween val="between"/>
      </c:valAx>
      <c:catAx>
        <c:axId val="1630928335"/>
        <c:scaling>
          <c:orientation val="minMax"/>
        </c:scaling>
        <c:delete val="1"/>
        <c:axPos val="b"/>
        <c:numFmt formatCode="General" sourceLinked="1"/>
        <c:majorTickMark val="out"/>
        <c:minorTickMark val="none"/>
        <c:tickLblPos val="nextTo"/>
        <c:crossAx val="1630927503"/>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S</a:t>
            </a:r>
          </a:p>
        </c:rich>
      </c:tx>
      <c:layout>
        <c:manualLayout>
          <c:xMode val="edge"/>
          <c:yMode val="edge"/>
          <c:x val="0.86601227649915447"/>
          <c:y val="1.013941293597477E-2"/>
        </c:manualLayout>
      </c:layout>
      <c:overlay val="0"/>
    </c:title>
    <c:autoTitleDeleted val="0"/>
    <c:plotArea>
      <c:layout>
        <c:manualLayout>
          <c:layoutTarget val="inner"/>
          <c:xMode val="edge"/>
          <c:yMode val="edge"/>
          <c:x val="0"/>
          <c:y val="0"/>
          <c:w val="0.92614774016507162"/>
          <c:h val="0.75534394964464169"/>
        </c:manualLayout>
      </c:layout>
      <c:barChart>
        <c:barDir val="col"/>
        <c:grouping val="clustered"/>
        <c:varyColors val="0"/>
        <c:ser>
          <c:idx val="1"/>
          <c:order val="0"/>
          <c:spPr>
            <a:ln>
              <a:solidFill>
                <a:schemeClr val="accent3">
                  <a:lumMod val="50000"/>
                </a:schemeClr>
              </a:solidFill>
            </a:ln>
          </c:spPr>
          <c:invertIfNegative val="0"/>
          <c:dPt>
            <c:idx val="0"/>
            <c:invertIfNegative val="0"/>
            <c:bubble3D val="0"/>
            <c:spPr>
              <a:solidFill>
                <a:srgbClr val="99CC00"/>
              </a:solidFill>
              <a:ln>
                <a:solidFill>
                  <a:schemeClr val="accent3">
                    <a:lumMod val="50000"/>
                  </a:schemeClr>
                </a:solidFill>
              </a:ln>
            </c:spPr>
            <c:extLst>
              <c:ext xmlns:c16="http://schemas.microsoft.com/office/drawing/2014/chart" uri="{C3380CC4-5D6E-409C-BE32-E72D297353CC}">
                <c16:uniqueId val="{00000000-CAD9-4783-9703-AE595078133F}"/>
              </c:ext>
            </c:extLst>
          </c:dPt>
          <c:dPt>
            <c:idx val="1"/>
            <c:invertIfNegative val="0"/>
            <c:bubble3D val="0"/>
            <c:spPr>
              <a:solidFill>
                <a:srgbClr val="0099CC"/>
              </a:solidFill>
              <a:ln>
                <a:solidFill>
                  <a:schemeClr val="accent5"/>
                </a:solidFill>
              </a:ln>
            </c:spPr>
            <c:extLst>
              <c:ext xmlns:c16="http://schemas.microsoft.com/office/drawing/2014/chart" uri="{C3380CC4-5D6E-409C-BE32-E72D297353CC}">
                <c16:uniqueId val="{00000001-CAD9-4783-9703-AE595078133F}"/>
              </c:ext>
            </c:extLst>
          </c:dPt>
          <c:dPt>
            <c:idx val="2"/>
            <c:invertIfNegative val="0"/>
            <c:bubble3D val="0"/>
            <c:spPr>
              <a:solidFill>
                <a:schemeClr val="accent6"/>
              </a:solidFill>
              <a:ln>
                <a:solidFill>
                  <a:schemeClr val="accent3">
                    <a:lumMod val="50000"/>
                  </a:schemeClr>
                </a:solidFill>
              </a:ln>
            </c:spPr>
            <c:extLst>
              <c:ext xmlns:c16="http://schemas.microsoft.com/office/drawing/2014/chart" uri="{C3380CC4-5D6E-409C-BE32-E72D297353CC}">
                <c16:uniqueId val="{00000002-CAD9-4783-9703-AE595078133F}"/>
              </c:ext>
            </c:extLst>
          </c:dPt>
          <c:dPt>
            <c:idx val="3"/>
            <c:invertIfNegative val="0"/>
            <c:bubble3D val="0"/>
            <c:spPr>
              <a:solidFill>
                <a:schemeClr val="accent4">
                  <a:lumMod val="40000"/>
                  <a:lumOff val="60000"/>
                </a:schemeClr>
              </a:solidFill>
              <a:ln>
                <a:solidFill>
                  <a:schemeClr val="accent3">
                    <a:lumMod val="50000"/>
                  </a:schemeClr>
                </a:solidFill>
              </a:ln>
            </c:spPr>
            <c:extLst>
              <c:ext xmlns:c16="http://schemas.microsoft.com/office/drawing/2014/chart" uri="{C3380CC4-5D6E-409C-BE32-E72D297353CC}">
                <c16:uniqueId val="{00000003-CAD9-4783-9703-AE595078133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Ex_3_class!$B$34:$B$37</c:f>
              <c:numCache>
                <c:formatCode>General</c:formatCode>
                <c:ptCount val="4"/>
                <c:pt idx="0">
                  <c:v>1</c:v>
                </c:pt>
                <c:pt idx="1">
                  <c:v>1.5</c:v>
                </c:pt>
                <c:pt idx="2">
                  <c:v>2</c:v>
                </c:pt>
                <c:pt idx="3">
                  <c:v>2.5</c:v>
                </c:pt>
              </c:numCache>
            </c:numRef>
          </c:cat>
          <c:val>
            <c:numRef>
              <c:f>Ex_3_class!$C$34:$C$37</c:f>
              <c:numCache>
                <c:formatCode>General</c:formatCode>
                <c:ptCount val="4"/>
                <c:pt idx="0">
                  <c:v>0.1</c:v>
                </c:pt>
                <c:pt idx="1">
                  <c:v>0.3</c:v>
                </c:pt>
                <c:pt idx="2">
                  <c:v>0.4</c:v>
                </c:pt>
                <c:pt idx="3">
                  <c:v>0.2</c:v>
                </c:pt>
              </c:numCache>
            </c:numRef>
          </c:val>
          <c:extLst>
            <c:ext xmlns:c16="http://schemas.microsoft.com/office/drawing/2014/chart" uri="{C3380CC4-5D6E-409C-BE32-E72D297353CC}">
              <c16:uniqueId val="{00000004-CAD9-4783-9703-AE595078133F}"/>
            </c:ext>
          </c:extLst>
        </c:ser>
        <c:dLbls>
          <c:showLegendKey val="0"/>
          <c:showVal val="0"/>
          <c:showCatName val="0"/>
          <c:showSerName val="0"/>
          <c:showPercent val="0"/>
          <c:showBubbleSize val="0"/>
        </c:dLbls>
        <c:gapWidth val="0"/>
        <c:axId val="204838784"/>
        <c:axId val="204840320"/>
      </c:barChart>
      <c:catAx>
        <c:axId val="204838784"/>
        <c:scaling>
          <c:orientation val="minMax"/>
        </c:scaling>
        <c:delete val="0"/>
        <c:axPos val="b"/>
        <c:numFmt formatCode="General" sourceLinked="1"/>
        <c:majorTickMark val="none"/>
        <c:minorTickMark val="none"/>
        <c:tickLblPos val="nextTo"/>
        <c:crossAx val="204840320"/>
        <c:crosses val="autoZero"/>
        <c:auto val="1"/>
        <c:lblAlgn val="ctr"/>
        <c:lblOffset val="100"/>
        <c:noMultiLvlLbl val="0"/>
      </c:catAx>
      <c:valAx>
        <c:axId val="204840320"/>
        <c:scaling>
          <c:orientation val="minMax"/>
        </c:scaling>
        <c:delete val="1"/>
        <c:axPos val="l"/>
        <c:majorGridlines/>
        <c:numFmt formatCode="General" sourceLinked="1"/>
        <c:majorTickMark val="none"/>
        <c:minorTickMark val="none"/>
        <c:tickLblPos val="none"/>
        <c:crossAx val="204838784"/>
        <c:crosses val="autoZero"/>
        <c:crossBetween val="between"/>
      </c:valAx>
      <c:spPr>
        <a:ln>
          <a:noFill/>
        </a:ln>
      </c:spPr>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99CC00"/>
                </a:solidFill>
              </a:rPr>
              <a:t>D</a:t>
            </a:r>
            <a:r>
              <a:rPr lang="en-US" baseline="-25000">
                <a:solidFill>
                  <a:srgbClr val="99CC00"/>
                </a:solidFill>
              </a:rPr>
              <a:t>S1</a:t>
            </a:r>
          </a:p>
        </c:rich>
      </c:tx>
      <c:layout>
        <c:manualLayout>
          <c:xMode val="edge"/>
          <c:yMode val="edge"/>
          <c:x val="0.86601227649915447"/>
          <c:y val="1.013941293597477E-2"/>
        </c:manualLayout>
      </c:layout>
      <c:overlay val="0"/>
    </c:title>
    <c:autoTitleDeleted val="0"/>
    <c:plotArea>
      <c:layout>
        <c:manualLayout>
          <c:layoutTarget val="inner"/>
          <c:xMode val="edge"/>
          <c:yMode val="edge"/>
          <c:x val="3.1184156955615292E-3"/>
          <c:y val="1.0394894206802539E-3"/>
          <c:w val="0.9190743557511345"/>
          <c:h val="0.74520453670866671"/>
        </c:manualLayout>
      </c:layout>
      <c:barChart>
        <c:barDir val="col"/>
        <c:grouping val="clustered"/>
        <c:varyColors val="0"/>
        <c:ser>
          <c:idx val="1"/>
          <c:order val="0"/>
          <c:spPr>
            <a:solidFill>
              <a:srgbClr val="99CC00"/>
            </a:solidFill>
            <a:ln>
              <a:solidFill>
                <a:schemeClr val="tx2">
                  <a:lumMod val="75000"/>
                </a:schemeClr>
              </a:solidFill>
            </a:ln>
          </c:spPr>
          <c:invertIfNegative val="0"/>
          <c:dPt>
            <c:idx val="1"/>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0-05BE-4055-B884-1D8A76B34236}"/>
              </c:ext>
            </c:extLst>
          </c:dPt>
          <c:dPt>
            <c:idx val="2"/>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1-05BE-4055-B884-1D8A76B34236}"/>
              </c:ext>
            </c:extLst>
          </c:dPt>
          <c:dPt>
            <c:idx val="3"/>
            <c:invertIfNegative val="0"/>
            <c:bubble3D val="0"/>
            <c:spPr>
              <a:solidFill>
                <a:srgbClr val="99CC00"/>
              </a:solidFill>
              <a:ln>
                <a:solidFill>
                  <a:schemeClr val="tx2">
                    <a:lumMod val="75000"/>
                  </a:schemeClr>
                </a:solidFill>
              </a:ln>
            </c:spPr>
            <c:extLst>
              <c:ext xmlns:c16="http://schemas.microsoft.com/office/drawing/2014/chart" uri="{C3380CC4-5D6E-409C-BE32-E72D297353CC}">
                <c16:uniqueId val="{00000002-05BE-4055-B884-1D8A76B3423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Ex_3_class!$B$40:$B$42</c:f>
              <c:numCache>
                <c:formatCode>General</c:formatCode>
                <c:ptCount val="3"/>
                <c:pt idx="0">
                  <c:v>180</c:v>
                </c:pt>
                <c:pt idx="1">
                  <c:v>190</c:v>
                </c:pt>
                <c:pt idx="2">
                  <c:v>200</c:v>
                </c:pt>
              </c:numCache>
            </c:numRef>
          </c:cat>
          <c:val>
            <c:numRef>
              <c:f>Ex_3_class!$C$40:$C$42</c:f>
              <c:numCache>
                <c:formatCode>General</c:formatCode>
                <c:ptCount val="3"/>
                <c:pt idx="0">
                  <c:v>0.3</c:v>
                </c:pt>
                <c:pt idx="1">
                  <c:v>0.5</c:v>
                </c:pt>
                <c:pt idx="2">
                  <c:v>0.2</c:v>
                </c:pt>
              </c:numCache>
            </c:numRef>
          </c:val>
          <c:extLst>
            <c:ext xmlns:c16="http://schemas.microsoft.com/office/drawing/2014/chart" uri="{C3380CC4-5D6E-409C-BE32-E72D297353CC}">
              <c16:uniqueId val="{00000003-05BE-4055-B884-1D8A76B34236}"/>
            </c:ext>
          </c:extLst>
        </c:ser>
        <c:dLbls>
          <c:showLegendKey val="0"/>
          <c:showVal val="0"/>
          <c:showCatName val="0"/>
          <c:showSerName val="0"/>
          <c:showPercent val="0"/>
          <c:showBubbleSize val="0"/>
        </c:dLbls>
        <c:gapWidth val="0"/>
        <c:axId val="204961664"/>
        <c:axId val="204963200"/>
      </c:barChart>
      <c:catAx>
        <c:axId val="204961664"/>
        <c:scaling>
          <c:orientation val="minMax"/>
        </c:scaling>
        <c:delete val="0"/>
        <c:axPos val="b"/>
        <c:numFmt formatCode="General" sourceLinked="1"/>
        <c:majorTickMark val="none"/>
        <c:minorTickMark val="none"/>
        <c:tickLblPos val="nextTo"/>
        <c:crossAx val="204963200"/>
        <c:crosses val="autoZero"/>
        <c:auto val="1"/>
        <c:lblAlgn val="ctr"/>
        <c:lblOffset val="100"/>
        <c:noMultiLvlLbl val="0"/>
      </c:catAx>
      <c:valAx>
        <c:axId val="204963200"/>
        <c:scaling>
          <c:orientation val="minMax"/>
        </c:scaling>
        <c:delete val="1"/>
        <c:axPos val="l"/>
        <c:majorGridlines/>
        <c:numFmt formatCode="General" sourceLinked="1"/>
        <c:majorTickMark val="none"/>
        <c:minorTickMark val="none"/>
        <c:tickLblPos val="none"/>
        <c:crossAx val="20496166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0099CC"/>
                </a:solidFill>
              </a:rPr>
              <a:t>D</a:t>
            </a:r>
            <a:r>
              <a:rPr lang="en-US" baseline="-25000">
                <a:solidFill>
                  <a:srgbClr val="0099CC"/>
                </a:solidFill>
              </a:rPr>
              <a:t>S1.5</a:t>
            </a:r>
          </a:p>
        </c:rich>
      </c:tx>
      <c:layout>
        <c:manualLayout>
          <c:xMode val="edge"/>
          <c:yMode val="edge"/>
          <c:x val="0.86601227649915447"/>
          <c:y val="1.013941293597477E-2"/>
        </c:manualLayout>
      </c:layout>
      <c:overlay val="0"/>
    </c:title>
    <c:autoTitleDeleted val="0"/>
    <c:plotArea>
      <c:layout>
        <c:manualLayout>
          <c:layoutTarget val="inner"/>
          <c:xMode val="edge"/>
          <c:yMode val="edge"/>
          <c:x val="6.1059459314951074E-3"/>
          <c:y val="0"/>
          <c:w val="0.9190743557511345"/>
          <c:h val="0.75534394964464169"/>
        </c:manualLayout>
      </c:layout>
      <c:barChart>
        <c:barDir val="col"/>
        <c:grouping val="clustered"/>
        <c:varyColors val="0"/>
        <c:ser>
          <c:idx val="1"/>
          <c:order val="0"/>
          <c:spPr>
            <a:solidFill>
              <a:srgbClr val="0099CC"/>
            </a:solidFill>
            <a:ln>
              <a:solidFill>
                <a:schemeClr val="tx2">
                  <a:lumMod val="75000"/>
                </a:schemeClr>
              </a:solidFill>
            </a:ln>
          </c:spPr>
          <c:invertIfNegative val="0"/>
          <c:dPt>
            <c:idx val="1"/>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0-B358-4245-B93D-EBF0779F3DB1}"/>
              </c:ext>
            </c:extLst>
          </c:dPt>
          <c:dPt>
            <c:idx val="2"/>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1-B358-4245-B93D-EBF0779F3DB1}"/>
              </c:ext>
            </c:extLst>
          </c:dPt>
          <c:dPt>
            <c:idx val="3"/>
            <c:invertIfNegative val="0"/>
            <c:bubble3D val="0"/>
            <c:spPr>
              <a:solidFill>
                <a:srgbClr val="0099CC"/>
              </a:solidFill>
              <a:ln>
                <a:solidFill>
                  <a:schemeClr val="tx2">
                    <a:lumMod val="75000"/>
                  </a:schemeClr>
                </a:solidFill>
              </a:ln>
            </c:spPr>
            <c:extLst>
              <c:ext xmlns:c16="http://schemas.microsoft.com/office/drawing/2014/chart" uri="{C3380CC4-5D6E-409C-BE32-E72D297353CC}">
                <c16:uniqueId val="{00000002-B358-4245-B93D-EBF0779F3D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Ex_3_class!$B$45:$B$48</c:f>
              <c:numCache>
                <c:formatCode>General</c:formatCode>
                <c:ptCount val="4"/>
                <c:pt idx="0">
                  <c:v>150</c:v>
                </c:pt>
                <c:pt idx="1">
                  <c:v>160</c:v>
                </c:pt>
                <c:pt idx="2">
                  <c:v>170</c:v>
                </c:pt>
                <c:pt idx="3">
                  <c:v>180</c:v>
                </c:pt>
              </c:numCache>
            </c:numRef>
          </c:cat>
          <c:val>
            <c:numRef>
              <c:f>Ex_3_class!$C$45:$C$48</c:f>
              <c:numCache>
                <c:formatCode>General</c:formatCode>
                <c:ptCount val="4"/>
                <c:pt idx="0">
                  <c:v>0.25</c:v>
                </c:pt>
                <c:pt idx="1">
                  <c:v>0.4</c:v>
                </c:pt>
                <c:pt idx="2">
                  <c:v>0.25</c:v>
                </c:pt>
                <c:pt idx="3">
                  <c:v>0.1</c:v>
                </c:pt>
              </c:numCache>
            </c:numRef>
          </c:val>
          <c:extLst>
            <c:ext xmlns:c16="http://schemas.microsoft.com/office/drawing/2014/chart" uri="{C3380CC4-5D6E-409C-BE32-E72D297353CC}">
              <c16:uniqueId val="{00000003-B358-4245-B93D-EBF0779F3DB1}"/>
            </c:ext>
          </c:extLst>
        </c:ser>
        <c:dLbls>
          <c:showLegendKey val="0"/>
          <c:showVal val="0"/>
          <c:showCatName val="0"/>
          <c:showSerName val="0"/>
          <c:showPercent val="0"/>
          <c:showBubbleSize val="0"/>
        </c:dLbls>
        <c:gapWidth val="0"/>
        <c:axId val="205002624"/>
        <c:axId val="205004160"/>
      </c:barChart>
      <c:catAx>
        <c:axId val="205002624"/>
        <c:scaling>
          <c:orientation val="minMax"/>
        </c:scaling>
        <c:delete val="0"/>
        <c:axPos val="b"/>
        <c:numFmt formatCode="General" sourceLinked="1"/>
        <c:majorTickMark val="none"/>
        <c:minorTickMark val="none"/>
        <c:tickLblPos val="nextTo"/>
        <c:crossAx val="205004160"/>
        <c:crosses val="autoZero"/>
        <c:auto val="1"/>
        <c:lblAlgn val="ctr"/>
        <c:lblOffset val="100"/>
        <c:noMultiLvlLbl val="0"/>
      </c:catAx>
      <c:valAx>
        <c:axId val="205004160"/>
        <c:scaling>
          <c:orientation val="minMax"/>
        </c:scaling>
        <c:delete val="1"/>
        <c:axPos val="l"/>
        <c:majorGridlines/>
        <c:numFmt formatCode="General" sourceLinked="1"/>
        <c:majorTickMark val="none"/>
        <c:minorTickMark val="none"/>
        <c:tickLblPos val="none"/>
        <c:crossAx val="205002624"/>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chemeClr val="accent6"/>
                </a:solidFill>
              </a:rPr>
              <a:t>D</a:t>
            </a:r>
            <a:r>
              <a:rPr lang="en-US" baseline="-25000">
                <a:solidFill>
                  <a:schemeClr val="accent6"/>
                </a:solidFill>
              </a:rPr>
              <a:t>S2</a:t>
            </a:r>
          </a:p>
        </c:rich>
      </c:tx>
      <c:layout>
        <c:manualLayout>
          <c:xMode val="edge"/>
          <c:yMode val="edge"/>
          <c:x val="0.86601227649915447"/>
          <c:y val="1.013941293597477E-2"/>
        </c:manualLayout>
      </c:layout>
      <c:overlay val="0"/>
    </c:title>
    <c:autoTitleDeleted val="0"/>
    <c:plotArea>
      <c:layout>
        <c:manualLayout>
          <c:layoutTarget val="inner"/>
          <c:xMode val="edge"/>
          <c:yMode val="edge"/>
          <c:x val="1.0191800109498213E-2"/>
          <c:y val="1.1178902356655047E-2"/>
          <c:w val="0.9120009713371986"/>
          <c:h val="0.73506512377269151"/>
        </c:manualLayout>
      </c:layout>
      <c:barChart>
        <c:barDir val="col"/>
        <c:grouping val="clustered"/>
        <c:varyColors val="0"/>
        <c:ser>
          <c:idx val="1"/>
          <c:order val="0"/>
          <c:spPr>
            <a:solidFill>
              <a:schemeClr val="accent6"/>
            </a:solidFill>
            <a:ln>
              <a:solidFill>
                <a:schemeClr val="tx2">
                  <a:lumMod val="75000"/>
                </a:schemeClr>
              </a:solidFill>
            </a:ln>
          </c:spPr>
          <c:invertIfNegative val="0"/>
          <c:dPt>
            <c:idx val="1"/>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0-C359-4874-A0C6-61089585D205}"/>
              </c:ext>
            </c:extLst>
          </c:dPt>
          <c:dPt>
            <c:idx val="2"/>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1-C359-4874-A0C6-61089585D205}"/>
              </c:ext>
            </c:extLst>
          </c:dPt>
          <c:dPt>
            <c:idx val="3"/>
            <c:invertIfNegative val="0"/>
            <c:bubble3D val="0"/>
            <c:spPr>
              <a:solidFill>
                <a:schemeClr val="accent6"/>
              </a:solidFill>
              <a:ln>
                <a:solidFill>
                  <a:schemeClr val="tx2">
                    <a:lumMod val="75000"/>
                  </a:schemeClr>
                </a:solidFill>
              </a:ln>
            </c:spPr>
            <c:extLst>
              <c:ext xmlns:c16="http://schemas.microsoft.com/office/drawing/2014/chart" uri="{C3380CC4-5D6E-409C-BE32-E72D297353CC}">
                <c16:uniqueId val="{00000002-C359-4874-A0C6-61089585D20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Ex_3_class!$B$51:$B$53</c:f>
              <c:numCache>
                <c:formatCode>General</c:formatCode>
                <c:ptCount val="3"/>
                <c:pt idx="0">
                  <c:v>130</c:v>
                </c:pt>
                <c:pt idx="1">
                  <c:v>140</c:v>
                </c:pt>
                <c:pt idx="2">
                  <c:v>150</c:v>
                </c:pt>
              </c:numCache>
            </c:numRef>
          </c:cat>
          <c:val>
            <c:numRef>
              <c:f>Ex_3_class!$C$51:$C$53</c:f>
              <c:numCache>
                <c:formatCode>General</c:formatCode>
                <c:ptCount val="3"/>
                <c:pt idx="0">
                  <c:v>0.3</c:v>
                </c:pt>
                <c:pt idx="1">
                  <c:v>0.6</c:v>
                </c:pt>
                <c:pt idx="2">
                  <c:v>0.1</c:v>
                </c:pt>
              </c:numCache>
            </c:numRef>
          </c:val>
          <c:extLst>
            <c:ext xmlns:c16="http://schemas.microsoft.com/office/drawing/2014/chart" uri="{C3380CC4-5D6E-409C-BE32-E72D297353CC}">
              <c16:uniqueId val="{00000003-C359-4874-A0C6-61089585D205}"/>
            </c:ext>
          </c:extLst>
        </c:ser>
        <c:dLbls>
          <c:showLegendKey val="0"/>
          <c:showVal val="0"/>
          <c:showCatName val="0"/>
          <c:showSerName val="0"/>
          <c:showPercent val="0"/>
          <c:showBubbleSize val="0"/>
        </c:dLbls>
        <c:gapWidth val="0"/>
        <c:axId val="205027200"/>
        <c:axId val="205028736"/>
      </c:barChart>
      <c:catAx>
        <c:axId val="205027200"/>
        <c:scaling>
          <c:orientation val="minMax"/>
        </c:scaling>
        <c:delete val="0"/>
        <c:axPos val="b"/>
        <c:numFmt formatCode="General" sourceLinked="1"/>
        <c:majorTickMark val="none"/>
        <c:minorTickMark val="none"/>
        <c:tickLblPos val="nextTo"/>
        <c:crossAx val="205028736"/>
        <c:crosses val="autoZero"/>
        <c:auto val="1"/>
        <c:lblAlgn val="ctr"/>
        <c:lblOffset val="100"/>
        <c:noMultiLvlLbl val="0"/>
      </c:catAx>
      <c:valAx>
        <c:axId val="205028736"/>
        <c:scaling>
          <c:orientation val="minMax"/>
        </c:scaling>
        <c:delete val="1"/>
        <c:axPos val="l"/>
        <c:majorGridlines/>
        <c:numFmt formatCode="General" sourceLinked="1"/>
        <c:majorTickMark val="none"/>
        <c:minorTickMark val="none"/>
        <c:tickLblPos val="none"/>
        <c:crossAx val="205027200"/>
        <c:crosses val="autoZero"/>
        <c:crossBetween val="between"/>
      </c:valAx>
    </c:plotArea>
    <c:plotVisOnly val="1"/>
    <c:dispBlanksAs val="gap"/>
    <c:showDLblsOverMax val="0"/>
  </c:chart>
  <c:spPr>
    <a:solidFill>
      <a:schemeClr val="bg1"/>
    </a:solidFill>
    <a:ln>
      <a:noFill/>
    </a:ln>
  </c:sp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2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420857</xdr:colOff>
      <xdr:row>19</xdr:row>
      <xdr:rowOff>99107</xdr:rowOff>
    </xdr:from>
    <xdr:to>
      <xdr:col>4</xdr:col>
      <xdr:colOff>511875</xdr:colOff>
      <xdr:row>27</xdr:row>
      <xdr:rowOff>7446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401807</xdr:colOff>
      <xdr:row>19</xdr:row>
      <xdr:rowOff>109689</xdr:rowOff>
    </xdr:from>
    <xdr:to>
      <xdr:col>8</xdr:col>
      <xdr:colOff>526691</xdr:colOff>
      <xdr:row>27</xdr:row>
      <xdr:rowOff>13795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204957</xdr:colOff>
      <xdr:row>19</xdr:row>
      <xdr:rowOff>104398</xdr:rowOff>
    </xdr:from>
    <xdr:to>
      <xdr:col>13</xdr:col>
      <xdr:colOff>53437</xdr:colOff>
      <xdr:row>27</xdr:row>
      <xdr:rowOff>28611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244313</xdr:colOff>
      <xdr:row>64</xdr:row>
      <xdr:rowOff>165342</xdr:rowOff>
    </xdr:from>
    <xdr:to>
      <xdr:col>34</xdr:col>
      <xdr:colOff>610315</xdr:colOff>
      <xdr:row>75</xdr:row>
      <xdr:rowOff>2794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34</xdr:col>
      <xdr:colOff>669112</xdr:colOff>
      <xdr:row>64</xdr:row>
      <xdr:rowOff>166405</xdr:rowOff>
    </xdr:from>
    <xdr:to>
      <xdr:col>39</xdr:col>
      <xdr:colOff>505179</xdr:colOff>
      <xdr:row>75</xdr:row>
      <xdr:rowOff>671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104775</xdr:rowOff>
    </xdr:from>
    <xdr:to>
      <xdr:col>2</xdr:col>
      <xdr:colOff>661988</xdr:colOff>
      <xdr:row>10</xdr:row>
      <xdr:rowOff>33338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676276</xdr:colOff>
      <xdr:row>3</xdr:row>
      <xdr:rowOff>114300</xdr:rowOff>
    </xdr:from>
    <xdr:to>
      <xdr:col>4</xdr:col>
      <xdr:colOff>514351</xdr:colOff>
      <xdr:row>10</xdr:row>
      <xdr:rowOff>42863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547688</xdr:colOff>
      <xdr:row>3</xdr:row>
      <xdr:rowOff>114300</xdr:rowOff>
    </xdr:from>
    <xdr:to>
      <xdr:col>7</xdr:col>
      <xdr:colOff>514351</xdr:colOff>
      <xdr:row>10</xdr:row>
      <xdr:rowOff>33338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566738</xdr:colOff>
      <xdr:row>3</xdr:row>
      <xdr:rowOff>100012</xdr:rowOff>
    </xdr:from>
    <xdr:to>
      <xdr:col>10</xdr:col>
      <xdr:colOff>533401</xdr:colOff>
      <xdr:row>10</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28576</xdr:colOff>
      <xdr:row>3</xdr:row>
      <xdr:rowOff>128587</xdr:rowOff>
    </xdr:from>
    <xdr:to>
      <xdr:col>13</xdr:col>
      <xdr:colOff>642939</xdr:colOff>
      <xdr:row>10</xdr:row>
      <xdr:rowOff>57150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13</xdr:row>
      <xdr:rowOff>33338</xdr:rowOff>
    </xdr:from>
    <xdr:to>
      <xdr:col>2</xdr:col>
      <xdr:colOff>623888</xdr:colOff>
      <xdr:row>19</xdr:row>
      <xdr:rowOff>142876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671513</xdr:colOff>
      <xdr:row>13</xdr:row>
      <xdr:rowOff>33339</xdr:rowOff>
    </xdr:from>
    <xdr:to>
      <xdr:col>4</xdr:col>
      <xdr:colOff>471488</xdr:colOff>
      <xdr:row>19</xdr:row>
      <xdr:rowOff>142877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538162</xdr:colOff>
      <xdr:row>13</xdr:row>
      <xdr:rowOff>33339</xdr:rowOff>
    </xdr:from>
    <xdr:to>
      <xdr:col>7</xdr:col>
      <xdr:colOff>466725</xdr:colOff>
      <xdr:row>19</xdr:row>
      <xdr:rowOff>133352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581025</xdr:colOff>
      <xdr:row>13</xdr:row>
      <xdr:rowOff>23814</xdr:rowOff>
    </xdr:from>
    <xdr:to>
      <xdr:col>10</xdr:col>
      <xdr:colOff>547688</xdr:colOff>
      <xdr:row>19</xdr:row>
      <xdr:rowOff>128589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28575</xdr:colOff>
      <xdr:row>13</xdr:row>
      <xdr:rowOff>42864</xdr:rowOff>
    </xdr:from>
    <xdr:to>
      <xdr:col>13</xdr:col>
      <xdr:colOff>642938</xdr:colOff>
      <xdr:row>19</xdr:row>
      <xdr:rowOff>152402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11</xdr:col>
      <xdr:colOff>521179</xdr:colOff>
      <xdr:row>74</xdr:row>
      <xdr:rowOff>76379</xdr:rowOff>
    </xdr:from>
    <xdr:ext cx="184731" cy="264560"/>
    <xdr:sp macro="" textlink="">
      <xdr:nvSpPr>
        <xdr:cNvPr id="3" name="TextBox 2"/>
        <xdr:cNvSpPr txBox="1"/>
      </xdr:nvSpPr>
      <xdr:spPr>
        <a:xfrm>
          <a:off x="8415248" y="146783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PT"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25</xdr:col>
      <xdr:colOff>91440</xdr:colOff>
      <xdr:row>7</xdr:row>
      <xdr:rowOff>53340</xdr:rowOff>
    </xdr:from>
    <xdr:to>
      <xdr:col>31</xdr:col>
      <xdr:colOff>91440</xdr:colOff>
      <xdr:row>17</xdr:row>
      <xdr:rowOff>60960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190500</xdr:colOff>
          <xdr:row>18</xdr:row>
          <xdr:rowOff>83820</xdr:rowOff>
        </xdr:from>
        <xdr:to>
          <xdr:col>6</xdr:col>
          <xdr:colOff>556260</xdr:colOff>
          <xdr:row>23</xdr:row>
          <xdr:rowOff>106680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7</xdr:col>
      <xdr:colOff>473476</xdr:colOff>
      <xdr:row>9</xdr:row>
      <xdr:rowOff>125767</xdr:rowOff>
    </xdr:from>
    <xdr:to>
      <xdr:col>11</xdr:col>
      <xdr:colOff>235728</xdr:colOff>
      <xdr:row>14</xdr:row>
      <xdr:rowOff>74151</xdr:rowOff>
    </xdr:to>
    <mc:AlternateContent xmlns:mc="http://schemas.openxmlformats.org/markup-compatibility/2006" xmlns:a14="http://schemas.microsoft.com/office/drawing/2010/main">
      <mc:Choice Requires="a14">
        <xdr:sp macro="" textlink="">
          <xdr:nvSpPr>
            <xdr:cNvPr id="3" name="TextBox 2"/>
            <xdr:cNvSpPr txBox="1"/>
          </xdr:nvSpPr>
          <xdr:spPr>
            <a:xfrm>
              <a:off x="4401845" y="2818660"/>
              <a:ext cx="2381165" cy="828753"/>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m:rPr>
                        <m:sty m:val="p"/>
                      </m:rPr>
                      <a:rPr lang="en-US" b="0" i="0">
                        <a:latin typeface="Cambria Math" panose="02040503050406030204" pitchFamily="18" charset="0"/>
                      </a:rPr>
                      <m:t>b</m:t>
                    </m:r>
                    <m:r>
                      <a:rPr lang="en-US" i="0">
                        <a:latin typeface="Cambria Math" panose="02040503050406030204" pitchFamily="18" charset="0"/>
                      </a:rPr>
                      <m:t>=</m:t>
                    </m:r>
                    <m:f>
                      <m:fPr>
                        <m:ctrlPr>
                          <a:rPr lang="en-US" i="1">
                            <a:latin typeface="Cambria Math" panose="02040503050406030204" pitchFamily="18" charset="0"/>
                          </a:rPr>
                        </m:ctrlPr>
                      </m:fPr>
                      <m:num>
                        <m:d>
                          <m:dPr>
                            <m:ctrlPr>
                              <a:rPr lang="en-US" i="1">
                                <a:latin typeface="Cambria Math" panose="02040503050406030204" pitchFamily="18" charset="0"/>
                              </a:rPr>
                            </m:ctrlPr>
                          </m:dPr>
                          <m:e>
                            <m:r>
                              <m:rPr>
                                <m:sty m:val="p"/>
                              </m:rPr>
                              <a:rPr lang="en-US" b="0" i="0">
                                <a:latin typeface="Cambria Math" panose="02040503050406030204" pitchFamily="18" charset="0"/>
                              </a:rPr>
                              <m:t>P</m:t>
                            </m:r>
                            <m:r>
                              <a:rPr lang="en-US" b="0" i="0">
                                <a:latin typeface="Cambria Math" panose="02040503050406030204" pitchFamily="18" charset="0"/>
                              </a:rPr>
                              <m:t>90 −</m:t>
                            </m:r>
                            <m:r>
                              <m:rPr>
                                <m:sty m:val="p"/>
                              </m:rPr>
                              <a:rPr lang="en-US" b="0" i="0">
                                <a:latin typeface="Cambria Math" panose="02040503050406030204" pitchFamily="18" charset="0"/>
                              </a:rPr>
                              <m:t>a</m:t>
                            </m:r>
                          </m:e>
                        </m:d>
                      </m:num>
                      <m:den>
                        <m:d>
                          <m:dPr>
                            <m:begChr m:val="["/>
                            <m:endChr m:val="]"/>
                            <m:ctrlPr>
                              <a:rPr lang="en-US" i="1">
                                <a:latin typeface="Cambria Math" panose="02040503050406030204" pitchFamily="18" charset="0"/>
                              </a:rPr>
                            </m:ctrlPr>
                          </m:dPr>
                          <m:e>
                            <m:sSup>
                              <m:sSupPr>
                                <m:ctrlPr>
                                  <a:rPr lang="en-US" i="1">
                                    <a:latin typeface="Cambria Math" panose="02040503050406030204" pitchFamily="18" charset="0"/>
                                  </a:rPr>
                                </m:ctrlPr>
                              </m:sSupPr>
                              <m:e>
                                <m:d>
                                  <m:dPr>
                                    <m:ctrlPr>
                                      <a:rPr lang="en-US" i="1">
                                        <a:latin typeface="Cambria Math" panose="02040503050406030204" pitchFamily="18" charset="0"/>
                                      </a:rPr>
                                    </m:ctrlPr>
                                  </m:dPr>
                                  <m:e>
                                    <m:r>
                                      <a:rPr lang="en-US" i="0">
                                        <a:latin typeface="Cambria Math" panose="02040503050406030204" pitchFamily="18" charset="0"/>
                                      </a:rPr>
                                      <m:t>−</m:t>
                                    </m:r>
                                    <m:r>
                                      <m:rPr>
                                        <m:sty m:val="p"/>
                                      </m:rPr>
                                      <a:rPr lang="en-US" i="0">
                                        <a:latin typeface="Cambria Math" panose="02040503050406030204" pitchFamily="18" charset="0"/>
                                      </a:rPr>
                                      <m:t>ln</m:t>
                                    </m:r>
                                    <m:d>
                                      <m:dPr>
                                        <m:ctrlPr>
                                          <a:rPr lang="en-US" i="1">
                                            <a:latin typeface="Cambria Math" panose="02040503050406030204" pitchFamily="18" charset="0"/>
                                          </a:rPr>
                                        </m:ctrlPr>
                                      </m:dPr>
                                      <m:e>
                                        <m:r>
                                          <a:rPr lang="en-US" i="0">
                                            <a:latin typeface="Cambria Math" panose="02040503050406030204" pitchFamily="18" charset="0"/>
                                          </a:rPr>
                                          <m:t>1−</m:t>
                                        </m:r>
                                        <m:r>
                                          <a:rPr lang="en-US" b="0" i="1">
                                            <a:latin typeface="Cambria Math" panose="02040503050406030204" pitchFamily="18" charset="0"/>
                                          </a:rPr>
                                          <m:t>0.9</m:t>
                                        </m:r>
                                      </m:e>
                                    </m:d>
                                  </m:e>
                                </m:d>
                              </m:e>
                              <m:sup>
                                <m:f>
                                  <m:fPr>
                                    <m:type m:val="skw"/>
                                    <m:ctrlPr>
                                      <a:rPr lang="en-US" i="1">
                                        <a:latin typeface="Cambria Math" panose="02040503050406030204" pitchFamily="18" charset="0"/>
                                      </a:rPr>
                                    </m:ctrlPr>
                                  </m:fPr>
                                  <m:num>
                                    <m:r>
                                      <a:rPr lang="en-US" b="0" i="0">
                                        <a:latin typeface="Cambria Math" panose="02040503050406030204" pitchFamily="18" charset="0"/>
                                      </a:rPr>
                                      <m:t>1</m:t>
                                    </m:r>
                                  </m:num>
                                  <m:den>
                                    <m:r>
                                      <m:rPr>
                                        <m:sty m:val="p"/>
                                      </m:rPr>
                                      <a:rPr lang="en-US" b="0" i="0">
                                        <a:latin typeface="Cambria Math" panose="02040503050406030204" pitchFamily="18" charset="0"/>
                                      </a:rPr>
                                      <m:t>c</m:t>
                                    </m:r>
                                  </m:den>
                                </m:f>
                              </m:sup>
                            </m:sSup>
                          </m:e>
                        </m:d>
                      </m:den>
                    </m:f>
                  </m:oMath>
                </m:oMathPara>
              </a14:m>
              <a:endParaRPr lang="en-US"/>
            </a:p>
          </xdr:txBody>
        </xdr:sp>
      </mc:Choice>
      <mc:Fallback xmlns="">
        <xdr:sp macro="" textlink="">
          <xdr:nvSpPr>
            <xdr:cNvPr id="3" name="TextBox 2"/>
            <xdr:cNvSpPr txBox="1"/>
          </xdr:nvSpPr>
          <xdr:spPr>
            <a:xfrm>
              <a:off x="4401845" y="2818660"/>
              <a:ext cx="2381165" cy="828753"/>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latin typeface="Cambria Math" panose="02040503050406030204" pitchFamily="18" charset="0"/>
                </a:rPr>
                <a:t>b</a:t>
              </a:r>
              <a:r>
                <a:rPr lang="en-US" i="0">
                  <a:latin typeface="Cambria Math" panose="02040503050406030204" pitchFamily="18" charset="0"/>
                </a:rPr>
                <a:t>=((</a:t>
              </a:r>
              <a:r>
                <a:rPr lang="en-US" b="0" i="0">
                  <a:latin typeface="Cambria Math" panose="02040503050406030204" pitchFamily="18" charset="0"/>
                </a:rPr>
                <a:t>P90 −a))/[(</a:t>
              </a:r>
              <a:r>
                <a:rPr lang="en-US" i="0">
                  <a:latin typeface="Cambria Math" panose="02040503050406030204" pitchFamily="18" charset="0"/>
                </a:rPr>
                <a:t>−ln(1−</a:t>
              </a:r>
              <a:r>
                <a:rPr lang="en-US" b="0" i="0">
                  <a:latin typeface="Cambria Math" panose="02040503050406030204" pitchFamily="18" charset="0"/>
                </a:rPr>
                <a:t>0.9))^(1⁄c) ] </a:t>
              </a:r>
              <a:endParaRPr lang="en-US"/>
            </a:p>
          </xdr:txBody>
        </xdr:sp>
      </mc:Fallback>
    </mc:AlternateContent>
    <xdr:clientData/>
  </xdr:twoCellAnchor>
  <xdr:twoCellAnchor>
    <xdr:from>
      <xdr:col>4</xdr:col>
      <xdr:colOff>295923</xdr:colOff>
      <xdr:row>23</xdr:row>
      <xdr:rowOff>73981</xdr:rowOff>
    </xdr:from>
    <xdr:to>
      <xdr:col>4</xdr:col>
      <xdr:colOff>310719</xdr:colOff>
      <xdr:row>29</xdr:row>
      <xdr:rowOff>103573</xdr:rowOff>
    </xdr:to>
    <xdr:cxnSp macro="">
      <xdr:nvCxnSpPr>
        <xdr:cNvPr id="4" name="Straight Arrow Connector 3"/>
        <xdr:cNvCxnSpPr/>
      </xdr:nvCxnSpPr>
      <xdr:spPr>
        <a:xfrm flipH="1">
          <a:off x="2359981" y="4542408"/>
          <a:ext cx="14796" cy="1050524"/>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26</xdr:col>
      <xdr:colOff>207144</xdr:colOff>
      <xdr:row>41</xdr:row>
      <xdr:rowOff>66583</xdr:rowOff>
    </xdr:from>
    <xdr:to>
      <xdr:col>34</xdr:col>
      <xdr:colOff>569650</xdr:colOff>
      <xdr:row>52</xdr:row>
      <xdr:rowOff>51049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207146</xdr:colOff>
      <xdr:row>41</xdr:row>
      <xdr:rowOff>73981</xdr:rowOff>
    </xdr:from>
    <xdr:to>
      <xdr:col>26</xdr:col>
      <xdr:colOff>177554</xdr:colOff>
      <xdr:row>52</xdr:row>
      <xdr:rowOff>58447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66584</xdr:colOff>
      <xdr:row>41</xdr:row>
      <xdr:rowOff>14796</xdr:rowOff>
    </xdr:from>
    <xdr:to>
      <xdr:col>19</xdr:col>
      <xdr:colOff>118372</xdr:colOff>
      <xdr:row>51</xdr:row>
      <xdr:rowOff>169417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140563</xdr:colOff>
      <xdr:row>41</xdr:row>
      <xdr:rowOff>22194</xdr:rowOff>
    </xdr:from>
    <xdr:to>
      <xdr:col>21</xdr:col>
      <xdr:colOff>1065321</xdr:colOff>
      <xdr:row>52</xdr:row>
      <xdr:rowOff>6660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619122</xdr:colOff>
      <xdr:row>19</xdr:row>
      <xdr:rowOff>124382</xdr:rowOff>
    </xdr:from>
    <xdr:to>
      <xdr:col>13</xdr:col>
      <xdr:colOff>67283</xdr:colOff>
      <xdr:row>32</xdr:row>
      <xdr:rowOff>122462</xdr:rowOff>
    </xdr:to>
    <xdr:pic>
      <xdr:nvPicPr>
        <xdr:cNvPr id="3" name="Picture 2"/>
        <xdr:cNvPicPr>
          <a:picLocks noChangeAspect="1"/>
        </xdr:cNvPicPr>
      </xdr:nvPicPr>
      <xdr:blipFill>
        <a:blip xmlns:r="http://schemas.openxmlformats.org/officeDocument/2006/relationships" r:embed="rId1"/>
        <a:stretch>
          <a:fillRect/>
        </a:stretch>
      </xdr:blipFill>
      <xdr:spPr>
        <a:xfrm>
          <a:off x="1221102" y="3591482"/>
          <a:ext cx="7291107" cy="2375520"/>
        </a:xfrm>
        <a:prstGeom prst="rect">
          <a:avLst/>
        </a:prstGeom>
      </xdr:spPr>
    </xdr:pic>
    <xdr:clientData/>
  </xdr:twoCellAnchor>
  <xdr:twoCellAnchor editAs="oneCell">
    <xdr:from>
      <xdr:col>13</xdr:col>
      <xdr:colOff>271273</xdr:colOff>
      <xdr:row>19</xdr:row>
      <xdr:rowOff>41189</xdr:rowOff>
    </xdr:from>
    <xdr:to>
      <xdr:col>21</xdr:col>
      <xdr:colOff>211454</xdr:colOff>
      <xdr:row>32</xdr:row>
      <xdr:rowOff>123568</xdr:rowOff>
    </xdr:to>
    <xdr:pic>
      <xdr:nvPicPr>
        <xdr:cNvPr id="2" name="Picture 1"/>
        <xdr:cNvPicPr>
          <a:picLocks noChangeAspect="1"/>
        </xdr:cNvPicPr>
      </xdr:nvPicPr>
      <xdr:blipFill rotWithShape="1">
        <a:blip xmlns:r="http://schemas.openxmlformats.org/officeDocument/2006/relationships" r:embed="rId2"/>
        <a:srcRect l="15011" t="54870" r="60774" b="21521"/>
        <a:stretch/>
      </xdr:blipFill>
      <xdr:spPr>
        <a:xfrm>
          <a:off x="8344354" y="3562865"/>
          <a:ext cx="4506673" cy="24919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48529</xdr:colOff>
      <xdr:row>5</xdr:row>
      <xdr:rowOff>63198</xdr:rowOff>
    </xdr:from>
    <xdr:to>
      <xdr:col>14</xdr:col>
      <xdr:colOff>642707</xdr:colOff>
      <xdr:row>19</xdr:row>
      <xdr:rowOff>1361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7</xdr:col>
          <xdr:colOff>0</xdr:colOff>
          <xdr:row>3</xdr:row>
          <xdr:rowOff>99060</xdr:rowOff>
        </xdr:from>
        <xdr:to>
          <xdr:col>7</xdr:col>
          <xdr:colOff>0</xdr:colOff>
          <xdr:row>7</xdr:row>
          <xdr:rowOff>30480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23</xdr:row>
          <xdr:rowOff>137160</xdr:rowOff>
        </xdr:from>
        <xdr:to>
          <xdr:col>15</xdr:col>
          <xdr:colOff>480060</xdr:colOff>
          <xdr:row>26</xdr:row>
          <xdr:rowOff>175260</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xdr:colOff>
          <xdr:row>21</xdr:row>
          <xdr:rowOff>30480</xdr:rowOff>
        </xdr:from>
        <xdr:to>
          <xdr:col>14</xdr:col>
          <xdr:colOff>190500</xdr:colOff>
          <xdr:row>26</xdr:row>
          <xdr:rowOff>60960</xdr:rowOff>
        </xdr:to>
        <xdr:sp macro="" textlink="">
          <xdr:nvSpPr>
            <xdr:cNvPr id="6147" name="Object 6" hidden="1">
              <a:extLst>
                <a:ext uri="{63B3BB69-23CF-44E3-9099-C40C66FF867C}">
                  <a14:compatExt spid="_x0000_s61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8</xdr:col>
      <xdr:colOff>144780</xdr:colOff>
      <xdr:row>20</xdr:row>
      <xdr:rowOff>91440</xdr:rowOff>
    </xdr:from>
    <xdr:to>
      <xdr:col>14</xdr:col>
      <xdr:colOff>22860</xdr:colOff>
      <xdr:row>23</xdr:row>
      <xdr:rowOff>83820</xdr:rowOff>
    </xdr:to>
    <xdr:sp macro="" textlink="">
      <xdr:nvSpPr>
        <xdr:cNvPr id="3" name="Rectangle 2"/>
        <xdr:cNvSpPr/>
      </xdr:nvSpPr>
      <xdr:spPr>
        <a:xfrm>
          <a:off x="4610100" y="3916680"/>
          <a:ext cx="3535680" cy="5410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281940</xdr:colOff>
      <xdr:row>23</xdr:row>
      <xdr:rowOff>144780</xdr:rowOff>
    </xdr:from>
    <xdr:to>
      <xdr:col>14</xdr:col>
      <xdr:colOff>160020</xdr:colOff>
      <xdr:row>26</xdr:row>
      <xdr:rowOff>15240</xdr:rowOff>
    </xdr:to>
    <xdr:sp macro="" textlink="">
      <xdr:nvSpPr>
        <xdr:cNvPr id="7" name="Rectangle 6"/>
        <xdr:cNvSpPr/>
      </xdr:nvSpPr>
      <xdr:spPr>
        <a:xfrm>
          <a:off x="4747260" y="4518660"/>
          <a:ext cx="3535680" cy="4191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usana\Aulas\Aulas_2017\preparation\DiameterDistribution_Weibu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ercisesMonteCarlo_Solved_26May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0; N=1359 (2)"/>
      <sheetName val="t=30; N=1359"/>
      <sheetName val="t=32; N=708"/>
      <sheetName val="t=32; N=708 (2)"/>
      <sheetName val="Sheet4"/>
    </sheetNames>
    <sheetDataSet>
      <sheetData sheetId="0" refreshError="1"/>
      <sheetData sheetId="1" refreshError="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0; N=1359 (2)"/>
      <sheetName val="Summary"/>
      <sheetName val="Ex_1_class"/>
      <sheetName val="Ex_1"/>
      <sheetName val="Ex_2_class"/>
      <sheetName val="Ex_2"/>
      <sheetName val="Ex_3_class"/>
      <sheetName val="Ex_3"/>
      <sheetName val="Ex_4_class"/>
      <sheetName val="Ex_4_d_dist"/>
      <sheetName val="Ex_5_class"/>
      <sheetName val="Ex_5"/>
      <sheetName val="Ex_6_Pdeath_class"/>
      <sheetName val="Ex_6_Pdeath"/>
      <sheetName val="Ex_7_SiteIndex"/>
      <sheetName val="Sheet1"/>
      <sheetName val="cov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2">
          <cell r="F42">
            <v>1.5</v>
          </cell>
          <cell r="G42">
            <v>1</v>
          </cell>
        </row>
        <row r="43">
          <cell r="F43">
            <v>4.5</v>
          </cell>
          <cell r="G43">
            <v>1</v>
          </cell>
        </row>
        <row r="44">
          <cell r="F44">
            <v>7.5</v>
          </cell>
          <cell r="G44">
            <v>1</v>
          </cell>
        </row>
        <row r="45">
          <cell r="F45">
            <v>10.5</v>
          </cell>
          <cell r="G45">
            <v>1</v>
          </cell>
        </row>
        <row r="46">
          <cell r="F46">
            <v>13.5</v>
          </cell>
          <cell r="G46">
            <v>1</v>
          </cell>
        </row>
        <row r="47">
          <cell r="F47">
            <v>16.5</v>
          </cell>
          <cell r="G47">
            <v>1</v>
          </cell>
        </row>
        <row r="48">
          <cell r="F48">
            <v>19.5</v>
          </cell>
          <cell r="G48">
            <v>1</v>
          </cell>
        </row>
        <row r="49">
          <cell r="F49">
            <v>22.5</v>
          </cell>
          <cell r="G49">
            <v>1</v>
          </cell>
        </row>
        <row r="50">
          <cell r="F50">
            <v>25.5</v>
          </cell>
          <cell r="G50">
            <v>1</v>
          </cell>
        </row>
        <row r="51">
          <cell r="F51">
            <v>28.5</v>
          </cell>
          <cell r="G51">
            <v>1</v>
          </cell>
        </row>
        <row r="52">
          <cell r="F52">
            <v>31.5</v>
          </cell>
          <cell r="G52">
            <v>1</v>
          </cell>
        </row>
        <row r="53">
          <cell r="F53">
            <v>34.5</v>
          </cell>
          <cell r="G53">
            <v>1</v>
          </cell>
        </row>
        <row r="54">
          <cell r="F54">
            <v>37.5</v>
          </cell>
          <cell r="G54">
            <v>1</v>
          </cell>
        </row>
        <row r="55">
          <cell r="F55">
            <v>40.5</v>
          </cell>
          <cell r="G55">
            <v>1</v>
          </cell>
        </row>
        <row r="56">
          <cell r="F56">
            <v>43.5</v>
          </cell>
          <cell r="G56">
            <v>1</v>
          </cell>
        </row>
        <row r="57">
          <cell r="F57">
            <v>46.5</v>
          </cell>
          <cell r="G57">
            <v>1</v>
          </cell>
        </row>
        <row r="58">
          <cell r="F58">
            <v>49.5</v>
          </cell>
          <cell r="G58">
            <v>1</v>
          </cell>
        </row>
        <row r="59">
          <cell r="F59">
            <v>52.5</v>
          </cell>
          <cell r="G59">
            <v>1</v>
          </cell>
        </row>
        <row r="60">
          <cell r="F60">
            <v>55.5</v>
          </cell>
          <cell r="G60">
            <v>1</v>
          </cell>
        </row>
        <row r="61">
          <cell r="F61">
            <v>58.5</v>
          </cell>
          <cell r="G61">
            <v>1</v>
          </cell>
        </row>
        <row r="62">
          <cell r="F62">
            <v>61.5</v>
          </cell>
          <cell r="G62">
            <v>1</v>
          </cell>
        </row>
        <row r="63">
          <cell r="F63">
            <v>64.5</v>
          </cell>
          <cell r="G63">
            <v>1</v>
          </cell>
        </row>
        <row r="64">
          <cell r="F64">
            <v>67.5</v>
          </cell>
          <cell r="G64">
            <v>1</v>
          </cell>
        </row>
        <row r="65">
          <cell r="F65">
            <v>70.5</v>
          </cell>
          <cell r="G65">
            <v>1</v>
          </cell>
        </row>
        <row r="66">
          <cell r="F66">
            <v>70.5</v>
          </cell>
          <cell r="G66">
            <v>3</v>
          </cell>
        </row>
        <row r="67">
          <cell r="F67">
            <v>67.5</v>
          </cell>
          <cell r="G67">
            <v>3</v>
          </cell>
        </row>
        <row r="68">
          <cell r="F68">
            <v>64.5</v>
          </cell>
          <cell r="G68">
            <v>3</v>
          </cell>
        </row>
        <row r="69">
          <cell r="F69">
            <v>61.5</v>
          </cell>
          <cell r="G69">
            <v>3</v>
          </cell>
        </row>
        <row r="70">
          <cell r="F70">
            <v>58.5</v>
          </cell>
          <cell r="G70">
            <v>3</v>
          </cell>
        </row>
        <row r="71">
          <cell r="F71">
            <v>55.5</v>
          </cell>
          <cell r="G71">
            <v>3</v>
          </cell>
        </row>
        <row r="72">
          <cell r="F72">
            <v>52.5</v>
          </cell>
          <cell r="G72">
            <v>3</v>
          </cell>
        </row>
        <row r="73">
          <cell r="F73">
            <v>49.5</v>
          </cell>
          <cell r="G73">
            <v>3</v>
          </cell>
        </row>
        <row r="74">
          <cell r="F74">
            <v>46.5</v>
          </cell>
          <cell r="G74">
            <v>3</v>
          </cell>
        </row>
        <row r="75">
          <cell r="F75">
            <v>43.5</v>
          </cell>
          <cell r="G75">
            <v>3</v>
          </cell>
        </row>
        <row r="76">
          <cell r="F76">
            <v>40.5</v>
          </cell>
          <cell r="G76">
            <v>3</v>
          </cell>
        </row>
        <row r="77">
          <cell r="F77">
            <v>37.5</v>
          </cell>
          <cell r="G77">
            <v>3</v>
          </cell>
        </row>
        <row r="78">
          <cell r="F78">
            <v>34.5</v>
          </cell>
          <cell r="G78">
            <v>3</v>
          </cell>
        </row>
        <row r="79">
          <cell r="F79">
            <v>31.5</v>
          </cell>
          <cell r="G79">
            <v>3</v>
          </cell>
        </row>
        <row r="80">
          <cell r="F80">
            <v>28.5</v>
          </cell>
          <cell r="G80">
            <v>3</v>
          </cell>
        </row>
        <row r="81">
          <cell r="F81">
            <v>25.5</v>
          </cell>
          <cell r="G81">
            <v>3</v>
          </cell>
        </row>
        <row r="82">
          <cell r="F82">
            <v>22.5</v>
          </cell>
          <cell r="G82">
            <v>3</v>
          </cell>
        </row>
        <row r="83">
          <cell r="F83">
            <v>19.5</v>
          </cell>
          <cell r="G83">
            <v>3</v>
          </cell>
        </row>
        <row r="84">
          <cell r="F84">
            <v>16.5</v>
          </cell>
          <cell r="G84">
            <v>3</v>
          </cell>
        </row>
        <row r="85">
          <cell r="F85">
            <v>13.5</v>
          </cell>
          <cell r="G85">
            <v>3</v>
          </cell>
        </row>
        <row r="86">
          <cell r="F86">
            <v>10.5</v>
          </cell>
          <cell r="G86">
            <v>3</v>
          </cell>
        </row>
        <row r="87">
          <cell r="F87">
            <v>7.5</v>
          </cell>
          <cell r="G87">
            <v>3</v>
          </cell>
        </row>
        <row r="88">
          <cell r="F88">
            <v>4.5</v>
          </cell>
          <cell r="G88">
            <v>3</v>
          </cell>
        </row>
        <row r="89">
          <cell r="F89">
            <v>1.5</v>
          </cell>
          <cell r="G89">
            <v>3</v>
          </cell>
        </row>
        <row r="90">
          <cell r="F90">
            <v>1.5</v>
          </cell>
          <cell r="G90">
            <v>5</v>
          </cell>
        </row>
        <row r="91">
          <cell r="F91">
            <v>4.5</v>
          </cell>
          <cell r="G91">
            <v>5</v>
          </cell>
        </row>
        <row r="92">
          <cell r="F92">
            <v>7.5</v>
          </cell>
          <cell r="G92">
            <v>5</v>
          </cell>
        </row>
        <row r="93">
          <cell r="F93">
            <v>10.5</v>
          </cell>
          <cell r="G93">
            <v>5</v>
          </cell>
        </row>
        <row r="94">
          <cell r="F94">
            <v>13.5</v>
          </cell>
          <cell r="G94">
            <v>5</v>
          </cell>
        </row>
        <row r="95">
          <cell r="F95">
            <v>16.5</v>
          </cell>
          <cell r="G95">
            <v>5</v>
          </cell>
        </row>
        <row r="96">
          <cell r="F96">
            <v>19.5</v>
          </cell>
          <cell r="G96">
            <v>5</v>
          </cell>
        </row>
        <row r="97">
          <cell r="F97">
            <v>22.5</v>
          </cell>
          <cell r="G97">
            <v>5</v>
          </cell>
        </row>
        <row r="98">
          <cell r="F98">
            <v>25.5</v>
          </cell>
          <cell r="G98">
            <v>5</v>
          </cell>
        </row>
        <row r="99">
          <cell r="F99">
            <v>28.5</v>
          </cell>
          <cell r="G99">
            <v>5</v>
          </cell>
        </row>
        <row r="100">
          <cell r="F100">
            <v>31.5</v>
          </cell>
          <cell r="G100">
            <v>5</v>
          </cell>
        </row>
        <row r="101">
          <cell r="F101">
            <v>34.5</v>
          </cell>
          <cell r="G101">
            <v>5</v>
          </cell>
        </row>
        <row r="102">
          <cell r="F102">
            <v>37.5</v>
          </cell>
          <cell r="G102">
            <v>5</v>
          </cell>
        </row>
        <row r="103">
          <cell r="F103">
            <v>40.5</v>
          </cell>
          <cell r="G103">
            <v>5</v>
          </cell>
        </row>
        <row r="104">
          <cell r="F104">
            <v>43.5</v>
          </cell>
          <cell r="G104">
            <v>5</v>
          </cell>
        </row>
        <row r="105">
          <cell r="F105">
            <v>46.5</v>
          </cell>
          <cell r="G105">
            <v>5</v>
          </cell>
        </row>
        <row r="106">
          <cell r="F106">
            <v>49.5</v>
          </cell>
          <cell r="G106">
            <v>5</v>
          </cell>
        </row>
        <row r="107">
          <cell r="F107">
            <v>52.5</v>
          </cell>
          <cell r="G107">
            <v>5</v>
          </cell>
        </row>
        <row r="108">
          <cell r="F108">
            <v>55.5</v>
          </cell>
          <cell r="G108">
            <v>5</v>
          </cell>
        </row>
        <row r="109">
          <cell r="F109">
            <v>58.5</v>
          </cell>
          <cell r="G109">
            <v>5</v>
          </cell>
        </row>
        <row r="110">
          <cell r="F110">
            <v>61.5</v>
          </cell>
          <cell r="G110">
            <v>5</v>
          </cell>
        </row>
        <row r="111">
          <cell r="F111">
            <v>64.5</v>
          </cell>
          <cell r="G111">
            <v>5</v>
          </cell>
        </row>
        <row r="112">
          <cell r="F112">
            <v>67.5</v>
          </cell>
          <cell r="G112">
            <v>5</v>
          </cell>
        </row>
        <row r="113">
          <cell r="F113">
            <v>70.5</v>
          </cell>
          <cell r="G113">
            <v>5</v>
          </cell>
        </row>
        <row r="114">
          <cell r="F114">
            <v>70.5</v>
          </cell>
          <cell r="G114">
            <v>7</v>
          </cell>
        </row>
        <row r="115">
          <cell r="F115">
            <v>67.5</v>
          </cell>
          <cell r="G115">
            <v>7</v>
          </cell>
        </row>
        <row r="116">
          <cell r="F116">
            <v>64.5</v>
          </cell>
          <cell r="G116">
            <v>7</v>
          </cell>
        </row>
        <row r="117">
          <cell r="F117">
            <v>61.5</v>
          </cell>
          <cell r="G117">
            <v>7</v>
          </cell>
        </row>
        <row r="118">
          <cell r="F118">
            <v>58.5</v>
          </cell>
          <cell r="G118">
            <v>7</v>
          </cell>
        </row>
        <row r="119">
          <cell r="F119">
            <v>55.5</v>
          </cell>
          <cell r="G119">
            <v>7</v>
          </cell>
        </row>
        <row r="120">
          <cell r="F120">
            <v>52.5</v>
          </cell>
          <cell r="G120">
            <v>7</v>
          </cell>
        </row>
        <row r="121">
          <cell r="F121">
            <v>49.5</v>
          </cell>
          <cell r="G121">
            <v>7</v>
          </cell>
        </row>
        <row r="122">
          <cell r="F122">
            <v>46.5</v>
          </cell>
          <cell r="G122">
            <v>7</v>
          </cell>
        </row>
        <row r="123">
          <cell r="F123">
            <v>43.5</v>
          </cell>
          <cell r="G123">
            <v>7</v>
          </cell>
        </row>
        <row r="124">
          <cell r="F124">
            <v>40.5</v>
          </cell>
          <cell r="G124">
            <v>7</v>
          </cell>
        </row>
        <row r="125">
          <cell r="F125">
            <v>37.5</v>
          </cell>
          <cell r="G125">
            <v>7</v>
          </cell>
        </row>
        <row r="126">
          <cell r="F126">
            <v>34.5</v>
          </cell>
          <cell r="G126">
            <v>7</v>
          </cell>
        </row>
        <row r="127">
          <cell r="F127">
            <v>31.5</v>
          </cell>
          <cell r="G127">
            <v>7</v>
          </cell>
        </row>
        <row r="128">
          <cell r="F128">
            <v>28.5</v>
          </cell>
          <cell r="G128">
            <v>7</v>
          </cell>
        </row>
        <row r="129">
          <cell r="F129">
            <v>25.5</v>
          </cell>
          <cell r="G129">
            <v>7</v>
          </cell>
        </row>
        <row r="130">
          <cell r="F130">
            <v>22.5</v>
          </cell>
          <cell r="G130">
            <v>7</v>
          </cell>
        </row>
        <row r="131">
          <cell r="F131">
            <v>19.5</v>
          </cell>
          <cell r="G131">
            <v>7</v>
          </cell>
        </row>
        <row r="132">
          <cell r="F132">
            <v>16.5</v>
          </cell>
          <cell r="G132">
            <v>7</v>
          </cell>
        </row>
        <row r="133">
          <cell r="F133">
            <v>13.5</v>
          </cell>
          <cell r="G133">
            <v>7</v>
          </cell>
        </row>
        <row r="134">
          <cell r="F134">
            <v>10.5</v>
          </cell>
          <cell r="G134">
            <v>7</v>
          </cell>
        </row>
        <row r="135">
          <cell r="F135">
            <v>7.5</v>
          </cell>
          <cell r="G135">
            <v>7</v>
          </cell>
        </row>
        <row r="136">
          <cell r="F136">
            <v>4.5</v>
          </cell>
          <cell r="G136">
            <v>7</v>
          </cell>
        </row>
        <row r="137">
          <cell r="F137">
            <v>1.5</v>
          </cell>
          <cell r="G137">
            <v>7</v>
          </cell>
        </row>
        <row r="138">
          <cell r="F138">
            <v>1.5</v>
          </cell>
          <cell r="G138">
            <v>9</v>
          </cell>
        </row>
        <row r="139">
          <cell r="F139">
            <v>4.5</v>
          </cell>
          <cell r="G139">
            <v>9</v>
          </cell>
        </row>
        <row r="140">
          <cell r="F140">
            <v>7.5</v>
          </cell>
          <cell r="G140">
            <v>9</v>
          </cell>
        </row>
        <row r="141">
          <cell r="F141">
            <v>10.5</v>
          </cell>
          <cell r="G141">
            <v>9</v>
          </cell>
        </row>
        <row r="142">
          <cell r="F142">
            <v>13.5</v>
          </cell>
          <cell r="G142">
            <v>9</v>
          </cell>
        </row>
        <row r="143">
          <cell r="F143">
            <v>16.5</v>
          </cell>
          <cell r="G143">
            <v>9</v>
          </cell>
        </row>
        <row r="144">
          <cell r="F144">
            <v>19.5</v>
          </cell>
          <cell r="G144">
            <v>9</v>
          </cell>
        </row>
        <row r="145">
          <cell r="F145">
            <v>22.5</v>
          </cell>
          <cell r="G145">
            <v>9</v>
          </cell>
        </row>
        <row r="146">
          <cell r="F146">
            <v>25.5</v>
          </cell>
          <cell r="G146">
            <v>9</v>
          </cell>
        </row>
        <row r="147">
          <cell r="F147">
            <v>28.5</v>
          </cell>
          <cell r="G147">
            <v>9</v>
          </cell>
        </row>
        <row r="148">
          <cell r="F148">
            <v>31.5</v>
          </cell>
          <cell r="G148">
            <v>9</v>
          </cell>
        </row>
        <row r="149">
          <cell r="F149">
            <v>34.5</v>
          </cell>
          <cell r="G149">
            <v>9</v>
          </cell>
        </row>
        <row r="150">
          <cell r="F150">
            <v>37.5</v>
          </cell>
          <cell r="G150">
            <v>9</v>
          </cell>
        </row>
        <row r="151">
          <cell r="F151">
            <v>40.5</v>
          </cell>
          <cell r="G151">
            <v>9</v>
          </cell>
        </row>
        <row r="152">
          <cell r="F152">
            <v>43.5</v>
          </cell>
          <cell r="G152">
            <v>9</v>
          </cell>
        </row>
        <row r="153">
          <cell r="F153">
            <v>46.5</v>
          </cell>
          <cell r="G153">
            <v>9</v>
          </cell>
        </row>
        <row r="154">
          <cell r="F154">
            <v>49.5</v>
          </cell>
          <cell r="G154">
            <v>9</v>
          </cell>
        </row>
        <row r="155">
          <cell r="F155">
            <v>52.5</v>
          </cell>
          <cell r="G155">
            <v>9</v>
          </cell>
        </row>
        <row r="156">
          <cell r="F156">
            <v>55.5</v>
          </cell>
          <cell r="G156">
            <v>9</v>
          </cell>
        </row>
        <row r="157">
          <cell r="F157">
            <v>58.5</v>
          </cell>
          <cell r="G157">
            <v>9</v>
          </cell>
        </row>
        <row r="158">
          <cell r="F158">
            <v>61.5</v>
          </cell>
          <cell r="G158">
            <v>9</v>
          </cell>
        </row>
        <row r="159">
          <cell r="F159">
            <v>64.5</v>
          </cell>
          <cell r="G159">
            <v>9</v>
          </cell>
        </row>
        <row r="160">
          <cell r="F160">
            <v>67.5</v>
          </cell>
          <cell r="G160">
            <v>9</v>
          </cell>
        </row>
        <row r="161">
          <cell r="F161">
            <v>70.5</v>
          </cell>
          <cell r="G161">
            <v>9</v>
          </cell>
        </row>
        <row r="162">
          <cell r="F162">
            <v>70.5</v>
          </cell>
          <cell r="G162">
            <v>11</v>
          </cell>
        </row>
        <row r="163">
          <cell r="F163">
            <v>67.5</v>
          </cell>
          <cell r="G163">
            <v>11</v>
          </cell>
        </row>
        <row r="164">
          <cell r="F164">
            <v>64.5</v>
          </cell>
          <cell r="G164">
            <v>11</v>
          </cell>
        </row>
        <row r="165">
          <cell r="F165">
            <v>61.5</v>
          </cell>
          <cell r="G165">
            <v>11</v>
          </cell>
        </row>
        <row r="166">
          <cell r="F166">
            <v>58.5</v>
          </cell>
          <cell r="G166">
            <v>11</v>
          </cell>
        </row>
        <row r="167">
          <cell r="F167">
            <v>55.5</v>
          </cell>
          <cell r="G167">
            <v>11</v>
          </cell>
        </row>
        <row r="168">
          <cell r="F168">
            <v>52.5</v>
          </cell>
          <cell r="G168">
            <v>11</v>
          </cell>
        </row>
        <row r="169">
          <cell r="F169">
            <v>49.5</v>
          </cell>
          <cell r="G169">
            <v>11</v>
          </cell>
        </row>
        <row r="170">
          <cell r="F170">
            <v>46.5</v>
          </cell>
          <cell r="G170">
            <v>11</v>
          </cell>
        </row>
        <row r="171">
          <cell r="F171">
            <v>43.5</v>
          </cell>
          <cell r="G171">
            <v>11</v>
          </cell>
        </row>
        <row r="172">
          <cell r="F172">
            <v>40.5</v>
          </cell>
          <cell r="G172">
            <v>11</v>
          </cell>
        </row>
        <row r="173">
          <cell r="F173">
            <v>37.5</v>
          </cell>
          <cell r="G173">
            <v>11</v>
          </cell>
        </row>
        <row r="174">
          <cell r="F174">
            <v>34.5</v>
          </cell>
          <cell r="G174">
            <v>11</v>
          </cell>
        </row>
        <row r="175">
          <cell r="F175">
            <v>31.5</v>
          </cell>
          <cell r="G175">
            <v>11</v>
          </cell>
        </row>
        <row r="176">
          <cell r="F176">
            <v>28.5</v>
          </cell>
          <cell r="G176">
            <v>11</v>
          </cell>
        </row>
        <row r="177">
          <cell r="F177">
            <v>25.5</v>
          </cell>
          <cell r="G177">
            <v>11</v>
          </cell>
        </row>
        <row r="178">
          <cell r="F178">
            <v>22.5</v>
          </cell>
          <cell r="G178">
            <v>11</v>
          </cell>
        </row>
        <row r="179">
          <cell r="F179">
            <v>19.5</v>
          </cell>
          <cell r="G179">
            <v>11</v>
          </cell>
        </row>
        <row r="180">
          <cell r="F180">
            <v>16.5</v>
          </cell>
          <cell r="G180">
            <v>11</v>
          </cell>
        </row>
        <row r="181">
          <cell r="F181">
            <v>13.5</v>
          </cell>
          <cell r="G181">
            <v>11</v>
          </cell>
        </row>
        <row r="182">
          <cell r="F182">
            <v>10.5</v>
          </cell>
          <cell r="G182">
            <v>11</v>
          </cell>
        </row>
        <row r="183">
          <cell r="F183">
            <v>7.5</v>
          </cell>
          <cell r="G183">
            <v>11</v>
          </cell>
        </row>
        <row r="184">
          <cell r="F184">
            <v>4.5</v>
          </cell>
          <cell r="G184">
            <v>11</v>
          </cell>
        </row>
        <row r="185">
          <cell r="F185">
            <v>1.5</v>
          </cell>
          <cell r="G185">
            <v>11</v>
          </cell>
        </row>
        <row r="186">
          <cell r="F186">
            <v>1.5</v>
          </cell>
          <cell r="G186">
            <v>13</v>
          </cell>
        </row>
        <row r="187">
          <cell r="F187">
            <v>4.5</v>
          </cell>
          <cell r="G187">
            <v>13</v>
          </cell>
        </row>
        <row r="188">
          <cell r="F188">
            <v>7.5</v>
          </cell>
          <cell r="G188">
            <v>13</v>
          </cell>
        </row>
        <row r="189">
          <cell r="F189">
            <v>10.5</v>
          </cell>
          <cell r="G189">
            <v>13</v>
          </cell>
        </row>
        <row r="190">
          <cell r="F190">
            <v>13.5</v>
          </cell>
          <cell r="G190">
            <v>13</v>
          </cell>
        </row>
        <row r="191">
          <cell r="F191">
            <v>16.5</v>
          </cell>
          <cell r="G191">
            <v>13</v>
          </cell>
        </row>
        <row r="192">
          <cell r="F192">
            <v>19.5</v>
          </cell>
          <cell r="G192">
            <v>13</v>
          </cell>
        </row>
        <row r="193">
          <cell r="F193">
            <v>22.5</v>
          </cell>
          <cell r="G193">
            <v>13</v>
          </cell>
        </row>
        <row r="194">
          <cell r="F194">
            <v>25.5</v>
          </cell>
          <cell r="G194">
            <v>13</v>
          </cell>
        </row>
        <row r="195">
          <cell r="F195">
            <v>28.5</v>
          </cell>
          <cell r="G195">
            <v>13</v>
          </cell>
        </row>
        <row r="196">
          <cell r="F196">
            <v>31.5</v>
          </cell>
          <cell r="G196">
            <v>13</v>
          </cell>
        </row>
        <row r="197">
          <cell r="F197">
            <v>34.5</v>
          </cell>
          <cell r="G197">
            <v>13</v>
          </cell>
        </row>
        <row r="198">
          <cell r="F198">
            <v>37.5</v>
          </cell>
          <cell r="G198">
            <v>13</v>
          </cell>
        </row>
        <row r="199">
          <cell r="F199">
            <v>40.5</v>
          </cell>
          <cell r="G199">
            <v>13</v>
          </cell>
        </row>
        <row r="200">
          <cell r="F200">
            <v>43.5</v>
          </cell>
          <cell r="G200">
            <v>13</v>
          </cell>
        </row>
        <row r="201">
          <cell r="F201">
            <v>46.5</v>
          </cell>
          <cell r="G201">
            <v>13</v>
          </cell>
        </row>
        <row r="202">
          <cell r="F202">
            <v>49.5</v>
          </cell>
          <cell r="G202">
            <v>13</v>
          </cell>
        </row>
        <row r="203">
          <cell r="F203">
            <v>52.5</v>
          </cell>
          <cell r="G203">
            <v>13</v>
          </cell>
        </row>
        <row r="204">
          <cell r="F204">
            <v>55.5</v>
          </cell>
          <cell r="G204">
            <v>13</v>
          </cell>
        </row>
        <row r="205">
          <cell r="F205">
            <v>58.5</v>
          </cell>
          <cell r="G205">
            <v>13</v>
          </cell>
        </row>
        <row r="206">
          <cell r="F206">
            <v>61.5</v>
          </cell>
          <cell r="G206">
            <v>13</v>
          </cell>
        </row>
        <row r="207">
          <cell r="F207">
            <v>64.5</v>
          </cell>
          <cell r="G207">
            <v>13</v>
          </cell>
        </row>
        <row r="208">
          <cell r="F208">
            <v>67.5</v>
          </cell>
          <cell r="G208">
            <v>13</v>
          </cell>
        </row>
        <row r="209">
          <cell r="F209">
            <v>70.5</v>
          </cell>
          <cell r="G209">
            <v>13</v>
          </cell>
        </row>
        <row r="210">
          <cell r="F210">
            <v>70.5</v>
          </cell>
          <cell r="G210">
            <v>15</v>
          </cell>
        </row>
        <row r="211">
          <cell r="F211">
            <v>67.5</v>
          </cell>
          <cell r="G211">
            <v>15</v>
          </cell>
        </row>
        <row r="212">
          <cell r="F212">
            <v>64.5</v>
          </cell>
          <cell r="G212">
            <v>15</v>
          </cell>
        </row>
        <row r="213">
          <cell r="F213">
            <v>61.5</v>
          </cell>
          <cell r="G213">
            <v>15</v>
          </cell>
        </row>
        <row r="214">
          <cell r="F214">
            <v>58.5</v>
          </cell>
          <cell r="G214">
            <v>15</v>
          </cell>
        </row>
        <row r="215">
          <cell r="F215">
            <v>55.5</v>
          </cell>
          <cell r="G215">
            <v>15</v>
          </cell>
        </row>
        <row r="216">
          <cell r="F216">
            <v>52.5</v>
          </cell>
          <cell r="G216">
            <v>15</v>
          </cell>
        </row>
        <row r="217">
          <cell r="F217">
            <v>49.5</v>
          </cell>
          <cell r="G217">
            <v>15</v>
          </cell>
        </row>
        <row r="218">
          <cell r="F218">
            <v>46.5</v>
          </cell>
          <cell r="G218">
            <v>15</v>
          </cell>
        </row>
        <row r="219">
          <cell r="F219">
            <v>43.5</v>
          </cell>
          <cell r="G219">
            <v>15</v>
          </cell>
        </row>
        <row r="220">
          <cell r="F220">
            <v>40.5</v>
          </cell>
          <cell r="G220">
            <v>15</v>
          </cell>
        </row>
        <row r="221">
          <cell r="F221">
            <v>37.5</v>
          </cell>
          <cell r="G221">
            <v>15</v>
          </cell>
        </row>
        <row r="222">
          <cell r="F222">
            <v>34.5</v>
          </cell>
          <cell r="G222">
            <v>15</v>
          </cell>
        </row>
        <row r="223">
          <cell r="F223">
            <v>31.5</v>
          </cell>
          <cell r="G223">
            <v>15</v>
          </cell>
        </row>
        <row r="224">
          <cell r="F224">
            <v>28.5</v>
          </cell>
          <cell r="G224">
            <v>15</v>
          </cell>
        </row>
        <row r="225">
          <cell r="F225">
            <v>25.5</v>
          </cell>
          <cell r="G225">
            <v>15</v>
          </cell>
        </row>
        <row r="226">
          <cell r="F226">
            <v>22.5</v>
          </cell>
          <cell r="G226">
            <v>15</v>
          </cell>
        </row>
        <row r="227">
          <cell r="F227">
            <v>19.5</v>
          </cell>
          <cell r="G227">
            <v>15</v>
          </cell>
        </row>
        <row r="228">
          <cell r="F228">
            <v>16.5</v>
          </cell>
          <cell r="G228">
            <v>15</v>
          </cell>
        </row>
        <row r="229">
          <cell r="F229">
            <v>13.5</v>
          </cell>
          <cell r="G229">
            <v>15</v>
          </cell>
        </row>
        <row r="230">
          <cell r="F230">
            <v>10.5</v>
          </cell>
          <cell r="G230">
            <v>15</v>
          </cell>
        </row>
        <row r="231">
          <cell r="F231">
            <v>7.5</v>
          </cell>
          <cell r="G231">
            <v>15</v>
          </cell>
        </row>
        <row r="232">
          <cell r="F232">
            <v>4.5</v>
          </cell>
          <cell r="G232">
            <v>15</v>
          </cell>
        </row>
        <row r="233">
          <cell r="F233">
            <v>1.5</v>
          </cell>
          <cell r="G233">
            <v>15</v>
          </cell>
        </row>
        <row r="234">
          <cell r="F234">
            <v>1.5</v>
          </cell>
          <cell r="G234">
            <v>17</v>
          </cell>
        </row>
        <row r="235">
          <cell r="F235">
            <v>4.5</v>
          </cell>
          <cell r="G235">
            <v>17</v>
          </cell>
        </row>
        <row r="236">
          <cell r="F236">
            <v>7.5</v>
          </cell>
          <cell r="G236">
            <v>17</v>
          </cell>
        </row>
        <row r="237">
          <cell r="F237">
            <v>10.5</v>
          </cell>
          <cell r="G237">
            <v>17</v>
          </cell>
        </row>
        <row r="238">
          <cell r="F238">
            <v>13.5</v>
          </cell>
          <cell r="G238">
            <v>17</v>
          </cell>
        </row>
        <row r="239">
          <cell r="F239">
            <v>16.5</v>
          </cell>
          <cell r="G239">
            <v>17</v>
          </cell>
        </row>
        <row r="240">
          <cell r="F240">
            <v>19.5</v>
          </cell>
          <cell r="G240">
            <v>17</v>
          </cell>
        </row>
        <row r="241">
          <cell r="F241">
            <v>22.5</v>
          </cell>
          <cell r="G241">
            <v>17</v>
          </cell>
        </row>
        <row r="242">
          <cell r="F242">
            <v>25.5</v>
          </cell>
          <cell r="G242">
            <v>17</v>
          </cell>
        </row>
        <row r="243">
          <cell r="F243">
            <v>28.5</v>
          </cell>
          <cell r="G243">
            <v>17</v>
          </cell>
        </row>
        <row r="244">
          <cell r="F244">
            <v>31.5</v>
          </cell>
          <cell r="G244">
            <v>17</v>
          </cell>
        </row>
        <row r="245">
          <cell r="F245">
            <v>34.5</v>
          </cell>
          <cell r="G245">
            <v>17</v>
          </cell>
        </row>
        <row r="246">
          <cell r="F246">
            <v>37.5</v>
          </cell>
          <cell r="G246">
            <v>17</v>
          </cell>
        </row>
        <row r="247">
          <cell r="F247">
            <v>40.5</v>
          </cell>
          <cell r="G247">
            <v>17</v>
          </cell>
        </row>
        <row r="248">
          <cell r="F248">
            <v>43.5</v>
          </cell>
          <cell r="G248">
            <v>17</v>
          </cell>
        </row>
        <row r="249">
          <cell r="F249">
            <v>46.5</v>
          </cell>
          <cell r="G249">
            <v>17</v>
          </cell>
        </row>
        <row r="250">
          <cell r="F250">
            <v>49.5</v>
          </cell>
          <cell r="G250">
            <v>17</v>
          </cell>
        </row>
        <row r="251">
          <cell r="F251">
            <v>52.5</v>
          </cell>
          <cell r="G251">
            <v>17</v>
          </cell>
        </row>
        <row r="252">
          <cell r="F252">
            <v>55.5</v>
          </cell>
          <cell r="G252">
            <v>17</v>
          </cell>
        </row>
        <row r="253">
          <cell r="F253">
            <v>58.5</v>
          </cell>
          <cell r="G253">
            <v>17</v>
          </cell>
        </row>
        <row r="254">
          <cell r="F254">
            <v>61.5</v>
          </cell>
          <cell r="G254">
            <v>17</v>
          </cell>
        </row>
        <row r="255">
          <cell r="F255">
            <v>64.5</v>
          </cell>
          <cell r="G255">
            <v>17</v>
          </cell>
        </row>
        <row r="256">
          <cell r="F256">
            <v>67.5</v>
          </cell>
          <cell r="G256">
            <v>17</v>
          </cell>
        </row>
        <row r="257">
          <cell r="F257">
            <v>70.5</v>
          </cell>
          <cell r="G257">
            <v>17</v>
          </cell>
        </row>
        <row r="258">
          <cell r="F258">
            <v>70.5</v>
          </cell>
          <cell r="G258">
            <v>19</v>
          </cell>
        </row>
        <row r="259">
          <cell r="F259">
            <v>67.5</v>
          </cell>
          <cell r="G259">
            <v>19</v>
          </cell>
        </row>
        <row r="260">
          <cell r="F260">
            <v>64.5</v>
          </cell>
          <cell r="G260">
            <v>19</v>
          </cell>
        </row>
        <row r="261">
          <cell r="F261">
            <v>61.5</v>
          </cell>
          <cell r="G261">
            <v>19</v>
          </cell>
        </row>
        <row r="262">
          <cell r="F262">
            <v>58.5</v>
          </cell>
          <cell r="G262">
            <v>19</v>
          </cell>
        </row>
        <row r="263">
          <cell r="F263">
            <v>55.5</v>
          </cell>
          <cell r="G263">
            <v>19</v>
          </cell>
        </row>
        <row r="264">
          <cell r="F264">
            <v>52.5</v>
          </cell>
          <cell r="G264">
            <v>19</v>
          </cell>
        </row>
        <row r="265">
          <cell r="F265">
            <v>49.5</v>
          </cell>
          <cell r="G265">
            <v>19</v>
          </cell>
        </row>
        <row r="266">
          <cell r="F266">
            <v>46.5</v>
          </cell>
          <cell r="G266">
            <v>19</v>
          </cell>
        </row>
        <row r="267">
          <cell r="F267">
            <v>43.5</v>
          </cell>
          <cell r="G267">
            <v>19</v>
          </cell>
        </row>
        <row r="268">
          <cell r="F268">
            <v>40.5</v>
          </cell>
          <cell r="G268">
            <v>19</v>
          </cell>
        </row>
        <row r="269">
          <cell r="F269">
            <v>37.5</v>
          </cell>
          <cell r="G269">
            <v>19</v>
          </cell>
        </row>
        <row r="270">
          <cell r="F270">
            <v>34.5</v>
          </cell>
          <cell r="G270">
            <v>19</v>
          </cell>
        </row>
        <row r="271">
          <cell r="F271">
            <v>31.5</v>
          </cell>
          <cell r="G271">
            <v>19</v>
          </cell>
        </row>
        <row r="272">
          <cell r="F272">
            <v>28.5</v>
          </cell>
          <cell r="G272">
            <v>19</v>
          </cell>
        </row>
        <row r="273">
          <cell r="F273">
            <v>25.5</v>
          </cell>
          <cell r="G273">
            <v>19</v>
          </cell>
        </row>
        <row r="274">
          <cell r="F274">
            <v>22.5</v>
          </cell>
          <cell r="G274">
            <v>19</v>
          </cell>
        </row>
        <row r="275">
          <cell r="F275">
            <v>19.5</v>
          </cell>
          <cell r="G275">
            <v>19</v>
          </cell>
        </row>
        <row r="276">
          <cell r="F276">
            <v>16.5</v>
          </cell>
          <cell r="G276">
            <v>19</v>
          </cell>
        </row>
        <row r="277">
          <cell r="F277">
            <v>13.5</v>
          </cell>
          <cell r="G277">
            <v>19</v>
          </cell>
        </row>
        <row r="278">
          <cell r="F278">
            <v>10.5</v>
          </cell>
          <cell r="G278">
            <v>19</v>
          </cell>
        </row>
        <row r="279">
          <cell r="F279">
            <v>7.5</v>
          </cell>
          <cell r="G279">
            <v>19</v>
          </cell>
        </row>
        <row r="280">
          <cell r="F280">
            <v>4.5</v>
          </cell>
          <cell r="G280">
            <v>19</v>
          </cell>
        </row>
        <row r="281">
          <cell r="F281">
            <v>1.5</v>
          </cell>
          <cell r="G281">
            <v>19</v>
          </cell>
        </row>
        <row r="282">
          <cell r="F282">
            <v>1.5</v>
          </cell>
          <cell r="G282">
            <v>21</v>
          </cell>
        </row>
        <row r="283">
          <cell r="F283">
            <v>4.5</v>
          </cell>
          <cell r="G283">
            <v>21</v>
          </cell>
        </row>
        <row r="284">
          <cell r="F284">
            <v>7.5</v>
          </cell>
          <cell r="G284">
            <v>21</v>
          </cell>
        </row>
        <row r="285">
          <cell r="F285">
            <v>10.5</v>
          </cell>
          <cell r="G285">
            <v>21</v>
          </cell>
        </row>
        <row r="286">
          <cell r="F286">
            <v>13.5</v>
          </cell>
          <cell r="G286">
            <v>21</v>
          </cell>
        </row>
        <row r="287">
          <cell r="F287">
            <v>16.5</v>
          </cell>
          <cell r="G287">
            <v>21</v>
          </cell>
        </row>
        <row r="288">
          <cell r="F288">
            <v>19.5</v>
          </cell>
          <cell r="G288">
            <v>21</v>
          </cell>
        </row>
        <row r="289">
          <cell r="F289">
            <v>22.5</v>
          </cell>
          <cell r="G289">
            <v>21</v>
          </cell>
        </row>
        <row r="290">
          <cell r="F290">
            <v>25.5</v>
          </cell>
          <cell r="G290">
            <v>21</v>
          </cell>
        </row>
        <row r="291">
          <cell r="F291">
            <v>28.5</v>
          </cell>
          <cell r="G291">
            <v>21</v>
          </cell>
        </row>
        <row r="292">
          <cell r="F292">
            <v>31.5</v>
          </cell>
          <cell r="G292">
            <v>21</v>
          </cell>
        </row>
        <row r="293">
          <cell r="F293">
            <v>34.5</v>
          </cell>
          <cell r="G293">
            <v>21</v>
          </cell>
        </row>
        <row r="294">
          <cell r="F294">
            <v>37.5</v>
          </cell>
          <cell r="G294">
            <v>21</v>
          </cell>
        </row>
        <row r="295">
          <cell r="F295">
            <v>40.5</v>
          </cell>
          <cell r="G295">
            <v>21</v>
          </cell>
        </row>
        <row r="296">
          <cell r="F296">
            <v>43.5</v>
          </cell>
          <cell r="G296">
            <v>21</v>
          </cell>
        </row>
        <row r="297">
          <cell r="F297">
            <v>46.5</v>
          </cell>
          <cell r="G297">
            <v>21</v>
          </cell>
        </row>
        <row r="298">
          <cell r="F298">
            <v>49.5</v>
          </cell>
          <cell r="G298">
            <v>21</v>
          </cell>
        </row>
        <row r="299">
          <cell r="F299">
            <v>52.5</v>
          </cell>
          <cell r="G299">
            <v>21</v>
          </cell>
        </row>
        <row r="300">
          <cell r="F300">
            <v>55.5</v>
          </cell>
          <cell r="G300">
            <v>21</v>
          </cell>
        </row>
        <row r="301">
          <cell r="F301">
            <v>58.5</v>
          </cell>
          <cell r="G301">
            <v>21</v>
          </cell>
        </row>
        <row r="302">
          <cell r="F302">
            <v>61.5</v>
          </cell>
          <cell r="G302">
            <v>21</v>
          </cell>
        </row>
        <row r="303">
          <cell r="F303">
            <v>64.5</v>
          </cell>
          <cell r="G303">
            <v>21</v>
          </cell>
        </row>
        <row r="304">
          <cell r="F304">
            <v>67.5</v>
          </cell>
          <cell r="G304">
            <v>21</v>
          </cell>
        </row>
        <row r="305">
          <cell r="F305">
            <v>70.5</v>
          </cell>
          <cell r="G305">
            <v>21</v>
          </cell>
        </row>
      </sheetData>
      <sheetData sheetId="13"/>
      <sheetData sheetId="14"/>
      <sheetData sheetId="15"/>
      <sheetData sheetId="1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mb" refreshedDate="44244.359029861109" createdVersion="6" refreshedVersion="6" minRefreshableVersion="3" recordCount="18">
  <cacheSource type="worksheet">
    <worksheetSource ref="Q43:Y61" sheet="Ex_2_class"/>
  </cacheSource>
  <cacheFields count="9">
    <cacheField name="trial nr" numFmtId="0">
      <sharedItems containsSemiMixedTypes="0" containsString="0" containsNumber="1" containsInteger="1" minValue="1" maxValue="18"/>
    </cacheField>
    <cacheField name="rand_x" numFmtId="0">
      <sharedItems containsSemiMixedTypes="0" containsString="0" containsNumber="1" containsInteger="1" minValue="3" maxValue="84"/>
    </cacheField>
    <cacheField name="rand_y" numFmtId="0">
      <sharedItems containsSemiMixedTypes="0" containsString="0" containsNumber="1" containsInteger="1" minValue="1" maxValue="83"/>
    </cacheField>
    <cacheField name="rand_z" numFmtId="0">
      <sharedItems containsSemiMixedTypes="0" containsString="0" containsNumber="1" containsInteger="1" minValue="1" maxValue="96"/>
    </cacheField>
    <cacheField name="x" numFmtId="0">
      <sharedItems containsSemiMixedTypes="0" containsString="0" containsNumber="1" containsInteger="1" minValue="0" maxValue="4"/>
    </cacheField>
    <cacheField name="y" numFmtId="0">
      <sharedItems containsSemiMixedTypes="0" containsString="0" containsNumber="1" containsInteger="1" minValue="2" maxValue="5"/>
    </cacheField>
    <cacheField name="z" numFmtId="0">
      <sharedItems containsSemiMixedTypes="0" containsString="0" containsNumber="1" containsInteger="1" minValue="4" maxValue="6"/>
    </cacheField>
    <cacheField name="W" numFmtId="0">
      <sharedItems containsSemiMixedTypes="0" containsString="0" containsNumber="1" containsInteger="1" minValue="10" maxValue="33"/>
    </cacheField>
    <cacheField name="class_w" numFmtId="0">
      <sharedItems count="4">
        <s v="20"/>
        <s v="30"/>
        <s v="40"/>
        <s v="1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
  <r>
    <n v="1"/>
    <n v="43"/>
    <n v="22"/>
    <n v="1"/>
    <n v="2"/>
    <n v="2"/>
    <n v="4"/>
    <n v="18"/>
    <x v="0"/>
  </r>
  <r>
    <n v="2"/>
    <n v="74"/>
    <n v="9"/>
    <n v="8"/>
    <n v="3"/>
    <n v="2"/>
    <n v="4"/>
    <n v="23"/>
    <x v="1"/>
  </r>
  <r>
    <n v="3"/>
    <n v="84"/>
    <n v="10"/>
    <n v="82"/>
    <n v="4"/>
    <n v="2"/>
    <n v="6"/>
    <n v="30"/>
    <x v="1"/>
  </r>
  <r>
    <n v="4"/>
    <n v="42"/>
    <n v="38"/>
    <n v="65"/>
    <n v="2"/>
    <n v="3"/>
    <n v="5"/>
    <n v="21"/>
    <x v="1"/>
  </r>
  <r>
    <n v="5"/>
    <n v="83"/>
    <n v="16"/>
    <n v="34"/>
    <n v="4"/>
    <n v="2"/>
    <n v="5"/>
    <n v="29"/>
    <x v="1"/>
  </r>
  <r>
    <n v="6"/>
    <n v="25"/>
    <n v="1"/>
    <n v="27"/>
    <n v="1"/>
    <n v="2"/>
    <n v="4"/>
    <n v="13"/>
    <x v="0"/>
  </r>
  <r>
    <n v="7"/>
    <n v="21"/>
    <n v="67"/>
    <n v="62"/>
    <n v="1"/>
    <n v="4"/>
    <n v="5"/>
    <n v="18"/>
    <x v="0"/>
  </r>
  <r>
    <n v="8"/>
    <n v="25"/>
    <n v="38"/>
    <n v="58"/>
    <n v="1"/>
    <n v="3"/>
    <n v="5"/>
    <n v="16"/>
    <x v="0"/>
  </r>
  <r>
    <n v="9"/>
    <n v="83"/>
    <n v="65"/>
    <n v="42"/>
    <n v="4"/>
    <n v="4"/>
    <n v="5"/>
    <n v="33"/>
    <x v="2"/>
  </r>
  <r>
    <n v="10"/>
    <n v="76"/>
    <n v="25"/>
    <n v="32"/>
    <n v="3"/>
    <n v="3"/>
    <n v="5"/>
    <n v="26"/>
    <x v="1"/>
  </r>
  <r>
    <n v="11"/>
    <n v="74"/>
    <n v="27"/>
    <n v="63"/>
    <n v="3"/>
    <n v="3"/>
    <n v="5"/>
    <n v="26"/>
    <x v="1"/>
  </r>
  <r>
    <n v="12"/>
    <n v="68"/>
    <n v="73"/>
    <n v="55"/>
    <n v="3"/>
    <n v="4"/>
    <n v="5"/>
    <n v="28"/>
    <x v="1"/>
  </r>
  <r>
    <n v="13"/>
    <n v="3"/>
    <n v="7"/>
    <n v="96"/>
    <n v="0"/>
    <n v="2"/>
    <n v="6"/>
    <n v="10"/>
    <x v="3"/>
  </r>
  <r>
    <n v="14"/>
    <n v="60"/>
    <n v="53"/>
    <n v="29"/>
    <n v="3"/>
    <n v="3"/>
    <n v="4"/>
    <n v="25"/>
    <x v="1"/>
  </r>
  <r>
    <n v="15"/>
    <n v="35"/>
    <n v="34"/>
    <n v="31"/>
    <n v="2"/>
    <n v="3"/>
    <n v="5"/>
    <n v="21"/>
    <x v="1"/>
  </r>
  <r>
    <n v="16"/>
    <n v="56"/>
    <n v="25"/>
    <n v="17"/>
    <n v="3"/>
    <n v="3"/>
    <n v="4"/>
    <n v="25"/>
    <x v="1"/>
  </r>
  <r>
    <n v="17"/>
    <n v="71"/>
    <n v="83"/>
    <n v="83"/>
    <n v="3"/>
    <n v="5"/>
    <n v="6"/>
    <n v="31"/>
    <x v="2"/>
  </r>
  <r>
    <n v="18"/>
    <n v="15"/>
    <n v="72"/>
    <n v="49"/>
    <n v="1"/>
    <n v="4"/>
    <n v="5"/>
    <n v="1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D52:AI54" firstHeaderRow="1" firstDataRow="2" firstDataCol="1"/>
  <pivotFields count="9">
    <pivotField dataField="1" showAll="0"/>
    <pivotField showAll="0"/>
    <pivotField showAll="0"/>
    <pivotField showAll="0"/>
    <pivotField showAll="0"/>
    <pivotField showAll="0"/>
    <pivotField showAll="0"/>
    <pivotField showAll="0"/>
    <pivotField axis="axisCol" showAll="0">
      <items count="5">
        <item x="3"/>
        <item x="0"/>
        <item x="1"/>
        <item x="2"/>
        <item t="default"/>
      </items>
    </pivotField>
  </pivotFields>
  <rowItems count="1">
    <i/>
  </rowItems>
  <colFields count="1">
    <field x="8"/>
  </colFields>
  <colItems count="5">
    <i>
      <x/>
    </i>
    <i>
      <x v="1"/>
    </i>
    <i>
      <x v="2"/>
    </i>
    <i>
      <x v="3"/>
    </i>
    <i t="grand">
      <x/>
    </i>
  </colItems>
  <dataFields count="1">
    <dataField name="Count of trial nr" fld="0" subtotal="count"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D43:AE48" firstHeaderRow="1" firstDataRow="1" firstDataCol="1"/>
  <pivotFields count="9">
    <pivotField dataField="1" showAll="0"/>
    <pivotField showAll="0"/>
    <pivotField showAll="0"/>
    <pivotField showAll="0"/>
    <pivotField showAll="0"/>
    <pivotField showAll="0"/>
    <pivotField showAll="0"/>
    <pivotField showAll="0"/>
    <pivotField axis="axisRow" showAll="0">
      <items count="5">
        <item x="3"/>
        <item x="0"/>
        <item x="1"/>
        <item x="2"/>
        <item t="default"/>
      </items>
    </pivotField>
  </pivotFields>
  <rowFields count="1">
    <field x="8"/>
  </rowFields>
  <rowItems count="5">
    <i>
      <x/>
    </i>
    <i>
      <x v="1"/>
    </i>
    <i>
      <x v="2"/>
    </i>
    <i>
      <x v="3"/>
    </i>
    <i t="grand">
      <x/>
    </i>
  </rowItems>
  <colItems count="1">
    <i/>
  </colItems>
  <dataFields count="1">
    <dataField name="Count of trial nr" fld="0" subtotal="count"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2.bin"/><Relationship Id="rId7" Type="http://schemas.openxmlformats.org/officeDocument/2006/relationships/oleObject" Target="../embeddings/oleObject4.bin"/><Relationship Id="rId2" Type="http://schemas.openxmlformats.org/officeDocument/2006/relationships/vmlDrawing" Target="../drawings/vmlDrawing2.vml"/><Relationship Id="rId1" Type="http://schemas.openxmlformats.org/officeDocument/2006/relationships/drawing" Target="../drawings/drawing6.xml"/><Relationship Id="rId6" Type="http://schemas.openxmlformats.org/officeDocument/2006/relationships/image" Target="../media/image5.emf"/><Relationship Id="rId5" Type="http://schemas.openxmlformats.org/officeDocument/2006/relationships/oleObject" Target="../embeddings/oleObject3.bin"/><Relationship Id="rId4"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5"/>
  <sheetViews>
    <sheetView topLeftCell="A13" zoomScale="131" zoomScaleNormal="131" workbookViewId="0">
      <selection activeCell="O15" sqref="O15"/>
    </sheetView>
  </sheetViews>
  <sheetFormatPr defaultRowHeight="14.4" x14ac:dyDescent="0.3"/>
  <cols>
    <col min="3" max="3" width="11.109375" customWidth="1"/>
    <col min="4" max="4" width="11.5546875" customWidth="1"/>
    <col min="10" max="10" width="9.33203125" customWidth="1"/>
    <col min="11" max="11" width="10.44140625" customWidth="1"/>
  </cols>
  <sheetData>
    <row r="2" spans="1:22" ht="15" customHeight="1" x14ac:dyDescent="0.3">
      <c r="A2" t="s">
        <v>63</v>
      </c>
      <c r="B2" s="255" t="s">
        <v>64</v>
      </c>
      <c r="C2" s="255"/>
      <c r="D2" s="255"/>
      <c r="E2" s="255"/>
      <c r="F2" s="255"/>
      <c r="G2" s="255"/>
      <c r="H2" s="255"/>
      <c r="I2" s="255"/>
      <c r="J2" s="255"/>
      <c r="K2" s="255"/>
      <c r="L2" s="255"/>
    </row>
    <row r="3" spans="1:22" x14ac:dyDescent="0.3">
      <c r="B3" s="255"/>
      <c r="C3" s="255"/>
      <c r="D3" s="255"/>
      <c r="E3" s="255"/>
      <c r="F3" s="255"/>
      <c r="G3" s="255"/>
      <c r="H3" s="255"/>
      <c r="I3" s="255"/>
      <c r="J3" s="255"/>
      <c r="K3" s="255"/>
      <c r="L3" s="255"/>
    </row>
    <row r="4" spans="1:22" x14ac:dyDescent="0.3">
      <c r="B4" s="255"/>
      <c r="C4" s="255"/>
      <c r="D4" s="255"/>
      <c r="E4" s="255"/>
      <c r="F4" s="255"/>
      <c r="G4" s="255"/>
      <c r="H4" s="255"/>
      <c r="I4" s="255"/>
      <c r="J4" s="255"/>
      <c r="K4" s="255"/>
      <c r="L4" s="255"/>
    </row>
    <row r="5" spans="1:22" x14ac:dyDescent="0.3">
      <c r="B5" s="255" t="s">
        <v>59</v>
      </c>
      <c r="C5" s="255"/>
      <c r="D5" s="255"/>
      <c r="E5" s="255"/>
      <c r="F5" s="255"/>
      <c r="G5" s="255"/>
      <c r="H5" s="255"/>
      <c r="I5" s="255"/>
      <c r="J5" s="255"/>
      <c r="K5" s="255"/>
      <c r="L5" s="255"/>
    </row>
    <row r="6" spans="1:22" x14ac:dyDescent="0.3">
      <c r="B6" s="255"/>
      <c r="C6" s="255"/>
      <c r="D6" s="255"/>
      <c r="E6" s="255"/>
      <c r="F6" s="255"/>
      <c r="G6" s="255"/>
      <c r="H6" s="255"/>
      <c r="I6" s="255"/>
      <c r="J6" s="255"/>
      <c r="K6" s="255"/>
      <c r="L6" s="255"/>
    </row>
    <row r="7" spans="1:22" x14ac:dyDescent="0.3">
      <c r="B7" s="6">
        <v>14</v>
      </c>
      <c r="C7" s="6">
        <v>74</v>
      </c>
      <c r="D7" s="6">
        <v>24</v>
      </c>
      <c r="E7" s="6">
        <v>87</v>
      </c>
      <c r="F7" s="6">
        <v>7</v>
      </c>
      <c r="G7" s="6">
        <v>45</v>
      </c>
      <c r="H7" s="6">
        <v>26</v>
      </c>
      <c r="I7" s="6">
        <v>66</v>
      </c>
      <c r="J7" s="6">
        <v>26</v>
      </c>
      <c r="K7" s="6">
        <v>94</v>
      </c>
      <c r="L7" s="78"/>
    </row>
    <row r="9" spans="1:22" x14ac:dyDescent="0.3">
      <c r="B9" s="109" t="s">
        <v>61</v>
      </c>
    </row>
    <row r="10" spans="1:22" x14ac:dyDescent="0.3">
      <c r="B10" s="109" t="s">
        <v>62</v>
      </c>
    </row>
    <row r="12" spans="1:22" x14ac:dyDescent="0.3">
      <c r="B12" t="s">
        <v>55</v>
      </c>
      <c r="Q12" t="s">
        <v>69</v>
      </c>
    </row>
    <row r="13" spans="1:22" ht="36" x14ac:dyDescent="0.3">
      <c r="C13" s="2"/>
      <c r="D13" s="3" t="s">
        <v>5</v>
      </c>
      <c r="E13" s="4" t="s">
        <v>6</v>
      </c>
      <c r="J13" s="102" t="s">
        <v>60</v>
      </c>
    </row>
    <row r="14" spans="1:22" ht="36" x14ac:dyDescent="0.3">
      <c r="A14" s="3" t="s">
        <v>56</v>
      </c>
      <c r="B14" s="21" t="s">
        <v>57</v>
      </c>
      <c r="C14" s="3" t="s">
        <v>65</v>
      </c>
      <c r="D14" s="20">
        <v>0</v>
      </c>
      <c r="E14" s="6">
        <v>0</v>
      </c>
      <c r="F14" s="4" t="s">
        <v>7</v>
      </c>
      <c r="G14" s="4" t="s">
        <v>8</v>
      </c>
      <c r="H14" s="5" t="s">
        <v>0</v>
      </c>
      <c r="J14" s="8" t="s">
        <v>20</v>
      </c>
      <c r="K14" s="9" t="s">
        <v>54</v>
      </c>
      <c r="L14" s="9" t="s">
        <v>9</v>
      </c>
      <c r="M14" s="10" t="s">
        <v>66</v>
      </c>
      <c r="O14" s="10" t="s">
        <v>67</v>
      </c>
      <c r="Q14" s="10" t="s">
        <v>68</v>
      </c>
      <c r="R14" s="11"/>
      <c r="S14" s="11"/>
      <c r="T14" s="11"/>
      <c r="U14" s="110"/>
      <c r="V14" s="11"/>
    </row>
    <row r="15" spans="1:22" x14ac:dyDescent="0.3">
      <c r="A15" s="18">
        <v>0</v>
      </c>
      <c r="B15" s="18">
        <v>10</v>
      </c>
      <c r="C15" s="18">
        <f>B15/$B$21</f>
        <v>0.05</v>
      </c>
      <c r="D15" s="7">
        <f>SUM($C$15:C15)</f>
        <v>0.05</v>
      </c>
      <c r="E15" s="111">
        <f>D15*100</f>
        <v>5</v>
      </c>
      <c r="F15" s="6">
        <v>0</v>
      </c>
      <c r="G15" s="6">
        <f>E15-1</f>
        <v>4</v>
      </c>
      <c r="H15" s="6" t="str">
        <f>F15&amp;" - "&amp;G15</f>
        <v>0 - 4</v>
      </c>
      <c r="J15" s="6">
        <v>1</v>
      </c>
      <c r="K15" s="114">
        <f ca="1">RANDBETWEEN(0,100)</f>
        <v>13</v>
      </c>
      <c r="L15" s="113">
        <v>14</v>
      </c>
      <c r="M15" s="6">
        <f>LOOKUP(L15,$F$15:$F$20,$A$15:$A$20)</f>
        <v>1</v>
      </c>
      <c r="N15" s="19">
        <v>23</v>
      </c>
      <c r="O15" s="19">
        <f>LOOKUP(N15,$F$15:$F$20,$A$15:$A$20)</f>
        <v>2</v>
      </c>
      <c r="P15" s="19">
        <v>86</v>
      </c>
      <c r="Q15" s="116">
        <f>LOOKUP(P15,$F$15:$F$20,$A$15:$A$20)</f>
        <v>5</v>
      </c>
      <c r="R15" s="11"/>
      <c r="S15" s="13"/>
      <c r="T15" s="11"/>
      <c r="U15" s="110"/>
      <c r="V15" s="11"/>
    </row>
    <row r="16" spans="1:22" x14ac:dyDescent="0.3">
      <c r="A16" s="38">
        <f>A15+1</f>
        <v>1</v>
      </c>
      <c r="B16" s="18">
        <v>20</v>
      </c>
      <c r="C16" s="18">
        <f t="shared" ref="C16:C19" si="0">B16/$B$21</f>
        <v>0.1</v>
      </c>
      <c r="D16" s="7">
        <f>SUM($C$15:C16)</f>
        <v>0.15000000000000002</v>
      </c>
      <c r="E16" s="66">
        <f t="shared" ref="E16:E20" si="1">D16*100</f>
        <v>15.000000000000002</v>
      </c>
      <c r="F16" s="112">
        <f>E15</f>
        <v>5</v>
      </c>
      <c r="G16" s="6">
        <f t="shared" ref="G16:G19" si="2">E16-1</f>
        <v>14.000000000000002</v>
      </c>
      <c r="H16" s="113" t="str">
        <f t="shared" ref="H16:H20" si="3">F16&amp;" - "&amp;G16</f>
        <v>5 - 14</v>
      </c>
      <c r="J16" s="6">
        <v>2</v>
      </c>
      <c r="K16" s="114">
        <f t="shared" ref="K16:K24" ca="1" si="4">RANDBETWEEN(0,100)</f>
        <v>72</v>
      </c>
      <c r="L16" s="6">
        <v>74</v>
      </c>
      <c r="M16" s="6">
        <f t="shared" ref="M16:M24" si="5">LOOKUP(L16,$F$15:$F$20,$A$15:$A$20)</f>
        <v>4</v>
      </c>
      <c r="N16" s="19">
        <v>84</v>
      </c>
      <c r="O16" s="19">
        <f t="shared" ref="O16:O24" si="6">LOOKUP(N16,$F$15:$F$20,$A$15:$A$20)</f>
        <v>4</v>
      </c>
      <c r="P16" s="19">
        <v>76</v>
      </c>
      <c r="Q16" s="116">
        <f t="shared" ref="Q16:Q24" si="7">LOOKUP(P16,$F$15:$F$20,$A$15:$A$20)</f>
        <v>4</v>
      </c>
      <c r="R16" s="11"/>
      <c r="S16" s="13"/>
      <c r="T16" s="11"/>
      <c r="U16" s="11"/>
      <c r="V16" s="11"/>
    </row>
    <row r="17" spans="1:22" x14ac:dyDescent="0.3">
      <c r="A17" s="18">
        <f>A16+1</f>
        <v>2</v>
      </c>
      <c r="B17" s="18">
        <v>40</v>
      </c>
      <c r="C17" s="18">
        <f t="shared" si="0"/>
        <v>0.2</v>
      </c>
      <c r="D17" s="7">
        <f>SUM($C$15:C17)</f>
        <v>0.35000000000000003</v>
      </c>
      <c r="E17" s="7">
        <f t="shared" si="1"/>
        <v>35</v>
      </c>
      <c r="F17" s="68">
        <f t="shared" ref="F17:F20" si="8">E16</f>
        <v>15.000000000000002</v>
      </c>
      <c r="G17" s="6">
        <f t="shared" si="2"/>
        <v>34</v>
      </c>
      <c r="H17" s="6" t="str">
        <f t="shared" si="3"/>
        <v>15 - 34</v>
      </c>
      <c r="J17" s="6">
        <v>3</v>
      </c>
      <c r="K17" s="114">
        <f t="shared" ca="1" si="4"/>
        <v>90</v>
      </c>
      <c r="L17" s="6">
        <v>24</v>
      </c>
      <c r="M17" s="6">
        <f t="shared" si="5"/>
        <v>2</v>
      </c>
      <c r="N17" s="19">
        <v>19</v>
      </c>
      <c r="O17" s="19">
        <f t="shared" si="6"/>
        <v>2</v>
      </c>
      <c r="P17" s="19">
        <v>44</v>
      </c>
      <c r="Q17" s="116">
        <f t="shared" si="7"/>
        <v>3</v>
      </c>
      <c r="R17" s="11"/>
      <c r="S17" s="13"/>
      <c r="T17" s="11"/>
      <c r="U17" s="11"/>
      <c r="V17" s="11"/>
    </row>
    <row r="18" spans="1:22" x14ac:dyDescent="0.3">
      <c r="A18" s="18">
        <f t="shared" ref="A18:A19" si="9">A17+1</f>
        <v>3</v>
      </c>
      <c r="B18" s="18">
        <v>60</v>
      </c>
      <c r="C18" s="18">
        <f t="shared" si="0"/>
        <v>0.3</v>
      </c>
      <c r="D18" s="7">
        <f>SUM($C$15:C18)</f>
        <v>0.65</v>
      </c>
      <c r="E18" s="7">
        <f t="shared" si="1"/>
        <v>65</v>
      </c>
      <c r="F18" s="6">
        <f t="shared" si="8"/>
        <v>35</v>
      </c>
      <c r="G18" s="6">
        <f t="shared" si="2"/>
        <v>64</v>
      </c>
      <c r="H18" s="6" t="str">
        <f t="shared" si="3"/>
        <v>35 - 64</v>
      </c>
      <c r="J18" s="6">
        <v>4</v>
      </c>
      <c r="K18" s="114">
        <f t="shared" ca="1" si="4"/>
        <v>63</v>
      </c>
      <c r="L18" s="57">
        <v>87</v>
      </c>
      <c r="M18" s="57">
        <f t="shared" si="5"/>
        <v>5</v>
      </c>
      <c r="N18" s="19">
        <v>62</v>
      </c>
      <c r="O18" s="19">
        <f t="shared" si="6"/>
        <v>3</v>
      </c>
      <c r="P18" s="19">
        <v>26</v>
      </c>
      <c r="Q18" s="116">
        <f t="shared" si="7"/>
        <v>2</v>
      </c>
      <c r="R18" s="11"/>
      <c r="S18" s="13"/>
      <c r="T18" s="11"/>
      <c r="U18" s="11"/>
      <c r="V18" s="11"/>
    </row>
    <row r="19" spans="1:22" x14ac:dyDescent="0.3">
      <c r="A19" s="18">
        <f t="shared" si="9"/>
        <v>4</v>
      </c>
      <c r="B19" s="18">
        <v>40</v>
      </c>
      <c r="C19" s="18">
        <f t="shared" si="0"/>
        <v>0.2</v>
      </c>
      <c r="D19" s="7">
        <f>SUM($C$15:C19)</f>
        <v>0.85000000000000009</v>
      </c>
      <c r="E19" s="7">
        <f t="shared" si="1"/>
        <v>85.000000000000014</v>
      </c>
      <c r="F19" s="6">
        <f t="shared" si="8"/>
        <v>65</v>
      </c>
      <c r="G19" s="6">
        <f t="shared" si="2"/>
        <v>84.000000000000014</v>
      </c>
      <c r="H19" s="6" t="str">
        <f t="shared" si="3"/>
        <v>65 - 84</v>
      </c>
      <c r="J19" s="6">
        <v>5</v>
      </c>
      <c r="K19" s="114">
        <f t="shared" ca="1" si="4"/>
        <v>19</v>
      </c>
      <c r="L19" s="6">
        <v>7</v>
      </c>
      <c r="M19" s="6">
        <f t="shared" si="5"/>
        <v>1</v>
      </c>
      <c r="N19" s="19">
        <v>17</v>
      </c>
      <c r="O19" s="19">
        <f t="shared" si="6"/>
        <v>2</v>
      </c>
      <c r="P19" s="19">
        <v>14</v>
      </c>
      <c r="Q19" s="116">
        <f t="shared" si="7"/>
        <v>1</v>
      </c>
      <c r="R19" s="11"/>
      <c r="S19" s="13"/>
      <c r="T19" s="11"/>
      <c r="U19" s="11"/>
      <c r="V19" s="11"/>
    </row>
    <row r="20" spans="1:22" x14ac:dyDescent="0.3">
      <c r="A20" s="43">
        <f>A19+1</f>
        <v>5</v>
      </c>
      <c r="B20" s="18">
        <v>30</v>
      </c>
      <c r="C20" s="18">
        <f>B20/$B$21</f>
        <v>0.15</v>
      </c>
      <c r="D20" s="7">
        <f>SUM($C$15:C20)</f>
        <v>1</v>
      </c>
      <c r="E20" s="7">
        <f t="shared" si="1"/>
        <v>100</v>
      </c>
      <c r="F20" s="6">
        <f t="shared" si="8"/>
        <v>85.000000000000014</v>
      </c>
      <c r="G20" s="6">
        <f>E20-1</f>
        <v>99</v>
      </c>
      <c r="H20" s="57" t="str">
        <f t="shared" si="3"/>
        <v>85 - 99</v>
      </c>
      <c r="J20" s="6">
        <v>6</v>
      </c>
      <c r="K20" s="114">
        <f t="shared" ca="1" si="4"/>
        <v>53</v>
      </c>
      <c r="L20" s="6">
        <v>45</v>
      </c>
      <c r="M20" s="6">
        <f t="shared" si="5"/>
        <v>3</v>
      </c>
      <c r="N20" s="19">
        <v>1</v>
      </c>
      <c r="O20" s="19">
        <f t="shared" si="6"/>
        <v>0</v>
      </c>
      <c r="P20" s="19">
        <v>76</v>
      </c>
      <c r="Q20" s="116">
        <f t="shared" si="7"/>
        <v>4</v>
      </c>
      <c r="R20" s="11"/>
      <c r="S20" s="13"/>
      <c r="T20" s="11"/>
      <c r="U20" s="11"/>
      <c r="V20" s="11"/>
    </row>
    <row r="21" spans="1:22" x14ac:dyDescent="0.3">
      <c r="B21" s="19">
        <f>SUM(B15:B20)</f>
        <v>200</v>
      </c>
      <c r="J21" s="6">
        <v>7</v>
      </c>
      <c r="K21" s="114">
        <f t="shared" ca="1" si="4"/>
        <v>17</v>
      </c>
      <c r="L21" s="6">
        <v>26</v>
      </c>
      <c r="M21" s="6">
        <f t="shared" si="5"/>
        <v>2</v>
      </c>
      <c r="N21" s="19">
        <v>100</v>
      </c>
      <c r="O21" s="19">
        <f t="shared" si="6"/>
        <v>5</v>
      </c>
      <c r="P21" s="19">
        <v>39</v>
      </c>
      <c r="Q21" s="116">
        <f t="shared" si="7"/>
        <v>3</v>
      </c>
      <c r="R21" s="11"/>
      <c r="S21" s="11"/>
      <c r="T21" s="11"/>
      <c r="U21" s="11"/>
      <c r="V21" s="11"/>
    </row>
    <row r="22" spans="1:22" x14ac:dyDescent="0.3">
      <c r="J22" s="6">
        <v>8</v>
      </c>
      <c r="K22" s="114">
        <f t="shared" ca="1" si="4"/>
        <v>49</v>
      </c>
      <c r="L22" s="6">
        <v>66</v>
      </c>
      <c r="M22" s="6">
        <f t="shared" si="5"/>
        <v>4</v>
      </c>
      <c r="N22" s="19">
        <v>99</v>
      </c>
      <c r="O22" s="19">
        <f t="shared" si="6"/>
        <v>5</v>
      </c>
      <c r="P22" s="19">
        <v>55</v>
      </c>
      <c r="Q22" s="116">
        <f t="shared" si="7"/>
        <v>3</v>
      </c>
    </row>
    <row r="23" spans="1:22" x14ac:dyDescent="0.3">
      <c r="J23" s="6">
        <v>9</v>
      </c>
      <c r="K23" s="114">
        <f t="shared" ca="1" si="4"/>
        <v>88</v>
      </c>
      <c r="L23" s="6">
        <v>26</v>
      </c>
      <c r="M23" s="6">
        <f t="shared" si="5"/>
        <v>2</v>
      </c>
      <c r="N23" s="19">
        <v>96</v>
      </c>
      <c r="O23" s="19">
        <f t="shared" si="6"/>
        <v>5</v>
      </c>
      <c r="P23" s="19">
        <v>79</v>
      </c>
      <c r="Q23" s="116">
        <f t="shared" si="7"/>
        <v>4</v>
      </c>
    </row>
    <row r="24" spans="1:22" x14ac:dyDescent="0.3">
      <c r="J24" s="6">
        <v>10</v>
      </c>
      <c r="K24" s="114">
        <f t="shared" ca="1" si="4"/>
        <v>69</v>
      </c>
      <c r="L24" s="6">
        <v>94</v>
      </c>
      <c r="M24" s="6">
        <f t="shared" si="5"/>
        <v>5</v>
      </c>
      <c r="N24" s="19">
        <v>69</v>
      </c>
      <c r="O24" s="19">
        <f t="shared" si="6"/>
        <v>4</v>
      </c>
      <c r="P24" s="19">
        <v>64</v>
      </c>
      <c r="Q24" s="116">
        <f t="shared" si="7"/>
        <v>3</v>
      </c>
    </row>
    <row r="25" spans="1:22" x14ac:dyDescent="0.3">
      <c r="M25" s="115">
        <f>AVERAGE(M15:M24)</f>
        <v>2.9</v>
      </c>
      <c r="N25" s="115"/>
      <c r="O25" s="115">
        <f t="shared" ref="O25" si="10">AVERAGE(O15:O24)</f>
        <v>3.2</v>
      </c>
      <c r="P25" s="115"/>
      <c r="Q25" s="115">
        <f t="shared" ref="Q25" si="11">AVERAGE(Q15:Q24)</f>
        <v>3.2</v>
      </c>
    </row>
  </sheetData>
  <mergeCells count="2">
    <mergeCell ref="B2:L4"/>
    <mergeCell ref="B5:L6"/>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94"/>
  <sheetViews>
    <sheetView topLeftCell="R34" zoomScale="107" zoomScaleNormal="107" workbookViewId="0">
      <selection activeCell="AB45" sqref="AB45"/>
    </sheetView>
  </sheetViews>
  <sheetFormatPr defaultRowHeight="14.4" x14ac:dyDescent="0.3"/>
  <cols>
    <col min="1" max="1" width="4" customWidth="1"/>
    <col min="3" max="3" width="10.33203125" customWidth="1"/>
    <col min="4" max="4" width="11.109375" customWidth="1"/>
    <col min="7" max="7" width="10" customWidth="1"/>
    <col min="8" max="8" width="10.5546875" customWidth="1"/>
    <col min="11" max="11" width="9.88671875" customWidth="1"/>
    <col min="12" max="12" width="10.33203125" customWidth="1"/>
    <col min="16" max="16" width="8.44140625" customWidth="1"/>
    <col min="21" max="22" width="13.33203125" bestFit="1" customWidth="1"/>
    <col min="25" max="25" width="12" bestFit="1" customWidth="1"/>
    <col min="26" max="26" width="4.109375" customWidth="1"/>
    <col min="30" max="30" width="14.77734375" customWidth="1"/>
    <col min="31" max="31" width="16" customWidth="1"/>
    <col min="32" max="34" width="3.33203125" customWidth="1"/>
    <col min="35" max="35" width="11.109375" bestFit="1" customWidth="1"/>
    <col min="37" max="37" width="10.5546875" customWidth="1"/>
  </cols>
  <sheetData>
    <row r="2" spans="2:23" x14ac:dyDescent="0.3">
      <c r="B2" t="s">
        <v>32</v>
      </c>
    </row>
    <row r="3" spans="2:23" x14ac:dyDescent="0.3">
      <c r="B3" s="11" t="s">
        <v>50</v>
      </c>
      <c r="T3" s="4" t="s">
        <v>6</v>
      </c>
    </row>
    <row r="4" spans="2:23" ht="36" x14ac:dyDescent="0.3">
      <c r="Q4" s="46" t="s">
        <v>1</v>
      </c>
      <c r="R4" s="47" t="s">
        <v>10</v>
      </c>
      <c r="S4" s="47" t="s">
        <v>11</v>
      </c>
      <c r="T4" s="51">
        <v>0</v>
      </c>
      <c r="U4" s="46" t="s">
        <v>7</v>
      </c>
      <c r="V4" s="46" t="s">
        <v>8</v>
      </c>
      <c r="W4" s="47" t="s">
        <v>0</v>
      </c>
    </row>
    <row r="5" spans="2:23" x14ac:dyDescent="0.3">
      <c r="B5" s="257" t="s">
        <v>58</v>
      </c>
      <c r="C5" s="257"/>
      <c r="D5" s="257"/>
      <c r="E5" s="257"/>
      <c r="F5" s="257"/>
      <c r="G5" s="257"/>
      <c r="H5" s="257"/>
      <c r="I5" s="257"/>
      <c r="J5" s="257"/>
      <c r="K5" s="257"/>
      <c r="L5" s="257"/>
      <c r="M5" s="257"/>
      <c r="N5" s="257"/>
      <c r="O5" s="257"/>
      <c r="Q5" s="41">
        <v>0</v>
      </c>
      <c r="R5" s="41">
        <v>0.1</v>
      </c>
      <c r="S5" s="67">
        <f>SUM($R$5:R5)</f>
        <v>0.1</v>
      </c>
      <c r="T5" s="66">
        <f>S5*100</f>
        <v>10</v>
      </c>
      <c r="U5" s="68">
        <v>0</v>
      </c>
      <c r="V5" s="68">
        <f>T5-1</f>
        <v>9</v>
      </c>
      <c r="W5" s="68" t="str">
        <f>U5&amp;" - "&amp;V5</f>
        <v>0 - 9</v>
      </c>
    </row>
    <row r="6" spans="2:23" x14ac:dyDescent="0.3">
      <c r="B6" s="257"/>
      <c r="C6" s="257"/>
      <c r="D6" s="257"/>
      <c r="E6" s="257"/>
      <c r="F6" s="257"/>
      <c r="G6" s="257"/>
      <c r="H6" s="257"/>
      <c r="I6" s="257"/>
      <c r="J6" s="257"/>
      <c r="K6" s="257"/>
      <c r="L6" s="257"/>
      <c r="M6" s="257"/>
      <c r="N6" s="257"/>
      <c r="O6" s="257"/>
      <c r="Q6" s="41">
        <v>1</v>
      </c>
      <c r="R6" s="41">
        <v>0.2</v>
      </c>
      <c r="S6" s="67">
        <f>SUM($R$5:R6)</f>
        <v>0.30000000000000004</v>
      </c>
      <c r="T6" s="66">
        <f t="shared" ref="T6:T10" si="0">S6*100</f>
        <v>30.000000000000004</v>
      </c>
      <c r="U6" s="68">
        <f>T5</f>
        <v>10</v>
      </c>
      <c r="V6" s="68">
        <f t="shared" ref="V6:V10" si="1">T6-1</f>
        <v>29.000000000000004</v>
      </c>
      <c r="W6" s="68" t="str">
        <f t="shared" ref="W6:W10" si="2">U6&amp;" - "&amp;V6</f>
        <v>10 - 29</v>
      </c>
    </row>
    <row r="7" spans="2:23" x14ac:dyDescent="0.3">
      <c r="Q7" s="41">
        <v>2</v>
      </c>
      <c r="R7" s="41">
        <v>0.25</v>
      </c>
      <c r="S7" s="67">
        <f>SUM($R$5:R7)</f>
        <v>0.55000000000000004</v>
      </c>
      <c r="T7" s="66">
        <f t="shared" si="0"/>
        <v>55.000000000000007</v>
      </c>
      <c r="U7" s="68">
        <f t="shared" ref="U7:U10" si="3">T6</f>
        <v>30.000000000000004</v>
      </c>
      <c r="V7" s="68">
        <f t="shared" si="1"/>
        <v>54.000000000000007</v>
      </c>
      <c r="W7" s="68" t="str">
        <f t="shared" si="2"/>
        <v>30 - 54</v>
      </c>
    </row>
    <row r="8" spans="2:23" x14ac:dyDescent="0.3">
      <c r="Q8" s="41">
        <v>3</v>
      </c>
      <c r="R8" s="41">
        <v>0.25</v>
      </c>
      <c r="S8" s="67">
        <f>SUM($R$5:R8)</f>
        <v>0.8</v>
      </c>
      <c r="T8" s="66">
        <f t="shared" si="0"/>
        <v>80</v>
      </c>
      <c r="U8" s="68">
        <f t="shared" si="3"/>
        <v>55.000000000000007</v>
      </c>
      <c r="V8" s="68">
        <f t="shared" si="1"/>
        <v>79</v>
      </c>
      <c r="W8" s="68" t="str">
        <f t="shared" si="2"/>
        <v>55 - 79</v>
      </c>
    </row>
    <row r="9" spans="2:23" x14ac:dyDescent="0.3">
      <c r="Q9" s="41">
        <v>4</v>
      </c>
      <c r="R9" s="41">
        <v>0.15</v>
      </c>
      <c r="S9" s="67">
        <f>SUM($R$5:R9)</f>
        <v>0.95000000000000007</v>
      </c>
      <c r="T9" s="66">
        <f t="shared" si="0"/>
        <v>95</v>
      </c>
      <c r="U9" s="68">
        <f t="shared" si="3"/>
        <v>80</v>
      </c>
      <c r="V9" s="68">
        <f t="shared" si="1"/>
        <v>94</v>
      </c>
      <c r="W9" s="68" t="str">
        <f t="shared" si="2"/>
        <v>80 - 94</v>
      </c>
    </row>
    <row r="10" spans="2:23" x14ac:dyDescent="0.3">
      <c r="Q10" s="41">
        <v>5</v>
      </c>
      <c r="R10" s="41">
        <v>0.05</v>
      </c>
      <c r="S10" s="67">
        <f>SUM($R$5:R10)</f>
        <v>1</v>
      </c>
      <c r="T10" s="66">
        <f t="shared" si="0"/>
        <v>100</v>
      </c>
      <c r="U10" s="68">
        <f t="shared" si="3"/>
        <v>95</v>
      </c>
      <c r="V10" s="68">
        <f t="shared" si="1"/>
        <v>99</v>
      </c>
      <c r="W10" s="68" t="str">
        <f t="shared" si="2"/>
        <v>95 - 99</v>
      </c>
    </row>
    <row r="11" spans="2:23" x14ac:dyDescent="0.3">
      <c r="D11" s="11"/>
    </row>
    <row r="12" spans="2:23" x14ac:dyDescent="0.3">
      <c r="D12" s="11"/>
      <c r="T12" s="4" t="s">
        <v>6</v>
      </c>
    </row>
    <row r="13" spans="2:23" ht="36" x14ac:dyDescent="0.3">
      <c r="C13" s="46" t="s">
        <v>1</v>
      </c>
      <c r="D13" s="47" t="s">
        <v>10</v>
      </c>
      <c r="G13" s="48" t="s">
        <v>2</v>
      </c>
      <c r="H13" s="49" t="s">
        <v>12</v>
      </c>
      <c r="K13" s="52" t="s">
        <v>3</v>
      </c>
      <c r="L13" s="53" t="s">
        <v>14</v>
      </c>
      <c r="Q13" s="48" t="s">
        <v>2</v>
      </c>
      <c r="R13" s="49" t="s">
        <v>12</v>
      </c>
      <c r="S13" s="49" t="s">
        <v>13</v>
      </c>
      <c r="T13" s="50">
        <v>0</v>
      </c>
      <c r="U13" s="48" t="s">
        <v>7</v>
      </c>
      <c r="V13" s="48" t="s">
        <v>8</v>
      </c>
      <c r="W13" s="49" t="s">
        <v>0</v>
      </c>
    </row>
    <row r="14" spans="2:23" x14ac:dyDescent="0.3">
      <c r="C14" s="75">
        <v>0</v>
      </c>
      <c r="D14" s="75">
        <v>0.1</v>
      </c>
      <c r="G14" s="76">
        <v>2</v>
      </c>
      <c r="H14" s="76">
        <v>0.25</v>
      </c>
      <c r="K14" s="43">
        <v>4</v>
      </c>
      <c r="L14" s="43">
        <v>0.3</v>
      </c>
      <c r="Q14" s="28">
        <v>2</v>
      </c>
      <c r="R14" s="28">
        <v>0.25</v>
      </c>
      <c r="S14" s="63">
        <f>SUM($R$14:R14)</f>
        <v>0.25</v>
      </c>
      <c r="T14" s="64">
        <f>S14*100</f>
        <v>25</v>
      </c>
      <c r="U14" s="65">
        <v>0</v>
      </c>
      <c r="V14" s="65">
        <f>T14-1</f>
        <v>24</v>
      </c>
      <c r="W14" s="65" t="str">
        <f>U14&amp;" - "&amp;V14</f>
        <v>0 - 24</v>
      </c>
    </row>
    <row r="15" spans="2:23" x14ac:dyDescent="0.3">
      <c r="C15" s="75">
        <v>1</v>
      </c>
      <c r="D15" s="75">
        <v>0.2</v>
      </c>
      <c r="G15" s="76">
        <v>3</v>
      </c>
      <c r="H15" s="76">
        <v>0.3</v>
      </c>
      <c r="K15" s="43">
        <v>5</v>
      </c>
      <c r="L15" s="43">
        <v>0.5</v>
      </c>
      <c r="Q15" s="28">
        <v>3</v>
      </c>
      <c r="R15" s="28">
        <v>0.3</v>
      </c>
      <c r="S15" s="63">
        <f>SUM($R$14:R15)</f>
        <v>0.55000000000000004</v>
      </c>
      <c r="T15" s="64">
        <f t="shared" ref="T15:T17" si="4">S15*100</f>
        <v>55.000000000000007</v>
      </c>
      <c r="U15" s="65">
        <f>T14</f>
        <v>25</v>
      </c>
      <c r="V15" s="65">
        <f t="shared" ref="V15:V17" si="5">T15-1</f>
        <v>54.000000000000007</v>
      </c>
      <c r="W15" s="65" t="str">
        <f t="shared" ref="W15:W17" si="6">U15&amp;" - "&amp;V15</f>
        <v>25 - 54</v>
      </c>
    </row>
    <row r="16" spans="2:23" x14ac:dyDescent="0.3">
      <c r="B16" s="11"/>
      <c r="C16" s="75">
        <v>2</v>
      </c>
      <c r="D16" s="75">
        <v>0.25</v>
      </c>
      <c r="G16" s="76">
        <v>4</v>
      </c>
      <c r="H16" s="76">
        <v>0.25</v>
      </c>
      <c r="K16" s="43">
        <v>6</v>
      </c>
      <c r="L16" s="43">
        <v>0.2</v>
      </c>
      <c r="Q16" s="28">
        <v>4</v>
      </c>
      <c r="R16" s="28">
        <v>0.25</v>
      </c>
      <c r="S16" s="63">
        <f>SUM($R$14:R16)</f>
        <v>0.8</v>
      </c>
      <c r="T16" s="64">
        <f t="shared" si="4"/>
        <v>80</v>
      </c>
      <c r="U16" s="65">
        <f t="shared" ref="U16:U17" si="7">T15</f>
        <v>55.000000000000007</v>
      </c>
      <c r="V16" s="65">
        <f t="shared" si="5"/>
        <v>79</v>
      </c>
      <c r="W16" s="65" t="str">
        <f t="shared" si="6"/>
        <v>55 - 79</v>
      </c>
    </row>
    <row r="17" spans="2:30" x14ac:dyDescent="0.3">
      <c r="B17" s="11"/>
      <c r="C17" s="75">
        <v>3</v>
      </c>
      <c r="D17" s="75">
        <v>0.25</v>
      </c>
      <c r="G17" s="76">
        <v>5</v>
      </c>
      <c r="H17" s="76">
        <v>0.2</v>
      </c>
      <c r="L17" s="11"/>
      <c r="Q17" s="28">
        <v>5</v>
      </c>
      <c r="R17" s="28">
        <v>0.2</v>
      </c>
      <c r="S17" s="63">
        <f>SUM($R$14:R17)</f>
        <v>1</v>
      </c>
      <c r="T17" s="64">
        <f t="shared" si="4"/>
        <v>100</v>
      </c>
      <c r="U17" s="65">
        <f t="shared" si="7"/>
        <v>80</v>
      </c>
      <c r="V17" s="65">
        <f t="shared" si="5"/>
        <v>99</v>
      </c>
      <c r="W17" s="65" t="str">
        <f t="shared" si="6"/>
        <v>80 - 99</v>
      </c>
    </row>
    <row r="18" spans="2:30" x14ac:dyDescent="0.3">
      <c r="B18" s="11"/>
      <c r="C18" s="75">
        <v>4</v>
      </c>
      <c r="D18" s="75">
        <v>0.15</v>
      </c>
      <c r="L18" s="11"/>
    </row>
    <row r="19" spans="2:30" x14ac:dyDescent="0.3">
      <c r="C19" s="75">
        <v>5</v>
      </c>
      <c r="D19" s="75">
        <v>0.05</v>
      </c>
      <c r="H19" s="11"/>
      <c r="I19" s="11"/>
      <c r="S19" s="12"/>
      <c r="T19" s="4" t="s">
        <v>6</v>
      </c>
    </row>
    <row r="20" spans="2:30" ht="36" x14ac:dyDescent="0.3">
      <c r="Q20" s="52" t="s">
        <v>3</v>
      </c>
      <c r="R20" s="53" t="s">
        <v>14</v>
      </c>
      <c r="S20" s="53" t="s">
        <v>15</v>
      </c>
      <c r="T20" s="54">
        <v>0</v>
      </c>
      <c r="U20" s="52" t="s">
        <v>7</v>
      </c>
      <c r="V20" s="52" t="s">
        <v>8</v>
      </c>
      <c r="W20" s="53" t="s">
        <v>0</v>
      </c>
    </row>
    <row r="21" spans="2:30" x14ac:dyDescent="0.3">
      <c r="Q21" s="40">
        <v>4</v>
      </c>
      <c r="R21" s="40">
        <v>0.3</v>
      </c>
      <c r="S21" s="55">
        <f>SUM($R$21:R21)</f>
        <v>0.3</v>
      </c>
      <c r="T21" s="56">
        <f>S21*100</f>
        <v>30</v>
      </c>
      <c r="U21" s="57">
        <v>0</v>
      </c>
      <c r="V21" s="57">
        <f>T21-1</f>
        <v>29</v>
      </c>
      <c r="W21" s="57" t="str">
        <f>U5&amp;" - "&amp;V5</f>
        <v>0 - 9</v>
      </c>
    </row>
    <row r="22" spans="2:30" x14ac:dyDescent="0.3">
      <c r="Q22" s="40">
        <v>5</v>
      </c>
      <c r="R22" s="40">
        <v>0.5</v>
      </c>
      <c r="S22" s="55">
        <f>SUM($R$21:R22)</f>
        <v>0.8</v>
      </c>
      <c r="T22" s="56">
        <f t="shared" ref="T22:T23" si="8">S22*100</f>
        <v>80</v>
      </c>
      <c r="U22" s="57">
        <f>T21</f>
        <v>30</v>
      </c>
      <c r="V22" s="57">
        <f t="shared" ref="V22:V23" si="9">T22-1</f>
        <v>79</v>
      </c>
      <c r="W22" s="57" t="str">
        <f t="shared" ref="W22:W23" si="10">U6&amp;" - "&amp;V6</f>
        <v>10 - 29</v>
      </c>
    </row>
    <row r="23" spans="2:30" x14ac:dyDescent="0.3">
      <c r="Q23" s="40">
        <v>6</v>
      </c>
      <c r="R23" s="40">
        <v>0.2</v>
      </c>
      <c r="S23" s="55">
        <f>SUM($R$21:R23)</f>
        <v>1</v>
      </c>
      <c r="T23" s="56">
        <f t="shared" si="8"/>
        <v>100</v>
      </c>
      <c r="U23" s="57">
        <f>T22</f>
        <v>80</v>
      </c>
      <c r="V23" s="57">
        <f t="shared" si="9"/>
        <v>99</v>
      </c>
      <c r="W23" s="57" t="str">
        <f t="shared" si="10"/>
        <v>30 - 54</v>
      </c>
    </row>
    <row r="28" spans="2:30" x14ac:dyDescent="0.3">
      <c r="B28" s="11"/>
      <c r="C28" s="11"/>
      <c r="D28" s="13"/>
      <c r="E28" s="15"/>
      <c r="F28" s="14"/>
      <c r="G28" s="14"/>
      <c r="H28" s="14"/>
      <c r="O28">
        <v>2</v>
      </c>
      <c r="AD28">
        <v>3</v>
      </c>
    </row>
    <row r="31" spans="2:30" x14ac:dyDescent="0.3">
      <c r="Q31" t="s">
        <v>34</v>
      </c>
    </row>
    <row r="33" spans="4:31" ht="14.25" customHeight="1" x14ac:dyDescent="0.3">
      <c r="Q33" t="s">
        <v>39</v>
      </c>
    </row>
    <row r="34" spans="4:31" x14ac:dyDescent="0.3">
      <c r="Q34" t="s">
        <v>43</v>
      </c>
    </row>
    <row r="35" spans="4:31" x14ac:dyDescent="0.3">
      <c r="D35" s="12"/>
      <c r="Q35" t="s">
        <v>45</v>
      </c>
      <c r="AE35" s="71"/>
    </row>
    <row r="36" spans="4:31" x14ac:dyDescent="0.3">
      <c r="Q36" t="s">
        <v>49</v>
      </c>
      <c r="AD36" s="16"/>
      <c r="AE36" s="17"/>
    </row>
    <row r="37" spans="4:31" x14ac:dyDescent="0.3">
      <c r="Q37" t="s">
        <v>51</v>
      </c>
      <c r="AD37" s="16"/>
      <c r="AE37" s="17"/>
    </row>
    <row r="38" spans="4:31" x14ac:dyDescent="0.3">
      <c r="R38" s="72"/>
      <c r="S38" s="74" t="s">
        <v>40</v>
      </c>
      <c r="T38" s="72"/>
      <c r="AE38" s="17"/>
    </row>
    <row r="39" spans="4:31" x14ac:dyDescent="0.3">
      <c r="U39" s="72"/>
      <c r="V39" s="74" t="s">
        <v>44</v>
      </c>
      <c r="W39" s="72"/>
      <c r="Y39" t="s">
        <v>106</v>
      </c>
      <c r="AD39" s="16"/>
      <c r="AE39" s="17"/>
    </row>
    <row r="40" spans="4:31" x14ac:dyDescent="0.3">
      <c r="X40" s="74" t="s">
        <v>47</v>
      </c>
      <c r="Y40" s="19"/>
    </row>
    <row r="41" spans="4:31" x14ac:dyDescent="0.3">
      <c r="X41" s="19"/>
      <c r="Y41" s="74" t="s">
        <v>48</v>
      </c>
      <c r="AA41" s="101" t="s">
        <v>53</v>
      </c>
    </row>
    <row r="43" spans="4:31" x14ac:dyDescent="0.3">
      <c r="Q43" s="61" t="s">
        <v>4</v>
      </c>
      <c r="R43" s="58" t="s">
        <v>16</v>
      </c>
      <c r="S43" s="59" t="s">
        <v>17</v>
      </c>
      <c r="T43" s="60" t="s">
        <v>18</v>
      </c>
      <c r="U43" s="58" t="s">
        <v>1</v>
      </c>
      <c r="V43" s="59" t="s">
        <v>2</v>
      </c>
      <c r="W43" s="60" t="s">
        <v>3</v>
      </c>
      <c r="X43" s="61" t="s">
        <v>46</v>
      </c>
      <c r="Y43" s="62" t="s">
        <v>33</v>
      </c>
      <c r="AB43" s="108"/>
      <c r="AC43" s="71"/>
      <c r="AD43" s="121" t="s">
        <v>92</v>
      </c>
      <c r="AE43" t="s">
        <v>98</v>
      </c>
    </row>
    <row r="44" spans="4:31" x14ac:dyDescent="0.3">
      <c r="Q44" s="69">
        <v>1</v>
      </c>
      <c r="R44" s="66">
        <v>43</v>
      </c>
      <c r="S44" s="64">
        <v>22</v>
      </c>
      <c r="T44" s="56">
        <v>1</v>
      </c>
      <c r="U44" s="66">
        <f>LOOKUP(R44,$U$5:$U$10,$Q$5:$Q$10)</f>
        <v>2</v>
      </c>
      <c r="V44" s="64">
        <f>LOOKUP(S44,$U$14:$U$17,$Q$14:$Q$17)</f>
        <v>2</v>
      </c>
      <c r="W44" s="56">
        <f>LOOKUP(T44,$U$21:$U$23,$Q$21:$Q$23)</f>
        <v>4</v>
      </c>
      <c r="X44" s="7">
        <f>5*U44+2*V44+W44</f>
        <v>18</v>
      </c>
      <c r="Y44" s="18">
        <f>VALUE(IF(X44&lt;=10,"10",IF(X44&lt;=20,"20",IF(X44&lt;=30,"30","40"))))</f>
        <v>20</v>
      </c>
      <c r="AA44" s="100">
        <v>10</v>
      </c>
      <c r="AB44" s="16"/>
      <c r="AC44" s="17"/>
      <c r="AD44" s="1" t="s">
        <v>93</v>
      </c>
      <c r="AE44" s="25">
        <v>1</v>
      </c>
    </row>
    <row r="45" spans="4:31" x14ac:dyDescent="0.3">
      <c r="Q45" s="69">
        <f t="shared" ref="Q45:Q61" si="11">Q44+1</f>
        <v>2</v>
      </c>
      <c r="R45" s="66">
        <v>74</v>
      </c>
      <c r="S45" s="64">
        <v>9</v>
      </c>
      <c r="T45" s="56">
        <v>8</v>
      </c>
      <c r="U45" s="66">
        <f t="shared" ref="U45:U61" si="12">LOOKUP(R45,$U$5:$U$10,$Q$5:$Q$10)</f>
        <v>3</v>
      </c>
      <c r="V45" s="64">
        <f t="shared" ref="V45:V61" si="13">LOOKUP(S45,$U$14:$U$17,$Q$14:$Q$17)</f>
        <v>2</v>
      </c>
      <c r="W45" s="56">
        <f t="shared" ref="W45:W61" si="14">LOOKUP(T45,$U$21:$U$23,$Q$21:$Q$23)</f>
        <v>4</v>
      </c>
      <c r="X45" s="7">
        <f t="shared" ref="X45:X61" si="15">5*U45+2*V45+W45</f>
        <v>23</v>
      </c>
      <c r="Y45" s="18">
        <f t="shared" ref="Y45:Y61" si="16">VALUE(IF(X45&lt;=10,"10",IF(X45&lt;=20,"20",IF(X45&lt;=30,"30","40"))))</f>
        <v>30</v>
      </c>
      <c r="AA45" s="100">
        <v>20</v>
      </c>
      <c r="AB45" s="16"/>
      <c r="AC45" s="17"/>
      <c r="AD45" s="1" t="s">
        <v>94</v>
      </c>
      <c r="AE45" s="25">
        <v>5</v>
      </c>
    </row>
    <row r="46" spans="4:31" x14ac:dyDescent="0.3">
      <c r="Q46" s="69">
        <f t="shared" si="11"/>
        <v>3</v>
      </c>
      <c r="R46" s="66">
        <v>84</v>
      </c>
      <c r="S46" s="64">
        <v>10</v>
      </c>
      <c r="T46" s="56">
        <v>82</v>
      </c>
      <c r="U46" s="66">
        <f t="shared" si="12"/>
        <v>4</v>
      </c>
      <c r="V46" s="64">
        <f t="shared" si="13"/>
        <v>2</v>
      </c>
      <c r="W46" s="56">
        <f t="shared" si="14"/>
        <v>6</v>
      </c>
      <c r="X46" s="7">
        <f t="shared" si="15"/>
        <v>30</v>
      </c>
      <c r="Y46" s="18">
        <f t="shared" si="16"/>
        <v>30</v>
      </c>
      <c r="AA46" s="100">
        <v>30</v>
      </c>
      <c r="AB46" s="16"/>
      <c r="AC46" s="17"/>
      <c r="AD46" s="1" t="s">
        <v>95</v>
      </c>
      <c r="AE46" s="25">
        <v>10</v>
      </c>
    </row>
    <row r="47" spans="4:31" x14ac:dyDescent="0.3">
      <c r="Q47" s="69">
        <f t="shared" si="11"/>
        <v>4</v>
      </c>
      <c r="R47" s="66">
        <v>42</v>
      </c>
      <c r="S47" s="64">
        <v>38</v>
      </c>
      <c r="T47" s="56">
        <v>65</v>
      </c>
      <c r="U47" s="66">
        <f t="shared" si="12"/>
        <v>2</v>
      </c>
      <c r="V47" s="64">
        <f t="shared" si="13"/>
        <v>3</v>
      </c>
      <c r="W47" s="56">
        <f t="shared" si="14"/>
        <v>5</v>
      </c>
      <c r="X47" s="7">
        <f t="shared" si="15"/>
        <v>21</v>
      </c>
      <c r="Y47" s="18">
        <f t="shared" si="16"/>
        <v>30</v>
      </c>
      <c r="AA47" s="100">
        <v>40</v>
      </c>
      <c r="AB47" s="16"/>
      <c r="AC47" s="17"/>
      <c r="AD47" s="1" t="s">
        <v>96</v>
      </c>
      <c r="AE47" s="25">
        <v>2</v>
      </c>
    </row>
    <row r="48" spans="4:31" x14ac:dyDescent="0.3">
      <c r="Q48" s="69">
        <f t="shared" si="11"/>
        <v>5</v>
      </c>
      <c r="R48" s="66">
        <v>83</v>
      </c>
      <c r="S48" s="64">
        <v>16</v>
      </c>
      <c r="T48" s="56">
        <v>34</v>
      </c>
      <c r="U48" s="66">
        <f t="shared" si="12"/>
        <v>4</v>
      </c>
      <c r="V48" s="64">
        <f t="shared" si="13"/>
        <v>2</v>
      </c>
      <c r="W48" s="56">
        <f t="shared" si="14"/>
        <v>5</v>
      </c>
      <c r="X48" s="7">
        <f t="shared" si="15"/>
        <v>29</v>
      </c>
      <c r="Y48" s="18">
        <f t="shared" si="16"/>
        <v>30</v>
      </c>
      <c r="AA48" s="20"/>
      <c r="AB48" s="106"/>
      <c r="AC48" s="107"/>
      <c r="AD48" s="1" t="s">
        <v>97</v>
      </c>
      <c r="AE48" s="25">
        <v>18</v>
      </c>
    </row>
    <row r="49" spans="11:37" x14ac:dyDescent="0.3">
      <c r="Q49" s="69">
        <f t="shared" si="11"/>
        <v>6</v>
      </c>
      <c r="R49" s="66">
        <v>25</v>
      </c>
      <c r="S49" s="64">
        <v>1</v>
      </c>
      <c r="T49" s="56">
        <v>27</v>
      </c>
      <c r="U49" s="66">
        <f t="shared" si="12"/>
        <v>1</v>
      </c>
      <c r="V49" s="64">
        <f t="shared" si="13"/>
        <v>2</v>
      </c>
      <c r="W49" s="56">
        <f t="shared" si="14"/>
        <v>4</v>
      </c>
      <c r="X49" s="7">
        <f t="shared" si="15"/>
        <v>13</v>
      </c>
      <c r="Y49" s="18">
        <f t="shared" si="16"/>
        <v>20</v>
      </c>
    </row>
    <row r="50" spans="11:37" x14ac:dyDescent="0.3">
      <c r="Q50" s="69">
        <f t="shared" si="11"/>
        <v>7</v>
      </c>
      <c r="R50" s="66">
        <v>21</v>
      </c>
      <c r="S50" s="64">
        <v>67</v>
      </c>
      <c r="T50" s="56">
        <v>62</v>
      </c>
      <c r="U50" s="66">
        <f t="shared" si="12"/>
        <v>1</v>
      </c>
      <c r="V50" s="64">
        <f t="shared" si="13"/>
        <v>4</v>
      </c>
      <c r="W50" s="56">
        <f t="shared" si="14"/>
        <v>5</v>
      </c>
      <c r="X50" s="7">
        <f t="shared" si="15"/>
        <v>18</v>
      </c>
      <c r="Y50" s="18">
        <f t="shared" si="16"/>
        <v>20</v>
      </c>
    </row>
    <row r="51" spans="11:37" x14ac:dyDescent="0.3">
      <c r="Q51" s="69">
        <f t="shared" si="11"/>
        <v>8</v>
      </c>
      <c r="R51" s="66">
        <v>25</v>
      </c>
      <c r="S51" s="64">
        <v>38</v>
      </c>
      <c r="T51" s="56">
        <v>58</v>
      </c>
      <c r="U51" s="66">
        <f t="shared" si="12"/>
        <v>1</v>
      </c>
      <c r="V51" s="64">
        <f t="shared" si="13"/>
        <v>3</v>
      </c>
      <c r="W51" s="56">
        <f t="shared" si="14"/>
        <v>5</v>
      </c>
      <c r="X51" s="7">
        <f t="shared" si="15"/>
        <v>16</v>
      </c>
      <c r="Y51" s="18">
        <f t="shared" si="16"/>
        <v>20</v>
      </c>
    </row>
    <row r="52" spans="11:37" x14ac:dyDescent="0.3">
      <c r="Q52" s="70">
        <f t="shared" si="11"/>
        <v>9</v>
      </c>
      <c r="R52" s="68">
        <v>83</v>
      </c>
      <c r="S52" s="65">
        <v>65</v>
      </c>
      <c r="T52" s="57">
        <v>42</v>
      </c>
      <c r="U52" s="66">
        <f t="shared" si="12"/>
        <v>4</v>
      </c>
      <c r="V52" s="64">
        <f t="shared" si="13"/>
        <v>4</v>
      </c>
      <c r="W52" s="56">
        <f t="shared" si="14"/>
        <v>5</v>
      </c>
      <c r="X52" s="7">
        <f t="shared" si="15"/>
        <v>33</v>
      </c>
      <c r="Y52" s="18">
        <f t="shared" si="16"/>
        <v>40</v>
      </c>
      <c r="AE52" s="121" t="s">
        <v>99</v>
      </c>
    </row>
    <row r="53" spans="11:37" x14ac:dyDescent="0.3">
      <c r="Q53" s="70">
        <f t="shared" si="11"/>
        <v>10</v>
      </c>
      <c r="R53" s="68">
        <v>76</v>
      </c>
      <c r="S53" s="65">
        <v>25</v>
      </c>
      <c r="T53" s="57">
        <v>32</v>
      </c>
      <c r="U53" s="66">
        <f t="shared" si="12"/>
        <v>3</v>
      </c>
      <c r="V53" s="64">
        <f t="shared" si="13"/>
        <v>3</v>
      </c>
      <c r="W53" s="56">
        <f t="shared" si="14"/>
        <v>5</v>
      </c>
      <c r="X53" s="7">
        <f t="shared" si="15"/>
        <v>26</v>
      </c>
      <c r="Y53" s="18">
        <f t="shared" si="16"/>
        <v>30</v>
      </c>
      <c r="AE53" t="s">
        <v>93</v>
      </c>
      <c r="AF53" t="s">
        <v>94</v>
      </c>
      <c r="AG53" t="s">
        <v>95</v>
      </c>
      <c r="AH53" t="s">
        <v>96</v>
      </c>
      <c r="AI53" t="s">
        <v>97</v>
      </c>
    </row>
    <row r="54" spans="11:37" x14ac:dyDescent="0.3">
      <c r="Q54" s="70">
        <f t="shared" si="11"/>
        <v>11</v>
      </c>
      <c r="R54" s="68">
        <v>74</v>
      </c>
      <c r="S54" s="65">
        <v>27</v>
      </c>
      <c r="T54" s="57">
        <v>63</v>
      </c>
      <c r="U54" s="66">
        <f t="shared" si="12"/>
        <v>3</v>
      </c>
      <c r="V54" s="64">
        <f t="shared" si="13"/>
        <v>3</v>
      </c>
      <c r="W54" s="56">
        <f t="shared" si="14"/>
        <v>5</v>
      </c>
      <c r="X54" s="7">
        <f t="shared" si="15"/>
        <v>26</v>
      </c>
      <c r="Y54" s="18">
        <f t="shared" si="16"/>
        <v>30</v>
      </c>
      <c r="AD54" t="s">
        <v>98</v>
      </c>
      <c r="AE54" s="25">
        <v>1</v>
      </c>
      <c r="AF54" s="25">
        <v>5</v>
      </c>
      <c r="AG54" s="25">
        <v>10</v>
      </c>
      <c r="AH54" s="25">
        <v>2</v>
      </c>
      <c r="AI54" s="25">
        <v>18</v>
      </c>
    </row>
    <row r="55" spans="11:37" x14ac:dyDescent="0.3">
      <c r="Q55" s="70">
        <f t="shared" si="11"/>
        <v>12</v>
      </c>
      <c r="R55" s="68">
        <v>68</v>
      </c>
      <c r="S55" s="65">
        <v>73</v>
      </c>
      <c r="T55" s="57">
        <v>55</v>
      </c>
      <c r="U55" s="66">
        <f t="shared" si="12"/>
        <v>3</v>
      </c>
      <c r="V55" s="64">
        <f t="shared" si="13"/>
        <v>4</v>
      </c>
      <c r="W55" s="56">
        <f t="shared" si="14"/>
        <v>5</v>
      </c>
      <c r="X55" s="7">
        <f t="shared" si="15"/>
        <v>28</v>
      </c>
      <c r="Y55" s="18">
        <f t="shared" si="16"/>
        <v>30</v>
      </c>
    </row>
    <row r="56" spans="11:37" x14ac:dyDescent="0.3">
      <c r="Q56" s="70">
        <f t="shared" si="11"/>
        <v>13</v>
      </c>
      <c r="R56" s="68">
        <v>3</v>
      </c>
      <c r="S56" s="65">
        <v>7</v>
      </c>
      <c r="T56" s="57">
        <v>96</v>
      </c>
      <c r="U56" s="66">
        <f t="shared" si="12"/>
        <v>0</v>
      </c>
      <c r="V56" s="64">
        <f t="shared" si="13"/>
        <v>2</v>
      </c>
      <c r="W56" s="56">
        <f t="shared" si="14"/>
        <v>6</v>
      </c>
      <c r="X56" s="7">
        <f t="shared" si="15"/>
        <v>10</v>
      </c>
      <c r="Y56" s="18">
        <f t="shared" si="16"/>
        <v>10</v>
      </c>
    </row>
    <row r="57" spans="11:37" ht="15" thickBot="1" x14ac:dyDescent="0.35">
      <c r="K57" s="15"/>
      <c r="L57" s="15"/>
      <c r="M57" s="15"/>
      <c r="N57" s="15"/>
      <c r="O57" s="15"/>
      <c r="P57" s="15"/>
      <c r="Q57" s="70">
        <f t="shared" si="11"/>
        <v>14</v>
      </c>
      <c r="R57" s="68">
        <v>60</v>
      </c>
      <c r="S57" s="65">
        <v>53</v>
      </c>
      <c r="T57" s="57">
        <v>29</v>
      </c>
      <c r="U57" s="66">
        <f t="shared" si="12"/>
        <v>3</v>
      </c>
      <c r="V57" s="64">
        <f t="shared" si="13"/>
        <v>3</v>
      </c>
      <c r="W57" s="56">
        <f t="shared" si="14"/>
        <v>4</v>
      </c>
      <c r="X57" s="7">
        <f t="shared" si="15"/>
        <v>25</v>
      </c>
      <c r="Y57" s="18">
        <f t="shared" si="16"/>
        <v>30</v>
      </c>
    </row>
    <row r="58" spans="11:37" x14ac:dyDescent="0.3">
      <c r="K58" s="15"/>
      <c r="L58" s="15"/>
      <c r="M58" s="15"/>
      <c r="N58" s="15"/>
      <c r="O58" s="15"/>
      <c r="P58" s="15"/>
      <c r="Q58" s="70">
        <f t="shared" si="11"/>
        <v>15</v>
      </c>
      <c r="R58" s="68">
        <v>35</v>
      </c>
      <c r="S58" s="65">
        <v>34</v>
      </c>
      <c r="T58" s="57">
        <v>31</v>
      </c>
      <c r="U58" s="66">
        <f t="shared" si="12"/>
        <v>2</v>
      </c>
      <c r="V58" s="64">
        <f t="shared" si="13"/>
        <v>3</v>
      </c>
      <c r="W58" s="56">
        <f t="shared" si="14"/>
        <v>5</v>
      </c>
      <c r="X58" s="7">
        <f t="shared" si="15"/>
        <v>21</v>
      </c>
      <c r="Y58" s="18">
        <f t="shared" si="16"/>
        <v>30</v>
      </c>
      <c r="AA58" s="123" t="s">
        <v>100</v>
      </c>
      <c r="AB58" s="123" t="s">
        <v>102</v>
      </c>
      <c r="AC58" t="s">
        <v>104</v>
      </c>
      <c r="AD58" t="s">
        <v>105</v>
      </c>
      <c r="AI58" s="126" t="s">
        <v>100</v>
      </c>
      <c r="AJ58" s="126" t="s">
        <v>102</v>
      </c>
      <c r="AK58" s="126" t="s">
        <v>103</v>
      </c>
    </row>
    <row r="59" spans="11:37" x14ac:dyDescent="0.3">
      <c r="K59" s="15"/>
      <c r="L59" s="15"/>
      <c r="M59" s="15"/>
      <c r="N59" s="15"/>
      <c r="O59" s="15"/>
      <c r="P59" s="15"/>
      <c r="Q59" s="70">
        <f t="shared" si="11"/>
        <v>16</v>
      </c>
      <c r="R59" s="68">
        <v>56</v>
      </c>
      <c r="S59" s="65">
        <v>25</v>
      </c>
      <c r="T59" s="57">
        <v>17</v>
      </c>
      <c r="U59" s="66">
        <f t="shared" si="12"/>
        <v>3</v>
      </c>
      <c r="V59" s="64">
        <f t="shared" si="13"/>
        <v>3</v>
      </c>
      <c r="W59" s="56">
        <f t="shared" si="14"/>
        <v>4</v>
      </c>
      <c r="X59" s="7">
        <f t="shared" si="15"/>
        <v>25</v>
      </c>
      <c r="Y59" s="18">
        <f t="shared" si="16"/>
        <v>30</v>
      </c>
      <c r="AA59" s="16">
        <v>10</v>
      </c>
      <c r="AB59" s="17">
        <v>1</v>
      </c>
      <c r="AC59" s="132">
        <f>AJ59/$AB$64</f>
        <v>5.5555555555555552E-2</v>
      </c>
      <c r="AD59" s="132">
        <f>SUM($AC$59:AC59)*100</f>
        <v>5.5555555555555554</v>
      </c>
      <c r="AI59" s="127">
        <v>10</v>
      </c>
      <c r="AJ59" s="128">
        <v>1</v>
      </c>
      <c r="AK59" s="129">
        <v>5.5555555555555552E-2</v>
      </c>
    </row>
    <row r="60" spans="11:37" x14ac:dyDescent="0.3">
      <c r="Q60" s="70">
        <f t="shared" si="11"/>
        <v>17</v>
      </c>
      <c r="R60" s="68">
        <v>71</v>
      </c>
      <c r="S60" s="65">
        <v>83</v>
      </c>
      <c r="T60" s="57">
        <v>83</v>
      </c>
      <c r="U60" s="66">
        <f t="shared" si="12"/>
        <v>3</v>
      </c>
      <c r="V60" s="64">
        <f t="shared" si="13"/>
        <v>5</v>
      </c>
      <c r="W60" s="56">
        <f t="shared" si="14"/>
        <v>6</v>
      </c>
      <c r="X60" s="7">
        <f t="shared" si="15"/>
        <v>31</v>
      </c>
      <c r="Y60" s="18">
        <f t="shared" si="16"/>
        <v>40</v>
      </c>
      <c r="AA60" s="16">
        <v>20</v>
      </c>
      <c r="AB60" s="17">
        <v>5</v>
      </c>
      <c r="AC60" s="132">
        <f t="shared" ref="AC60:AC63" si="17">AJ60/$AB$64</f>
        <v>0.27777777777777779</v>
      </c>
      <c r="AD60" s="132">
        <f>SUM($AC$59:AC60)*100</f>
        <v>33.333333333333336</v>
      </c>
      <c r="AI60" s="127">
        <v>20</v>
      </c>
      <c r="AJ60" s="128">
        <v>5</v>
      </c>
      <c r="AK60" s="129">
        <v>0.33333333333333331</v>
      </c>
    </row>
    <row r="61" spans="11:37" x14ac:dyDescent="0.3">
      <c r="Q61" s="70">
        <f t="shared" si="11"/>
        <v>18</v>
      </c>
      <c r="R61" s="68">
        <v>15</v>
      </c>
      <c r="S61" s="65">
        <v>72</v>
      </c>
      <c r="T61" s="57">
        <v>49</v>
      </c>
      <c r="U61" s="66">
        <f t="shared" si="12"/>
        <v>1</v>
      </c>
      <c r="V61" s="64">
        <f t="shared" si="13"/>
        <v>4</v>
      </c>
      <c r="W61" s="56">
        <f t="shared" si="14"/>
        <v>5</v>
      </c>
      <c r="X61" s="7">
        <f t="shared" si="15"/>
        <v>18</v>
      </c>
      <c r="Y61" s="18">
        <f t="shared" si="16"/>
        <v>20</v>
      </c>
      <c r="AA61" s="16">
        <v>30</v>
      </c>
      <c r="AB61" s="17">
        <v>10</v>
      </c>
      <c r="AC61" s="132">
        <f t="shared" si="17"/>
        <v>0.55555555555555558</v>
      </c>
      <c r="AD61" s="132">
        <f>SUM($AC$59:AC61)*100</f>
        <v>88.8888888888889</v>
      </c>
      <c r="AI61" s="127">
        <v>30</v>
      </c>
      <c r="AJ61" s="128">
        <v>10</v>
      </c>
      <c r="AK61" s="129">
        <v>0.88888888888888884</v>
      </c>
    </row>
    <row r="62" spans="11:37" x14ac:dyDescent="0.3">
      <c r="AA62" s="16">
        <v>40</v>
      </c>
      <c r="AB62" s="17">
        <v>2</v>
      </c>
      <c r="AC62" s="132">
        <f t="shared" si="17"/>
        <v>0.1111111111111111</v>
      </c>
      <c r="AD62" s="132">
        <f>SUM($AC$59:AC62)*100</f>
        <v>100</v>
      </c>
      <c r="AI62" s="127">
        <v>40</v>
      </c>
      <c r="AJ62" s="128">
        <v>2</v>
      </c>
      <c r="AK62" s="129">
        <v>1</v>
      </c>
    </row>
    <row r="63" spans="11:37" ht="15" thickBot="1" x14ac:dyDescent="0.35">
      <c r="AA63" s="122" t="s">
        <v>101</v>
      </c>
      <c r="AB63" s="122">
        <v>0</v>
      </c>
      <c r="AC63" s="132">
        <f t="shared" si="17"/>
        <v>0</v>
      </c>
      <c r="AD63" s="132">
        <f>SUM($AC$59:AC63)*100</f>
        <v>100</v>
      </c>
      <c r="AI63" s="130" t="s">
        <v>101</v>
      </c>
      <c r="AJ63" s="130">
        <v>0</v>
      </c>
      <c r="AK63" s="131">
        <v>1</v>
      </c>
    </row>
    <row r="64" spans="11:37" x14ac:dyDescent="0.3">
      <c r="AB64">
        <f>SUM(AB59:AB63)</f>
        <v>18</v>
      </c>
      <c r="AC64" s="17"/>
    </row>
    <row r="65" spans="18:29" x14ac:dyDescent="0.3">
      <c r="R65" s="79"/>
      <c r="AC65" s="11"/>
    </row>
    <row r="66" spans="18:29" x14ac:dyDescent="0.3">
      <c r="AC66" s="11"/>
    </row>
    <row r="67" spans="18:29" ht="14.25" customHeight="1" x14ac:dyDescent="0.3">
      <c r="R67" s="256"/>
      <c r="S67" s="256"/>
      <c r="T67" s="256"/>
      <c r="U67" s="256"/>
    </row>
    <row r="68" spans="18:29" ht="14.25" customHeight="1" x14ac:dyDescent="0.3">
      <c r="R68" s="256"/>
      <c r="S68" s="256"/>
      <c r="T68" s="256"/>
      <c r="U68" s="256"/>
    </row>
    <row r="69" spans="18:29" x14ac:dyDescent="0.3">
      <c r="R69" s="77"/>
      <c r="S69" s="96"/>
      <c r="T69" s="97"/>
    </row>
    <row r="70" spans="18:29" x14ac:dyDescent="0.3">
      <c r="R70" s="77"/>
      <c r="S70" s="77"/>
      <c r="T70" s="94"/>
      <c r="U70" s="95"/>
      <c r="V70" s="95"/>
      <c r="W70" s="95"/>
      <c r="X70" s="95"/>
    </row>
    <row r="77" spans="18:29" ht="15" thickBot="1" x14ac:dyDescent="0.35">
      <c r="V77" s="103"/>
      <c r="W77" s="103"/>
      <c r="X77" s="103"/>
    </row>
    <row r="78" spans="18:29" x14ac:dyDescent="0.3">
      <c r="V78" s="104"/>
      <c r="W78" s="105"/>
      <c r="X78" s="103"/>
      <c r="Y78" s="1"/>
      <c r="Z78" s="25"/>
      <c r="AA78" s="123" t="s">
        <v>100</v>
      </c>
      <c r="AB78" s="123" t="s">
        <v>102</v>
      </c>
      <c r="AC78" s="123" t="s">
        <v>103</v>
      </c>
    </row>
    <row r="79" spans="18:29" x14ac:dyDescent="0.3">
      <c r="V79" s="104"/>
      <c r="W79" s="105"/>
      <c r="X79" s="103"/>
      <c r="Y79" s="1"/>
      <c r="Z79" s="25"/>
      <c r="AA79" s="16">
        <v>10</v>
      </c>
      <c r="AB79" s="17">
        <v>1</v>
      </c>
      <c r="AC79" s="124">
        <v>5.5555555555555552E-2</v>
      </c>
    </row>
    <row r="80" spans="18:29" x14ac:dyDescent="0.3">
      <c r="V80" s="104"/>
      <c r="W80" s="105"/>
      <c r="X80" s="103"/>
      <c r="Y80" s="1"/>
      <c r="Z80" s="25"/>
      <c r="AA80" s="16">
        <v>20</v>
      </c>
      <c r="AB80" s="17">
        <v>5</v>
      </c>
      <c r="AC80" s="124">
        <v>0.33333333333333331</v>
      </c>
    </row>
    <row r="81" spans="18:30" x14ac:dyDescent="0.3">
      <c r="V81" s="104"/>
      <c r="W81" s="105"/>
      <c r="X81" s="103"/>
      <c r="Y81" s="1"/>
      <c r="Z81" s="25"/>
      <c r="AA81" s="16">
        <v>30</v>
      </c>
      <c r="AB81" s="17">
        <v>10</v>
      </c>
      <c r="AC81" s="124">
        <v>0.88888888888888884</v>
      </c>
    </row>
    <row r="82" spans="18:30" x14ac:dyDescent="0.3">
      <c r="V82" s="104"/>
      <c r="W82" s="105"/>
      <c r="X82" s="103"/>
      <c r="Y82" s="1"/>
      <c r="Z82" s="25"/>
      <c r="AA82" s="16">
        <v>40</v>
      </c>
      <c r="AB82" s="17">
        <v>2</v>
      </c>
      <c r="AC82" s="124">
        <v>1</v>
      </c>
    </row>
    <row r="83" spans="18:30" ht="15" thickBot="1" x14ac:dyDescent="0.35">
      <c r="V83" s="103"/>
      <c r="W83" s="103"/>
      <c r="X83" s="103"/>
      <c r="AA83" s="122" t="s">
        <v>101</v>
      </c>
      <c r="AB83" s="122">
        <v>0</v>
      </c>
      <c r="AC83" s="125">
        <v>1</v>
      </c>
    </row>
    <row r="84" spans="18:30" x14ac:dyDescent="0.3">
      <c r="R84" s="80"/>
      <c r="V84" s="103"/>
      <c r="W84" s="103"/>
      <c r="X84" s="103"/>
    </row>
    <row r="85" spans="18:30" x14ac:dyDescent="0.3">
      <c r="V85" s="103"/>
      <c r="W85" s="103"/>
      <c r="X85" s="103"/>
    </row>
    <row r="86" spans="18:30" x14ac:dyDescent="0.3">
      <c r="V86" s="103"/>
      <c r="W86" s="103"/>
      <c r="X86" s="103"/>
    </row>
    <row r="87" spans="18:30" x14ac:dyDescent="0.3">
      <c r="S87" s="99"/>
      <c r="V87" s="103"/>
      <c r="W87" s="103"/>
      <c r="X87" s="103"/>
    </row>
    <row r="88" spans="18:30" x14ac:dyDescent="0.3">
      <c r="S88" s="98"/>
      <c r="V88" s="103"/>
      <c r="W88" s="103"/>
      <c r="X88" s="103"/>
    </row>
    <row r="89" spans="18:30" x14ac:dyDescent="0.3">
      <c r="V89" s="103"/>
      <c r="W89" s="103"/>
      <c r="X89" s="103"/>
    </row>
    <row r="90" spans="18:30" x14ac:dyDescent="0.3">
      <c r="V90" s="103"/>
      <c r="W90" s="103"/>
      <c r="X90" s="103"/>
    </row>
    <row r="91" spans="18:30" x14ac:dyDescent="0.3">
      <c r="V91" s="103"/>
      <c r="W91" s="103"/>
      <c r="X91" s="103"/>
    </row>
    <row r="92" spans="18:30" x14ac:dyDescent="0.3">
      <c r="V92" s="103"/>
      <c r="W92" s="103"/>
      <c r="X92" s="103"/>
      <c r="Y92" s="16"/>
      <c r="Z92" s="17"/>
    </row>
    <row r="93" spans="18:30" x14ac:dyDescent="0.3">
      <c r="V93" s="103"/>
      <c r="W93" s="103"/>
      <c r="X93" s="103"/>
    </row>
    <row r="94" spans="18:30" x14ac:dyDescent="0.3">
      <c r="V94" s="103"/>
      <c r="W94" s="103"/>
      <c r="X94" s="103"/>
      <c r="AD94">
        <v>5</v>
      </c>
    </row>
  </sheetData>
  <sortState ref="AA79:AA82">
    <sortCondition ref="AA79"/>
  </sortState>
  <mergeCells count="2">
    <mergeCell ref="R67:U68"/>
    <mergeCell ref="B5:O6"/>
  </mergeCells>
  <pageMargins left="0.25" right="0.25"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topLeftCell="A57" zoomScale="106" zoomScaleNormal="106" workbookViewId="0">
      <selection activeCell="J77" sqref="J77"/>
    </sheetView>
  </sheetViews>
  <sheetFormatPr defaultRowHeight="14.4" x14ac:dyDescent="0.3"/>
  <cols>
    <col min="3" max="3" width="11.88671875" customWidth="1"/>
    <col min="4" max="4" width="17.109375" customWidth="1"/>
  </cols>
  <sheetData>
    <row r="1" spans="1:14" ht="44.25" customHeight="1" x14ac:dyDescent="0.3">
      <c r="B1" s="258" t="s">
        <v>35</v>
      </c>
      <c r="C1" s="258"/>
      <c r="D1" s="258"/>
      <c r="E1" s="258"/>
      <c r="F1" s="258"/>
      <c r="G1" s="258"/>
      <c r="H1" s="258"/>
      <c r="I1" s="258"/>
      <c r="J1" s="258"/>
      <c r="K1" s="258"/>
      <c r="L1" s="258"/>
      <c r="M1" s="258"/>
      <c r="N1" s="73"/>
    </row>
    <row r="3" spans="1:14" x14ac:dyDescent="0.3">
      <c r="A3" s="45" t="s">
        <v>31</v>
      </c>
    </row>
    <row r="21" spans="14:20" x14ac:dyDescent="0.3">
      <c r="R21" s="44"/>
      <c r="S21" s="44"/>
      <c r="T21" s="44"/>
    </row>
    <row r="30" spans="14:20" x14ac:dyDescent="0.3">
      <c r="N30">
        <v>5</v>
      </c>
    </row>
    <row r="33" spans="2:8" ht="28.8" x14ac:dyDescent="0.3">
      <c r="B33" s="26" t="s">
        <v>21</v>
      </c>
      <c r="C33" s="27" t="s">
        <v>24</v>
      </c>
      <c r="D33" s="27" t="s">
        <v>19</v>
      </c>
      <c r="E33" s="26" t="s">
        <v>6</v>
      </c>
      <c r="F33" s="84" t="s">
        <v>7</v>
      </c>
      <c r="G33" s="84" t="s">
        <v>8</v>
      </c>
      <c r="H33" s="26" t="s">
        <v>25</v>
      </c>
    </row>
    <row r="34" spans="2:8" x14ac:dyDescent="0.3">
      <c r="B34" s="24">
        <v>1</v>
      </c>
      <c r="C34" s="24">
        <v>0.1</v>
      </c>
      <c r="D34" s="24">
        <f>SUM($C$34:C34)</f>
        <v>0.1</v>
      </c>
      <c r="E34" s="24">
        <f>D34*100</f>
        <v>10</v>
      </c>
      <c r="F34" s="24">
        <v>0</v>
      </c>
      <c r="G34" s="24">
        <f>E34-1</f>
        <v>9</v>
      </c>
      <c r="H34" s="24"/>
    </row>
    <row r="35" spans="2:8" x14ac:dyDescent="0.3">
      <c r="B35" s="29">
        <v>1.5</v>
      </c>
      <c r="C35" s="29">
        <v>0.3</v>
      </c>
      <c r="D35" s="24">
        <f>SUM($C$34:C35)</f>
        <v>0.4</v>
      </c>
      <c r="E35" s="24">
        <f t="shared" ref="E35:E37" si="0">D35*100</f>
        <v>40</v>
      </c>
      <c r="F35" s="29">
        <f>E34</f>
        <v>10</v>
      </c>
      <c r="G35" s="24">
        <f t="shared" ref="G35:G36" si="1">E35-1</f>
        <v>39</v>
      </c>
      <c r="H35" s="29"/>
    </row>
    <row r="36" spans="2:8" x14ac:dyDescent="0.3">
      <c r="B36" s="30">
        <v>2</v>
      </c>
      <c r="C36" s="30">
        <v>0.4</v>
      </c>
      <c r="D36" s="24">
        <f>SUM($C$34:C36)</f>
        <v>0.8</v>
      </c>
      <c r="E36" s="24">
        <f t="shared" si="0"/>
        <v>80</v>
      </c>
      <c r="F36" s="29">
        <f t="shared" ref="F36:F37" si="2">E35</f>
        <v>40</v>
      </c>
      <c r="G36" s="24">
        <f t="shared" si="1"/>
        <v>79</v>
      </c>
      <c r="H36" s="30"/>
    </row>
    <row r="37" spans="2:8" x14ac:dyDescent="0.3">
      <c r="B37" s="31">
        <v>2.5</v>
      </c>
      <c r="C37" s="31">
        <v>0.2</v>
      </c>
      <c r="D37" s="24">
        <f>SUM($C$34:C37)</f>
        <v>1</v>
      </c>
      <c r="E37" s="24">
        <f t="shared" si="0"/>
        <v>100</v>
      </c>
      <c r="F37" s="29">
        <f t="shared" si="2"/>
        <v>80</v>
      </c>
      <c r="G37" s="24">
        <f>E37-1</f>
        <v>99</v>
      </c>
      <c r="H37" s="31"/>
    </row>
    <row r="39" spans="2:8" ht="28.8" x14ac:dyDescent="0.3">
      <c r="B39" s="22" t="s">
        <v>22</v>
      </c>
      <c r="C39" s="23" t="s">
        <v>24</v>
      </c>
      <c r="D39" s="23" t="s">
        <v>19</v>
      </c>
      <c r="E39" s="22" t="s">
        <v>6</v>
      </c>
      <c r="F39" s="22" t="s">
        <v>7</v>
      </c>
      <c r="G39" s="22" t="s">
        <v>8</v>
      </c>
      <c r="H39" s="22" t="s">
        <v>25</v>
      </c>
    </row>
    <row r="40" spans="2:8" x14ac:dyDescent="0.3">
      <c r="B40" s="39">
        <v>180</v>
      </c>
      <c r="C40" s="39">
        <v>0.3</v>
      </c>
      <c r="D40" s="39">
        <f>SUM($C$40:C40)</f>
        <v>0.3</v>
      </c>
      <c r="E40" s="39">
        <f>D40*100</f>
        <v>30</v>
      </c>
      <c r="F40" s="39">
        <v>0</v>
      </c>
      <c r="G40" s="39">
        <f>E40-1</f>
        <v>29</v>
      </c>
      <c r="H40" s="39"/>
    </row>
    <row r="41" spans="2:8" x14ac:dyDescent="0.3">
      <c r="B41" s="39">
        <v>190</v>
      </c>
      <c r="C41" s="39">
        <v>0.5</v>
      </c>
      <c r="D41" s="39">
        <f>SUM($C$40:C41)</f>
        <v>0.8</v>
      </c>
      <c r="E41" s="39">
        <f t="shared" ref="E41:E42" si="3">D41*100</f>
        <v>80</v>
      </c>
      <c r="F41" s="39">
        <f>E40</f>
        <v>30</v>
      </c>
      <c r="G41" s="39">
        <f t="shared" ref="G41:G42" si="4">E41-1</f>
        <v>79</v>
      </c>
      <c r="H41" s="39"/>
    </row>
    <row r="42" spans="2:8" x14ac:dyDescent="0.3">
      <c r="B42" s="39">
        <v>200</v>
      </c>
      <c r="C42" s="39">
        <v>0.2</v>
      </c>
      <c r="D42" s="39">
        <f>SUM($C$40:C42)</f>
        <v>1</v>
      </c>
      <c r="E42" s="39">
        <f t="shared" si="3"/>
        <v>100</v>
      </c>
      <c r="F42" s="39">
        <f>E41</f>
        <v>80</v>
      </c>
      <c r="G42" s="39">
        <f t="shared" si="4"/>
        <v>99</v>
      </c>
      <c r="H42" s="39"/>
    </row>
    <row r="44" spans="2:8" ht="28.8" x14ac:dyDescent="0.3">
      <c r="B44" s="36" t="s">
        <v>26</v>
      </c>
      <c r="C44" s="37" t="s">
        <v>24</v>
      </c>
      <c r="D44" s="37" t="s">
        <v>19</v>
      </c>
      <c r="E44" s="36" t="s">
        <v>6</v>
      </c>
      <c r="F44" s="81" t="s">
        <v>7</v>
      </c>
      <c r="G44" s="81" t="s">
        <v>8</v>
      </c>
      <c r="H44" s="36" t="s">
        <v>25</v>
      </c>
    </row>
    <row r="45" spans="2:8" x14ac:dyDescent="0.3">
      <c r="B45" s="38">
        <v>150</v>
      </c>
      <c r="C45" s="38">
        <v>0.25</v>
      </c>
      <c r="D45" s="38">
        <f>SUM($C$45:C45)</f>
        <v>0.25</v>
      </c>
      <c r="E45" s="38">
        <f>D45*100</f>
        <v>25</v>
      </c>
      <c r="F45" s="38">
        <v>0</v>
      </c>
      <c r="G45" s="38">
        <f>E45-1</f>
        <v>24</v>
      </c>
      <c r="H45" s="38"/>
    </row>
    <row r="46" spans="2:8" x14ac:dyDescent="0.3">
      <c r="B46" s="38">
        <v>160</v>
      </c>
      <c r="C46" s="38">
        <v>0.4</v>
      </c>
      <c r="D46" s="38">
        <f>SUM($C$45:C46)</f>
        <v>0.65</v>
      </c>
      <c r="E46" s="38">
        <f t="shared" ref="E46:E48" si="5">D46*100</f>
        <v>65</v>
      </c>
      <c r="F46" s="38">
        <f>E45</f>
        <v>25</v>
      </c>
      <c r="G46" s="38">
        <f t="shared" ref="G46:G48" si="6">E46-1</f>
        <v>64</v>
      </c>
      <c r="H46" s="38"/>
    </row>
    <row r="47" spans="2:8" x14ac:dyDescent="0.3">
      <c r="B47" s="38">
        <v>170</v>
      </c>
      <c r="C47" s="38">
        <v>0.25</v>
      </c>
      <c r="D47" s="38">
        <f>SUM($C$45:C47)</f>
        <v>0.9</v>
      </c>
      <c r="E47" s="38">
        <f t="shared" si="5"/>
        <v>90</v>
      </c>
      <c r="F47" s="38">
        <f t="shared" ref="F47:F48" si="7">E46</f>
        <v>65</v>
      </c>
      <c r="G47" s="38">
        <f t="shared" si="6"/>
        <v>89</v>
      </c>
      <c r="H47" s="38"/>
    </row>
    <row r="48" spans="2:8" x14ac:dyDescent="0.3">
      <c r="B48" s="38">
        <v>180</v>
      </c>
      <c r="C48" s="38">
        <v>0.1</v>
      </c>
      <c r="D48" s="38">
        <f>SUM($C$45:C48)</f>
        <v>1</v>
      </c>
      <c r="E48" s="38">
        <f t="shared" si="5"/>
        <v>100</v>
      </c>
      <c r="F48" s="38">
        <f t="shared" si="7"/>
        <v>90</v>
      </c>
      <c r="G48" s="38">
        <f t="shared" si="6"/>
        <v>99</v>
      </c>
      <c r="H48" s="38"/>
    </row>
    <row r="50" spans="2:14" ht="28.8" x14ac:dyDescent="0.3">
      <c r="B50" s="34" t="s">
        <v>23</v>
      </c>
      <c r="C50" s="35" t="s">
        <v>24</v>
      </c>
      <c r="D50" s="35" t="s">
        <v>19</v>
      </c>
      <c r="E50" s="34" t="s">
        <v>6</v>
      </c>
      <c r="F50" s="82" t="s">
        <v>7</v>
      </c>
      <c r="G50" s="82" t="s">
        <v>8</v>
      </c>
      <c r="H50" s="34" t="s">
        <v>25</v>
      </c>
    </row>
    <row r="51" spans="2:14" x14ac:dyDescent="0.3">
      <c r="B51" s="43">
        <v>130</v>
      </c>
      <c r="C51" s="43">
        <v>0.3</v>
      </c>
      <c r="D51" s="43">
        <f>SUM($C$51:C51)</f>
        <v>0.3</v>
      </c>
      <c r="E51" s="43">
        <f>D51*100</f>
        <v>30</v>
      </c>
      <c r="F51" s="43">
        <v>0</v>
      </c>
      <c r="G51" s="43">
        <f>E51-1</f>
        <v>29</v>
      </c>
      <c r="H51" s="43"/>
    </row>
    <row r="52" spans="2:14" x14ac:dyDescent="0.3">
      <c r="B52" s="43">
        <v>140</v>
      </c>
      <c r="C52" s="43">
        <v>0.6</v>
      </c>
      <c r="D52" s="43">
        <f>SUM($C$51:C52)</f>
        <v>0.89999999999999991</v>
      </c>
      <c r="E52" s="43">
        <f t="shared" ref="E52:E53" si="8">D52*100</f>
        <v>89.999999999999986</v>
      </c>
      <c r="F52" s="43">
        <f>E51</f>
        <v>30</v>
      </c>
      <c r="G52" s="43">
        <f t="shared" ref="G52:G53" si="9">E52-1</f>
        <v>88.999999999999986</v>
      </c>
      <c r="H52" s="43"/>
    </row>
    <row r="53" spans="2:14" x14ac:dyDescent="0.3">
      <c r="B53" s="43">
        <v>150</v>
      </c>
      <c r="C53" s="43">
        <v>0.1</v>
      </c>
      <c r="D53" s="43">
        <f>SUM($C$51:C53)</f>
        <v>0.99999999999999989</v>
      </c>
      <c r="E53" s="43">
        <f t="shared" si="8"/>
        <v>99.999999999999986</v>
      </c>
      <c r="F53" s="43">
        <f>E52</f>
        <v>89.999999999999986</v>
      </c>
      <c r="G53" s="43">
        <f t="shared" si="9"/>
        <v>98.999999999999986</v>
      </c>
      <c r="H53" s="43"/>
    </row>
    <row r="55" spans="2:14" ht="28.8" x14ac:dyDescent="0.3">
      <c r="B55" s="32" t="s">
        <v>27</v>
      </c>
      <c r="C55" s="33" t="s">
        <v>24</v>
      </c>
      <c r="D55" s="33" t="s">
        <v>19</v>
      </c>
      <c r="E55" s="32">
        <v>0</v>
      </c>
      <c r="F55" s="83" t="s">
        <v>7</v>
      </c>
      <c r="G55" s="83" t="s">
        <v>8</v>
      </c>
      <c r="H55" s="32" t="s">
        <v>25</v>
      </c>
    </row>
    <row r="56" spans="2:14" x14ac:dyDescent="0.3">
      <c r="B56" s="42">
        <v>110</v>
      </c>
      <c r="C56" s="42">
        <v>0.25</v>
      </c>
      <c r="D56" s="42">
        <f>SUM($C$56:C56)</f>
        <v>0.25</v>
      </c>
      <c r="E56" s="42">
        <f>D56*100</f>
        <v>25</v>
      </c>
      <c r="F56" s="42">
        <v>0</v>
      </c>
      <c r="G56" s="42">
        <f>E56-1</f>
        <v>24</v>
      </c>
      <c r="H56" s="42"/>
    </row>
    <row r="57" spans="2:14" x14ac:dyDescent="0.3">
      <c r="B57" s="42">
        <v>120</v>
      </c>
      <c r="C57" s="42">
        <v>0.5</v>
      </c>
      <c r="D57" s="42">
        <f>SUM($C$56:C57)</f>
        <v>0.75</v>
      </c>
      <c r="E57" s="42">
        <f t="shared" ref="E57:E58" si="10">D57*100</f>
        <v>75</v>
      </c>
      <c r="F57" s="42">
        <f>E56</f>
        <v>25</v>
      </c>
      <c r="G57" s="42">
        <f t="shared" ref="G57:G58" si="11">E57-1</f>
        <v>74</v>
      </c>
      <c r="H57" s="42"/>
    </row>
    <row r="58" spans="2:14" x14ac:dyDescent="0.3">
      <c r="B58" s="42">
        <v>130</v>
      </c>
      <c r="C58" s="42">
        <v>0.25</v>
      </c>
      <c r="D58" s="42">
        <f>SUM($C$56:C58)</f>
        <v>1</v>
      </c>
      <c r="E58" s="42">
        <f t="shared" si="10"/>
        <v>100</v>
      </c>
      <c r="F58" s="42">
        <f>E57</f>
        <v>75</v>
      </c>
      <c r="G58" s="42">
        <f t="shared" si="11"/>
        <v>99</v>
      </c>
      <c r="H58" s="42"/>
      <c r="N58">
        <v>6</v>
      </c>
    </row>
    <row r="63" spans="2:14" x14ac:dyDescent="0.3">
      <c r="B63" t="s">
        <v>36</v>
      </c>
    </row>
    <row r="65" spans="2:7" x14ac:dyDescent="0.3">
      <c r="B65" t="s">
        <v>38</v>
      </c>
    </row>
    <row r="66" spans="2:7" x14ac:dyDescent="0.3">
      <c r="B66" t="s">
        <v>52</v>
      </c>
    </row>
    <row r="67" spans="2:7" x14ac:dyDescent="0.3">
      <c r="B67" s="85" t="s">
        <v>37</v>
      </c>
    </row>
    <row r="68" spans="2:7" x14ac:dyDescent="0.3">
      <c r="E68" t="s">
        <v>107</v>
      </c>
    </row>
    <row r="69" spans="2:7" x14ac:dyDescent="0.3">
      <c r="B69" s="86" t="s">
        <v>28</v>
      </c>
      <c r="C69" s="86" t="s">
        <v>41</v>
      </c>
      <c r="D69" s="86" t="s">
        <v>42</v>
      </c>
      <c r="E69" s="86" t="s">
        <v>21</v>
      </c>
      <c r="F69" s="87" t="s">
        <v>29</v>
      </c>
      <c r="G69" s="88" t="s">
        <v>30</v>
      </c>
    </row>
    <row r="70" spans="2:7" x14ac:dyDescent="0.3">
      <c r="B70" s="18">
        <v>1</v>
      </c>
      <c r="C70" s="89">
        <v>22</v>
      </c>
      <c r="D70" s="90">
        <v>73</v>
      </c>
      <c r="E70" s="91">
        <f>LOOKUP(C70,$F$34:$F$37,$B$34:$B$37)</f>
        <v>1.5</v>
      </c>
      <c r="F70" s="92">
        <f>LOOKUP(D70,$F$45:$F$48,$B$45:$B$48)</f>
        <v>170</v>
      </c>
      <c r="G70" s="93">
        <f>E70*F70</f>
        <v>255</v>
      </c>
    </row>
    <row r="71" spans="2:7" x14ac:dyDescent="0.3">
      <c r="B71" s="18">
        <v>2</v>
      </c>
      <c r="C71" s="89">
        <v>94</v>
      </c>
      <c r="D71" s="89">
        <v>87</v>
      </c>
      <c r="E71" s="91">
        <f t="shared" ref="E71:E77" si="12">LOOKUP(C71,$F$34:$F$37,$B$34:$B$37)</f>
        <v>2.5</v>
      </c>
      <c r="F71" s="92"/>
      <c r="G71" s="93"/>
    </row>
    <row r="72" spans="2:7" x14ac:dyDescent="0.3">
      <c r="B72" s="18">
        <v>3</v>
      </c>
      <c r="C72" s="89">
        <v>4</v>
      </c>
      <c r="D72" s="89">
        <v>28</v>
      </c>
      <c r="E72" s="91">
        <f t="shared" si="12"/>
        <v>1</v>
      </c>
      <c r="F72" s="92"/>
      <c r="G72" s="93"/>
    </row>
    <row r="73" spans="2:7" x14ac:dyDescent="0.3">
      <c r="B73" s="18">
        <v>4</v>
      </c>
      <c r="C73" s="89">
        <v>54</v>
      </c>
      <c r="D73" s="89">
        <v>76</v>
      </c>
      <c r="E73" s="91">
        <f t="shared" si="12"/>
        <v>2</v>
      </c>
      <c r="F73" s="92"/>
      <c r="G73" s="93"/>
    </row>
    <row r="74" spans="2:7" x14ac:dyDescent="0.3">
      <c r="B74" s="21">
        <v>5</v>
      </c>
      <c r="C74" s="89">
        <v>81</v>
      </c>
      <c r="D74" s="89">
        <v>32</v>
      </c>
      <c r="E74" s="91">
        <f t="shared" si="12"/>
        <v>2.5</v>
      </c>
      <c r="F74" s="92"/>
      <c r="G74" s="93"/>
    </row>
    <row r="75" spans="2:7" x14ac:dyDescent="0.3">
      <c r="B75" s="18">
        <v>6</v>
      </c>
      <c r="C75" s="89">
        <v>72</v>
      </c>
      <c r="D75" s="89">
        <v>35</v>
      </c>
      <c r="E75" s="91">
        <f t="shared" si="12"/>
        <v>2</v>
      </c>
      <c r="F75" s="92"/>
      <c r="G75" s="93"/>
    </row>
    <row r="76" spans="2:7" x14ac:dyDescent="0.3">
      <c r="B76" s="18">
        <v>7</v>
      </c>
      <c r="C76" s="89">
        <v>99</v>
      </c>
      <c r="D76" s="89">
        <v>24</v>
      </c>
      <c r="E76" s="91">
        <f t="shared" si="12"/>
        <v>2.5</v>
      </c>
      <c r="F76" s="92"/>
      <c r="G76" s="93"/>
    </row>
    <row r="77" spans="2:7" x14ac:dyDescent="0.3">
      <c r="B77" s="18">
        <v>8</v>
      </c>
      <c r="C77" s="89">
        <v>10</v>
      </c>
      <c r="D77" s="89">
        <v>10</v>
      </c>
      <c r="E77" s="91">
        <f t="shared" si="12"/>
        <v>1.5</v>
      </c>
      <c r="F77" s="92"/>
      <c r="G77" s="93"/>
    </row>
    <row r="91" spans="14:14" x14ac:dyDescent="0.3">
      <c r="N91">
        <v>7</v>
      </c>
    </row>
  </sheetData>
  <mergeCells count="1">
    <mergeCell ref="B1:M1"/>
  </mergeCells>
  <pageMargins left="0.25" right="0.25"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6"/>
  <sheetViews>
    <sheetView topLeftCell="J7" workbookViewId="0">
      <selection activeCell="O21" sqref="O21"/>
    </sheetView>
  </sheetViews>
  <sheetFormatPr defaultRowHeight="14.4" x14ac:dyDescent="0.3"/>
  <cols>
    <col min="2" max="2" width="9.88671875" bestFit="1" customWidth="1"/>
    <col min="3" max="3" width="11.44140625" bestFit="1" customWidth="1"/>
    <col min="4" max="4" width="9.21875" bestFit="1" customWidth="1"/>
    <col min="5" max="5" width="12.44140625" bestFit="1" customWidth="1"/>
    <col min="6" max="7" width="5" bestFit="1" customWidth="1"/>
  </cols>
  <sheetData>
    <row r="1" spans="1:23" ht="14.4" customHeight="1" x14ac:dyDescent="0.3">
      <c r="A1" s="257" t="s">
        <v>108</v>
      </c>
      <c r="B1" s="257"/>
      <c r="C1" s="257"/>
      <c r="D1" s="257"/>
      <c r="E1" s="257"/>
      <c r="F1" s="257"/>
      <c r="G1" s="257"/>
      <c r="H1" s="257"/>
      <c r="I1" s="257"/>
      <c r="J1" s="257"/>
      <c r="K1" s="257"/>
      <c r="L1" s="257"/>
      <c r="M1" s="257"/>
      <c r="N1" s="257"/>
    </row>
    <row r="2" spans="1:23" x14ac:dyDescent="0.3">
      <c r="A2" s="257"/>
      <c r="B2" s="257"/>
      <c r="C2" s="257"/>
      <c r="D2" s="257"/>
      <c r="E2" s="257"/>
      <c r="F2" s="257"/>
      <c r="G2" s="257"/>
      <c r="H2" s="257"/>
      <c r="I2" s="257"/>
      <c r="J2" s="257"/>
      <c r="K2" s="257"/>
      <c r="L2" s="257"/>
      <c r="M2" s="257"/>
      <c r="N2" s="257"/>
      <c r="T2" s="137"/>
      <c r="U2" s="138"/>
      <c r="V2" s="139"/>
    </row>
    <row r="3" spans="1:23" x14ac:dyDescent="0.3">
      <c r="A3" s="257"/>
      <c r="B3" s="257"/>
      <c r="C3" s="257"/>
      <c r="D3" s="257"/>
      <c r="E3" s="257"/>
      <c r="F3" s="257"/>
      <c r="G3" s="257"/>
      <c r="H3" s="257"/>
      <c r="I3" s="257"/>
      <c r="J3" s="257"/>
      <c r="K3" s="257"/>
      <c r="L3" s="257"/>
      <c r="M3" s="257"/>
      <c r="N3" s="257"/>
      <c r="T3" s="259">
        <v>7.5</v>
      </c>
      <c r="U3" s="259"/>
      <c r="V3" s="259">
        <v>8.5</v>
      </c>
      <c r="W3" s="259"/>
    </row>
    <row r="4" spans="1:23" x14ac:dyDescent="0.3">
      <c r="A4" s="257"/>
      <c r="B4" s="257"/>
      <c r="C4" s="257"/>
      <c r="D4" s="257"/>
      <c r="E4" s="257"/>
      <c r="F4" s="257"/>
      <c r="G4" s="257"/>
      <c r="H4" s="257"/>
      <c r="I4" s="257"/>
      <c r="J4" s="257"/>
      <c r="K4" s="257"/>
      <c r="L4" s="257"/>
      <c r="M4" s="257"/>
      <c r="N4" s="257"/>
      <c r="T4" s="19" t="s">
        <v>114</v>
      </c>
      <c r="U4">
        <v>0.1</v>
      </c>
      <c r="V4">
        <v>0.99</v>
      </c>
    </row>
    <row r="5" spans="1:23" x14ac:dyDescent="0.3">
      <c r="U5">
        <f>7.5+U4</f>
        <v>7.6</v>
      </c>
      <c r="V5">
        <f>7.5+V4</f>
        <v>8.49</v>
      </c>
    </row>
    <row r="6" spans="1:23" x14ac:dyDescent="0.3">
      <c r="A6" s="260" t="s">
        <v>70</v>
      </c>
      <c r="B6" s="260"/>
      <c r="C6" s="260"/>
      <c r="D6" s="260"/>
      <c r="E6" s="260"/>
      <c r="F6" s="260"/>
      <c r="G6" s="260"/>
      <c r="H6" s="260"/>
      <c r="I6" s="260"/>
      <c r="J6" s="260"/>
      <c r="K6" s="260"/>
      <c r="L6" s="260"/>
      <c r="M6" s="260"/>
      <c r="N6" s="260"/>
      <c r="Q6" t="s">
        <v>112</v>
      </c>
    </row>
    <row r="8" spans="1:23" x14ac:dyDescent="0.3">
      <c r="A8" s="117" t="s">
        <v>71</v>
      </c>
      <c r="B8" s="118" t="s">
        <v>72</v>
      </c>
      <c r="C8" s="118" t="s">
        <v>73</v>
      </c>
      <c r="D8" s="118" t="s">
        <v>74</v>
      </c>
      <c r="E8" s="118" t="s">
        <v>75</v>
      </c>
      <c r="F8" s="118" t="s">
        <v>76</v>
      </c>
      <c r="G8" s="120" t="s">
        <v>21</v>
      </c>
      <c r="I8" s="261" t="s">
        <v>89</v>
      </c>
      <c r="J8" s="261"/>
      <c r="K8" s="261"/>
      <c r="L8" s="261"/>
      <c r="M8" s="261"/>
      <c r="N8" s="261"/>
      <c r="P8" s="117" t="s">
        <v>71</v>
      </c>
      <c r="Q8" s="141" t="s">
        <v>111</v>
      </c>
      <c r="R8" s="101" t="s">
        <v>21</v>
      </c>
      <c r="S8" s="101" t="s">
        <v>111</v>
      </c>
      <c r="T8" s="142" t="s">
        <v>113</v>
      </c>
      <c r="V8" s="117" t="s">
        <v>71</v>
      </c>
      <c r="W8" s="120" t="s">
        <v>21</v>
      </c>
    </row>
    <row r="9" spans="1:23" x14ac:dyDescent="0.3">
      <c r="A9" s="119">
        <v>6631</v>
      </c>
      <c r="B9" s="18">
        <v>18</v>
      </c>
      <c r="C9" s="18" t="s">
        <v>77</v>
      </c>
      <c r="D9" s="18" t="s">
        <v>78</v>
      </c>
      <c r="E9" s="18" t="s">
        <v>79</v>
      </c>
      <c r="F9" s="18">
        <v>1</v>
      </c>
      <c r="G9" s="18"/>
      <c r="I9" s="261"/>
      <c r="J9" s="261"/>
      <c r="K9" s="261"/>
      <c r="L9" s="261"/>
      <c r="M9" s="261"/>
      <c r="N9" s="261"/>
      <c r="P9" s="119">
        <v>6631</v>
      </c>
      <c r="Q9" s="136">
        <v>100</v>
      </c>
      <c r="R9" s="19">
        <f>LOOKUP(Q9,$AE$21:$AE$37,$Y$21:$Y$37)</f>
        <v>23.5</v>
      </c>
      <c r="S9">
        <v>0.41926479237679548</v>
      </c>
      <c r="T9" s="140">
        <f>R9+S9</f>
        <v>23.919264792376797</v>
      </c>
      <c r="V9" s="18">
        <v>7897</v>
      </c>
      <c r="W9" s="133">
        <v>4.9000000000000004</v>
      </c>
    </row>
    <row r="10" spans="1:23" x14ac:dyDescent="0.3">
      <c r="A10" s="119">
        <v>6649</v>
      </c>
      <c r="B10" s="18">
        <v>18</v>
      </c>
      <c r="C10" s="18" t="s">
        <v>77</v>
      </c>
      <c r="D10" s="18" t="s">
        <v>80</v>
      </c>
      <c r="E10" s="18" t="s">
        <v>81</v>
      </c>
      <c r="F10" s="18">
        <v>2</v>
      </c>
      <c r="G10" s="18"/>
      <c r="P10" s="119">
        <v>6649</v>
      </c>
      <c r="Q10" s="136">
        <v>55</v>
      </c>
      <c r="R10" s="19">
        <f t="shared" ref="R10:R73" si="0">LOOKUP(Q10,$AE$21:$AE$37,$Y$21:$Y$37)</f>
        <v>13.5</v>
      </c>
      <c r="S10">
        <v>0.78485452522204269</v>
      </c>
      <c r="T10" s="140">
        <f t="shared" ref="T10:T73" si="1">R10+S10</f>
        <v>14.284854525222043</v>
      </c>
      <c r="V10" s="18">
        <v>7896</v>
      </c>
      <c r="W10" s="133">
        <v>5.7</v>
      </c>
    </row>
    <row r="11" spans="1:23" x14ac:dyDescent="0.3">
      <c r="A11" s="18">
        <v>6650</v>
      </c>
      <c r="B11" s="18">
        <v>18</v>
      </c>
      <c r="C11" s="18" t="s">
        <v>77</v>
      </c>
      <c r="D11" s="18" t="s">
        <v>80</v>
      </c>
      <c r="E11" s="18" t="s">
        <v>82</v>
      </c>
      <c r="F11" s="18">
        <v>0</v>
      </c>
      <c r="G11" s="18"/>
      <c r="I11" s="261" t="s">
        <v>88</v>
      </c>
      <c r="J11" s="261"/>
      <c r="K11" s="261"/>
      <c r="L11" s="261"/>
      <c r="M11" s="261"/>
      <c r="N11" s="261"/>
      <c r="P11" s="18">
        <v>6650</v>
      </c>
      <c r="Q11" s="136">
        <v>33</v>
      </c>
      <c r="R11" s="19">
        <f t="shared" si="0"/>
        <v>10.5</v>
      </c>
      <c r="S11">
        <v>0.98880634675670087</v>
      </c>
      <c r="T11" s="140">
        <f t="shared" si="1"/>
        <v>11.4888063467567</v>
      </c>
      <c r="V11" s="18">
        <v>8861</v>
      </c>
      <c r="W11" s="133">
        <v>6</v>
      </c>
    </row>
    <row r="12" spans="1:23" x14ac:dyDescent="0.3">
      <c r="A12" s="18">
        <v>6652</v>
      </c>
      <c r="B12" s="18">
        <v>18</v>
      </c>
      <c r="C12" s="18" t="s">
        <v>77</v>
      </c>
      <c r="D12" s="18" t="s">
        <v>80</v>
      </c>
      <c r="E12" s="18" t="s">
        <v>82</v>
      </c>
      <c r="F12" s="18">
        <v>0</v>
      </c>
      <c r="G12" s="18"/>
      <c r="I12" s="261"/>
      <c r="J12" s="261"/>
      <c r="K12" s="261"/>
      <c r="L12" s="261"/>
      <c r="M12" s="261"/>
      <c r="N12" s="261"/>
      <c r="P12" s="18">
        <v>6652</v>
      </c>
      <c r="Q12" s="136">
        <v>74</v>
      </c>
      <c r="R12" s="19">
        <f t="shared" si="0"/>
        <v>15.5</v>
      </c>
      <c r="S12">
        <v>0.38279126049522305</v>
      </c>
      <c r="T12" s="140">
        <f t="shared" si="1"/>
        <v>15.882791260495223</v>
      </c>
      <c r="V12" s="18">
        <v>7381</v>
      </c>
      <c r="W12" s="133">
        <v>6.1</v>
      </c>
    </row>
    <row r="13" spans="1:23" x14ac:dyDescent="0.3">
      <c r="A13" s="18">
        <v>6655</v>
      </c>
      <c r="B13" s="18">
        <v>18</v>
      </c>
      <c r="C13" s="18" t="s">
        <v>83</v>
      </c>
      <c r="D13" s="18" t="s">
        <v>78</v>
      </c>
      <c r="E13" s="18" t="s">
        <v>79</v>
      </c>
      <c r="F13" s="18">
        <v>9999</v>
      </c>
      <c r="G13" s="18"/>
      <c r="P13" s="18">
        <v>6655</v>
      </c>
      <c r="Q13" s="136">
        <v>8</v>
      </c>
      <c r="R13" s="19">
        <f t="shared" si="0"/>
        <v>7.5</v>
      </c>
      <c r="S13">
        <v>0.15078048127214327</v>
      </c>
      <c r="T13" s="140">
        <f t="shared" si="1"/>
        <v>7.6507804812721432</v>
      </c>
      <c r="V13" s="18">
        <v>6786</v>
      </c>
      <c r="W13" s="133">
        <v>6.2</v>
      </c>
    </row>
    <row r="14" spans="1:23" x14ac:dyDescent="0.3">
      <c r="A14" s="18">
        <v>6785</v>
      </c>
      <c r="B14" s="18">
        <v>18</v>
      </c>
      <c r="C14" s="18" t="s">
        <v>77</v>
      </c>
      <c r="D14" s="18" t="s">
        <v>80</v>
      </c>
      <c r="E14" s="18" t="s">
        <v>81</v>
      </c>
      <c r="F14" s="18">
        <v>1</v>
      </c>
      <c r="G14" s="18"/>
      <c r="I14" s="257" t="s">
        <v>90</v>
      </c>
      <c r="J14" s="257"/>
      <c r="K14" s="257"/>
      <c r="L14" s="257"/>
      <c r="M14" s="257"/>
      <c r="N14" s="257"/>
      <c r="P14" s="18">
        <v>6785</v>
      </c>
      <c r="Q14" s="136">
        <v>62</v>
      </c>
      <c r="R14" s="19">
        <f t="shared" si="0"/>
        <v>14.5</v>
      </c>
      <c r="S14">
        <v>0.85444201632550332</v>
      </c>
      <c r="T14" s="140">
        <f t="shared" si="1"/>
        <v>15.354442016325503</v>
      </c>
      <c r="V14" s="18">
        <v>6806</v>
      </c>
      <c r="W14" s="133">
        <v>6.3</v>
      </c>
    </row>
    <row r="15" spans="1:23" x14ac:dyDescent="0.3">
      <c r="A15" s="18">
        <v>6786</v>
      </c>
      <c r="B15" s="18">
        <v>18</v>
      </c>
      <c r="C15" s="18" t="s">
        <v>77</v>
      </c>
      <c r="D15" s="18" t="s">
        <v>78</v>
      </c>
      <c r="E15" s="18" t="s">
        <v>81</v>
      </c>
      <c r="F15" s="18">
        <v>11</v>
      </c>
      <c r="G15" s="18">
        <v>6.2</v>
      </c>
      <c r="I15" s="257"/>
      <c r="J15" s="257"/>
      <c r="K15" s="257"/>
      <c r="L15" s="257"/>
      <c r="M15" s="257"/>
      <c r="N15" s="257"/>
      <c r="P15" s="18">
        <v>6788</v>
      </c>
      <c r="Q15" s="136">
        <v>73</v>
      </c>
      <c r="R15" s="19">
        <f t="shared" si="0"/>
        <v>15.5</v>
      </c>
      <c r="S15">
        <v>2.1102573586433415E-3</v>
      </c>
      <c r="T15" s="140">
        <f t="shared" si="1"/>
        <v>15.502110257358643</v>
      </c>
      <c r="V15" s="18">
        <v>9756</v>
      </c>
      <c r="W15" s="133">
        <v>6.5</v>
      </c>
    </row>
    <row r="16" spans="1:23" x14ac:dyDescent="0.3">
      <c r="A16" s="18">
        <v>6788</v>
      </c>
      <c r="B16" s="18">
        <v>18</v>
      </c>
      <c r="C16" s="18" t="s">
        <v>77</v>
      </c>
      <c r="D16" s="18" t="s">
        <v>78</v>
      </c>
      <c r="E16" s="18" t="s">
        <v>81</v>
      </c>
      <c r="F16" s="18">
        <v>1</v>
      </c>
      <c r="G16" s="18"/>
      <c r="P16" s="18">
        <v>6807</v>
      </c>
      <c r="Q16" s="136">
        <v>31</v>
      </c>
      <c r="R16" s="19">
        <f t="shared" si="0"/>
        <v>10.5</v>
      </c>
      <c r="S16">
        <v>0.93557428540279974</v>
      </c>
      <c r="T16" s="140">
        <f t="shared" si="1"/>
        <v>11.435574285402799</v>
      </c>
      <c r="V16" s="18">
        <v>8023</v>
      </c>
      <c r="W16" s="133">
        <v>7.2</v>
      </c>
    </row>
    <row r="17" spans="1:31" ht="14.4" customHeight="1" x14ac:dyDescent="0.3">
      <c r="A17" s="18">
        <v>6805</v>
      </c>
      <c r="B17" s="18">
        <v>18</v>
      </c>
      <c r="C17" s="18" t="s">
        <v>77</v>
      </c>
      <c r="D17" s="18" t="s">
        <v>78</v>
      </c>
      <c r="E17" s="18" t="s">
        <v>81</v>
      </c>
      <c r="F17" s="18">
        <v>2</v>
      </c>
      <c r="G17" s="18">
        <v>16.399999999999999</v>
      </c>
      <c r="I17" s="257" t="s">
        <v>91</v>
      </c>
      <c r="J17" s="257"/>
      <c r="K17" s="257"/>
      <c r="L17" s="257"/>
      <c r="M17" s="257"/>
      <c r="N17" s="257"/>
      <c r="P17" s="18">
        <v>6817</v>
      </c>
      <c r="Q17" s="136">
        <v>12</v>
      </c>
      <c r="R17" s="19">
        <f t="shared" si="0"/>
        <v>8.5</v>
      </c>
      <c r="S17">
        <v>0.97747100449316171</v>
      </c>
      <c r="T17" s="140">
        <f t="shared" si="1"/>
        <v>9.4774710044931609</v>
      </c>
      <c r="V17" s="18">
        <v>7117</v>
      </c>
      <c r="W17" s="133">
        <v>7.4</v>
      </c>
    </row>
    <row r="18" spans="1:31" x14ac:dyDescent="0.3">
      <c r="A18" s="18">
        <v>6806</v>
      </c>
      <c r="B18" s="18">
        <v>18</v>
      </c>
      <c r="C18" s="18" t="s">
        <v>77</v>
      </c>
      <c r="D18" s="18" t="s">
        <v>78</v>
      </c>
      <c r="E18" s="18" t="s">
        <v>81</v>
      </c>
      <c r="F18" s="18">
        <v>11</v>
      </c>
      <c r="G18" s="18">
        <v>6.3</v>
      </c>
      <c r="I18" s="257"/>
      <c r="J18" s="257"/>
      <c r="K18" s="257"/>
      <c r="L18" s="257"/>
      <c r="M18" s="257"/>
      <c r="N18" s="257"/>
      <c r="P18" s="18">
        <v>6819</v>
      </c>
      <c r="Q18" s="136">
        <v>27</v>
      </c>
      <c r="R18" s="19">
        <f t="shared" si="0"/>
        <v>9.5</v>
      </c>
      <c r="S18">
        <v>0.37844947527119832</v>
      </c>
      <c r="T18" s="140">
        <f t="shared" si="1"/>
        <v>9.8784494752711982</v>
      </c>
      <c r="V18" s="18">
        <v>10533</v>
      </c>
      <c r="W18" s="133">
        <v>7.7</v>
      </c>
    </row>
    <row r="19" spans="1:31" ht="15" thickBot="1" x14ac:dyDescent="0.35">
      <c r="A19" s="18">
        <v>6807</v>
      </c>
      <c r="B19" s="18">
        <v>18</v>
      </c>
      <c r="C19" s="18" t="s">
        <v>77</v>
      </c>
      <c r="D19" s="18" t="s">
        <v>84</v>
      </c>
      <c r="E19" s="18" t="s">
        <v>81</v>
      </c>
      <c r="F19" s="18">
        <v>1</v>
      </c>
      <c r="G19" s="18"/>
      <c r="I19" s="257"/>
      <c r="J19" s="257"/>
      <c r="K19" s="257"/>
      <c r="L19" s="257"/>
      <c r="M19" s="257"/>
      <c r="N19" s="257"/>
      <c r="P19" s="18">
        <v>6821</v>
      </c>
      <c r="Q19" s="136">
        <v>82</v>
      </c>
      <c r="R19" s="19">
        <f t="shared" si="0"/>
        <v>16.5</v>
      </c>
      <c r="S19">
        <v>0.18266062190830801</v>
      </c>
      <c r="T19" s="140">
        <f t="shared" si="1"/>
        <v>16.682660621908308</v>
      </c>
      <c r="V19" s="18">
        <v>7234</v>
      </c>
      <c r="W19" s="133">
        <v>7.8</v>
      </c>
    </row>
    <row r="20" spans="1:31" x14ac:dyDescent="0.3">
      <c r="A20" s="18">
        <v>6817</v>
      </c>
      <c r="B20" s="18">
        <v>18</v>
      </c>
      <c r="C20" s="18" t="s">
        <v>77</v>
      </c>
      <c r="D20" s="18" t="s">
        <v>78</v>
      </c>
      <c r="E20" s="18" t="s">
        <v>79</v>
      </c>
      <c r="F20" s="18">
        <v>1</v>
      </c>
      <c r="G20" s="18"/>
      <c r="P20" s="18">
        <v>6823</v>
      </c>
      <c r="Q20" s="136">
        <v>67</v>
      </c>
      <c r="R20" s="19">
        <f t="shared" si="0"/>
        <v>14.5</v>
      </c>
      <c r="S20">
        <v>0.65626222269551149</v>
      </c>
      <c r="T20" s="140">
        <f t="shared" si="1"/>
        <v>15.156262222695512</v>
      </c>
      <c r="V20" s="18">
        <v>10700</v>
      </c>
      <c r="W20" s="133">
        <v>7.9</v>
      </c>
      <c r="Y20" t="s">
        <v>110</v>
      </c>
      <c r="Z20" t="s">
        <v>109</v>
      </c>
      <c r="AA20" s="123" t="s">
        <v>100</v>
      </c>
      <c r="AB20" s="123" t="s">
        <v>102</v>
      </c>
      <c r="AC20" s="123" t="s">
        <v>103</v>
      </c>
    </row>
    <row r="21" spans="1:31" x14ac:dyDescent="0.3">
      <c r="A21" s="18">
        <v>6818</v>
      </c>
      <c r="B21" s="18">
        <v>18</v>
      </c>
      <c r="C21" s="18" t="s">
        <v>77</v>
      </c>
      <c r="D21" s="18" t="s">
        <v>78</v>
      </c>
      <c r="E21" s="18" t="s">
        <v>81</v>
      </c>
      <c r="F21" s="18">
        <v>4</v>
      </c>
      <c r="G21" s="18">
        <v>14.6</v>
      </c>
      <c r="P21" s="18">
        <v>6827</v>
      </c>
      <c r="Q21" s="136">
        <v>23</v>
      </c>
      <c r="R21" s="19">
        <f t="shared" si="0"/>
        <v>9.5</v>
      </c>
      <c r="S21">
        <v>0.13773724313553171</v>
      </c>
      <c r="T21" s="140">
        <f t="shared" si="1"/>
        <v>9.6377372431355326</v>
      </c>
      <c r="V21" s="38">
        <v>9920</v>
      </c>
      <c r="W21" s="75">
        <v>8</v>
      </c>
      <c r="Y21" s="134">
        <v>7.5</v>
      </c>
      <c r="Z21" s="134">
        <f>Y21+1</f>
        <v>8.5</v>
      </c>
      <c r="AA21" s="16">
        <v>8.5</v>
      </c>
      <c r="AB21" s="135">
        <v>6</v>
      </c>
      <c r="AC21" s="124">
        <v>4.8000000000000001E-2</v>
      </c>
      <c r="AD21">
        <f>AB21/SUM($AB$21:$AB$37)</f>
        <v>4.8000000000000001E-2</v>
      </c>
      <c r="AE21">
        <f>SUM($AD$21:AD21)*100</f>
        <v>4.8</v>
      </c>
    </row>
    <row r="22" spans="1:31" x14ac:dyDescent="0.3">
      <c r="A22" s="18">
        <v>6819</v>
      </c>
      <c r="B22" s="18">
        <v>18</v>
      </c>
      <c r="C22" s="18" t="s">
        <v>83</v>
      </c>
      <c r="D22" s="18" t="s">
        <v>78</v>
      </c>
      <c r="E22" s="18" t="s">
        <v>81</v>
      </c>
      <c r="F22" s="18">
        <v>9999</v>
      </c>
      <c r="G22" s="18"/>
      <c r="P22" s="18">
        <v>6830</v>
      </c>
      <c r="Q22" s="136">
        <v>81</v>
      </c>
      <c r="R22" s="19">
        <f t="shared" si="0"/>
        <v>16.5</v>
      </c>
      <c r="S22">
        <v>0.17531020508609874</v>
      </c>
      <c r="T22" s="140">
        <f t="shared" si="1"/>
        <v>16.675310205086099</v>
      </c>
      <c r="V22" s="38">
        <v>8724</v>
      </c>
      <c r="W22" s="75">
        <v>8.1</v>
      </c>
      <c r="Y22">
        <f>Y21+1</f>
        <v>8.5</v>
      </c>
      <c r="Z22">
        <f t="shared" ref="Z22:Z37" si="2">Y22+1</f>
        <v>9.5</v>
      </c>
      <c r="AA22" s="16">
        <v>9.5</v>
      </c>
      <c r="AB22" s="17">
        <v>8</v>
      </c>
      <c r="AC22" s="124">
        <v>0.112</v>
      </c>
      <c r="AD22">
        <f t="shared" ref="AD22:AD38" si="3">AB22/SUM($AB$21:$AB$37)</f>
        <v>6.4000000000000001E-2</v>
      </c>
      <c r="AE22">
        <f>SUM($AD$21:AD22)*100</f>
        <v>11.200000000000001</v>
      </c>
    </row>
    <row r="23" spans="1:31" x14ac:dyDescent="0.3">
      <c r="A23" s="18">
        <v>6821</v>
      </c>
      <c r="B23" s="18">
        <v>18</v>
      </c>
      <c r="C23" s="18" t="s">
        <v>77</v>
      </c>
      <c r="D23" s="18" t="s">
        <v>85</v>
      </c>
      <c r="E23" s="18" t="s">
        <v>81</v>
      </c>
      <c r="F23" s="18">
        <v>0</v>
      </c>
      <c r="G23" s="18"/>
      <c r="P23" s="18">
        <v>6839</v>
      </c>
      <c r="Q23" s="136">
        <v>67</v>
      </c>
      <c r="R23" s="19">
        <f t="shared" si="0"/>
        <v>14.5</v>
      </c>
      <c r="S23">
        <v>0.46567301806341876</v>
      </c>
      <c r="T23" s="140">
        <f t="shared" si="1"/>
        <v>14.965673018063418</v>
      </c>
      <c r="V23" s="38">
        <v>8718</v>
      </c>
      <c r="W23" s="75">
        <v>8.1999999999999993</v>
      </c>
      <c r="Y23">
        <f t="shared" ref="Y23:Y37" si="4">Y22+1</f>
        <v>9.5</v>
      </c>
      <c r="Z23">
        <f t="shared" si="2"/>
        <v>10.5</v>
      </c>
      <c r="AA23" s="16">
        <v>10.5</v>
      </c>
      <c r="AB23" s="17">
        <v>14</v>
      </c>
      <c r="AC23" s="124">
        <v>0.224</v>
      </c>
      <c r="AD23">
        <f t="shared" si="3"/>
        <v>0.112</v>
      </c>
      <c r="AE23">
        <f>SUM($AD$21:AD23)*100</f>
        <v>22.400000000000002</v>
      </c>
    </row>
    <row r="24" spans="1:31" x14ac:dyDescent="0.3">
      <c r="A24" s="18">
        <v>6822</v>
      </c>
      <c r="B24" s="18">
        <v>18</v>
      </c>
      <c r="C24" s="18" t="s">
        <v>77</v>
      </c>
      <c r="D24" s="18" t="s">
        <v>78</v>
      </c>
      <c r="E24" s="18" t="s">
        <v>81</v>
      </c>
      <c r="F24" s="18">
        <v>8</v>
      </c>
      <c r="G24" s="18">
        <v>11.9</v>
      </c>
      <c r="P24" s="18">
        <v>6845</v>
      </c>
      <c r="Q24" s="136">
        <v>40</v>
      </c>
      <c r="R24" s="19">
        <f t="shared" si="0"/>
        <v>11.5</v>
      </c>
      <c r="S24">
        <v>0.34196634451433228</v>
      </c>
      <c r="T24" s="140">
        <f t="shared" si="1"/>
        <v>11.841966344514333</v>
      </c>
      <c r="V24" s="38">
        <v>8732</v>
      </c>
      <c r="W24" s="75">
        <v>8.4</v>
      </c>
      <c r="Y24">
        <f t="shared" si="4"/>
        <v>10.5</v>
      </c>
      <c r="Z24">
        <f t="shared" si="2"/>
        <v>11.5</v>
      </c>
      <c r="AA24" s="16">
        <v>11.5</v>
      </c>
      <c r="AB24" s="17">
        <v>8</v>
      </c>
      <c r="AC24" s="124">
        <v>0.28799999999999998</v>
      </c>
      <c r="AD24">
        <f t="shared" si="3"/>
        <v>6.4000000000000001E-2</v>
      </c>
      <c r="AE24">
        <f>SUM($AD$21:AD24)*100</f>
        <v>28.800000000000004</v>
      </c>
    </row>
    <row r="25" spans="1:31" x14ac:dyDescent="0.3">
      <c r="A25" s="18">
        <v>6823</v>
      </c>
      <c r="B25" s="18">
        <v>18</v>
      </c>
      <c r="C25" s="18" t="s">
        <v>77</v>
      </c>
      <c r="D25" s="18" t="s">
        <v>78</v>
      </c>
      <c r="E25" s="18" t="s">
        <v>81</v>
      </c>
      <c r="F25" s="18">
        <v>1</v>
      </c>
      <c r="G25" s="18"/>
      <c r="P25" s="18">
        <v>6904</v>
      </c>
      <c r="Q25" s="136">
        <v>14</v>
      </c>
      <c r="R25" s="19">
        <f t="shared" si="0"/>
        <v>8.5</v>
      </c>
      <c r="S25">
        <v>3.8207665141395508E-2</v>
      </c>
      <c r="T25" s="140">
        <f t="shared" si="1"/>
        <v>8.5382076651413961</v>
      </c>
      <c r="V25" s="38">
        <v>7742</v>
      </c>
      <c r="W25" s="75">
        <v>8.5</v>
      </c>
      <c r="Y25">
        <f t="shared" si="4"/>
        <v>11.5</v>
      </c>
      <c r="Z25">
        <f t="shared" si="2"/>
        <v>12.5</v>
      </c>
      <c r="AA25" s="16">
        <v>12.5</v>
      </c>
      <c r="AB25" s="17">
        <v>11</v>
      </c>
      <c r="AC25" s="124">
        <v>0.376</v>
      </c>
      <c r="AD25">
        <f t="shared" si="3"/>
        <v>8.7999999999999995E-2</v>
      </c>
      <c r="AE25">
        <f>SUM($AD$21:AD25)*100</f>
        <v>37.6</v>
      </c>
    </row>
    <row r="26" spans="1:31" x14ac:dyDescent="0.3">
      <c r="A26" s="18">
        <v>6827</v>
      </c>
      <c r="B26" s="18">
        <v>18</v>
      </c>
      <c r="C26" s="18" t="s">
        <v>83</v>
      </c>
      <c r="D26" s="18" t="s">
        <v>78</v>
      </c>
      <c r="E26" s="18" t="s">
        <v>81</v>
      </c>
      <c r="F26" s="18">
        <v>9999</v>
      </c>
      <c r="G26" s="18"/>
      <c r="P26" s="18">
        <v>6924</v>
      </c>
      <c r="Q26" s="136">
        <v>79</v>
      </c>
      <c r="R26" s="19">
        <f t="shared" si="0"/>
        <v>16.5</v>
      </c>
      <c r="S26">
        <v>0.19591644888303739</v>
      </c>
      <c r="T26" s="140">
        <f t="shared" si="1"/>
        <v>16.695916448883036</v>
      </c>
      <c r="V26" s="38">
        <v>9728</v>
      </c>
      <c r="W26" s="75">
        <v>8.5</v>
      </c>
      <c r="Y26">
        <f t="shared" si="4"/>
        <v>12.5</v>
      </c>
      <c r="Z26">
        <f t="shared" si="2"/>
        <v>13.5</v>
      </c>
      <c r="AA26" s="16">
        <v>13.5</v>
      </c>
      <c r="AB26" s="17">
        <v>8</v>
      </c>
      <c r="AC26" s="124">
        <v>0.44</v>
      </c>
      <c r="AD26">
        <f t="shared" si="3"/>
        <v>6.4000000000000001E-2</v>
      </c>
      <c r="AE26">
        <f>SUM($AD$21:AD26)*100</f>
        <v>44</v>
      </c>
    </row>
    <row r="27" spans="1:31" x14ac:dyDescent="0.3">
      <c r="A27" s="18">
        <v>6830</v>
      </c>
      <c r="B27" s="18">
        <v>18</v>
      </c>
      <c r="C27" s="18" t="s">
        <v>77</v>
      </c>
      <c r="D27" s="18" t="s">
        <v>85</v>
      </c>
      <c r="E27" s="18" t="s">
        <v>81</v>
      </c>
      <c r="F27" s="18">
        <v>0</v>
      </c>
      <c r="G27" s="18"/>
      <c r="P27" s="18">
        <v>6997</v>
      </c>
      <c r="Q27" s="136">
        <v>65</v>
      </c>
      <c r="R27" s="19">
        <f t="shared" si="0"/>
        <v>14.5</v>
      </c>
      <c r="S27">
        <v>0.41809402675147933</v>
      </c>
      <c r="T27" s="140">
        <f t="shared" si="1"/>
        <v>14.918094026751479</v>
      </c>
      <c r="V27" s="38">
        <v>10045</v>
      </c>
      <c r="W27" s="38">
        <v>8.6999999999999993</v>
      </c>
      <c r="Y27">
        <f t="shared" si="4"/>
        <v>13.5</v>
      </c>
      <c r="Z27">
        <f t="shared" si="2"/>
        <v>14.5</v>
      </c>
      <c r="AA27" s="16">
        <v>14.5</v>
      </c>
      <c r="AB27" s="17">
        <v>11</v>
      </c>
      <c r="AC27" s="124">
        <v>0.52800000000000002</v>
      </c>
      <c r="AD27">
        <f t="shared" si="3"/>
        <v>8.7999999999999995E-2</v>
      </c>
      <c r="AE27">
        <f>SUM($AD$21:AD27)*100</f>
        <v>52.800000000000004</v>
      </c>
    </row>
    <row r="28" spans="1:31" x14ac:dyDescent="0.3">
      <c r="A28" s="18">
        <v>6839</v>
      </c>
      <c r="B28" s="18">
        <v>18</v>
      </c>
      <c r="C28" s="18" t="s">
        <v>77</v>
      </c>
      <c r="D28" s="18" t="s">
        <v>85</v>
      </c>
      <c r="E28" s="18" t="s">
        <v>81</v>
      </c>
      <c r="F28" s="18">
        <v>0</v>
      </c>
      <c r="G28" s="18"/>
      <c r="P28" s="18">
        <v>6998</v>
      </c>
      <c r="Q28" s="136">
        <v>52</v>
      </c>
      <c r="R28" s="19">
        <f t="shared" si="0"/>
        <v>12.5</v>
      </c>
      <c r="S28">
        <v>0.87042167388524183</v>
      </c>
      <c r="T28" s="140">
        <f t="shared" si="1"/>
        <v>13.370421673885241</v>
      </c>
      <c r="V28" s="38">
        <v>9172</v>
      </c>
      <c r="W28" s="38">
        <v>8.9</v>
      </c>
      <c r="Y28">
        <f t="shared" si="4"/>
        <v>14.5</v>
      </c>
      <c r="Z28">
        <f t="shared" si="2"/>
        <v>15.5</v>
      </c>
      <c r="AA28" s="16">
        <v>15.5</v>
      </c>
      <c r="AB28" s="17">
        <v>9</v>
      </c>
      <c r="AC28" s="124">
        <v>0.6</v>
      </c>
      <c r="AD28">
        <f t="shared" si="3"/>
        <v>7.1999999999999995E-2</v>
      </c>
      <c r="AE28">
        <f>SUM($AD$21:AD28)*100</f>
        <v>60</v>
      </c>
    </row>
    <row r="29" spans="1:31" x14ac:dyDescent="0.3">
      <c r="A29" s="18">
        <v>6845</v>
      </c>
      <c r="B29" s="18">
        <v>18</v>
      </c>
      <c r="C29" s="18" t="s">
        <v>77</v>
      </c>
      <c r="D29" s="18" t="s">
        <v>84</v>
      </c>
      <c r="E29" s="18" t="s">
        <v>81</v>
      </c>
      <c r="F29" s="18">
        <v>0</v>
      </c>
      <c r="G29" s="18"/>
      <c r="P29" s="18">
        <v>7001</v>
      </c>
      <c r="Q29" s="136">
        <v>35</v>
      </c>
      <c r="R29" s="19">
        <f t="shared" si="0"/>
        <v>10.5</v>
      </c>
      <c r="S29">
        <v>0.58558424490987848</v>
      </c>
      <c r="T29" s="140">
        <f t="shared" si="1"/>
        <v>11.085584244909878</v>
      </c>
      <c r="V29" s="38">
        <v>8394</v>
      </c>
      <c r="W29" s="38">
        <v>9</v>
      </c>
      <c r="Y29">
        <f t="shared" si="4"/>
        <v>15.5</v>
      </c>
      <c r="Z29">
        <f t="shared" si="2"/>
        <v>16.5</v>
      </c>
      <c r="AA29" s="16">
        <v>16.5</v>
      </c>
      <c r="AB29" s="17">
        <v>11</v>
      </c>
      <c r="AC29" s="124">
        <v>0.68799999999999994</v>
      </c>
      <c r="AD29">
        <f t="shared" si="3"/>
        <v>8.7999999999999995E-2</v>
      </c>
      <c r="AE29">
        <f>SUM($AD$21:AD29)*100</f>
        <v>68.8</v>
      </c>
    </row>
    <row r="30" spans="1:31" x14ac:dyDescent="0.3">
      <c r="A30" s="18">
        <v>6904</v>
      </c>
      <c r="B30" s="18">
        <v>18</v>
      </c>
      <c r="C30" s="18" t="s">
        <v>77</v>
      </c>
      <c r="D30" s="18" t="s">
        <v>78</v>
      </c>
      <c r="E30" s="18" t="s">
        <v>79</v>
      </c>
      <c r="F30" s="18">
        <v>6</v>
      </c>
      <c r="G30" s="18"/>
      <c r="P30" s="18">
        <v>7002</v>
      </c>
      <c r="Q30" s="136">
        <v>85</v>
      </c>
      <c r="R30" s="19">
        <f t="shared" si="0"/>
        <v>17.5</v>
      </c>
      <c r="S30">
        <v>0.57613645749708042</v>
      </c>
      <c r="T30" s="140">
        <f t="shared" si="1"/>
        <v>18.076136457497082</v>
      </c>
      <c r="V30" s="38">
        <v>9418</v>
      </c>
      <c r="W30" s="38">
        <v>9</v>
      </c>
      <c r="Y30">
        <f t="shared" si="4"/>
        <v>16.5</v>
      </c>
      <c r="Z30">
        <f t="shared" si="2"/>
        <v>17.5</v>
      </c>
      <c r="AA30" s="16">
        <v>17.5</v>
      </c>
      <c r="AB30" s="17">
        <v>12</v>
      </c>
      <c r="AC30" s="124">
        <v>0.78400000000000003</v>
      </c>
      <c r="AD30">
        <f t="shared" si="3"/>
        <v>9.6000000000000002E-2</v>
      </c>
      <c r="AE30">
        <f>SUM($AD$21:AD30)*100</f>
        <v>78.399999999999991</v>
      </c>
    </row>
    <row r="31" spans="1:31" x14ac:dyDescent="0.3">
      <c r="A31" s="18">
        <v>6924</v>
      </c>
      <c r="B31" s="18">
        <v>18</v>
      </c>
      <c r="C31" s="18" t="s">
        <v>77</v>
      </c>
      <c r="D31" s="18" t="s">
        <v>84</v>
      </c>
      <c r="E31" s="18" t="s">
        <v>82</v>
      </c>
      <c r="F31" s="18">
        <v>0</v>
      </c>
      <c r="G31" s="18"/>
      <c r="P31" s="18">
        <v>7011</v>
      </c>
      <c r="Q31" s="136">
        <v>20</v>
      </c>
      <c r="R31" s="19">
        <f t="shared" si="0"/>
        <v>8.5</v>
      </c>
      <c r="S31">
        <v>0.27583747649712242</v>
      </c>
      <c r="T31" s="140">
        <f t="shared" si="1"/>
        <v>8.7758374764971219</v>
      </c>
      <c r="V31" s="38">
        <v>7488</v>
      </c>
      <c r="W31" s="38">
        <v>9.1</v>
      </c>
      <c r="Y31">
        <f t="shared" si="4"/>
        <v>17.5</v>
      </c>
      <c r="Z31">
        <f t="shared" si="2"/>
        <v>18.5</v>
      </c>
      <c r="AA31" s="16">
        <v>18.5</v>
      </c>
      <c r="AB31" s="17">
        <v>8</v>
      </c>
      <c r="AC31" s="124">
        <v>0.84799999999999998</v>
      </c>
      <c r="AD31">
        <f t="shared" si="3"/>
        <v>6.4000000000000001E-2</v>
      </c>
      <c r="AE31">
        <f>SUM($AD$21:AD31)*100</f>
        <v>84.799999999999983</v>
      </c>
    </row>
    <row r="32" spans="1:31" x14ac:dyDescent="0.3">
      <c r="A32" s="18">
        <v>6997</v>
      </c>
      <c r="B32" s="18">
        <v>18</v>
      </c>
      <c r="C32" s="18" t="s">
        <v>83</v>
      </c>
      <c r="D32" s="18" t="s">
        <v>78</v>
      </c>
      <c r="E32" s="18" t="s">
        <v>79</v>
      </c>
      <c r="F32" s="18">
        <v>9999</v>
      </c>
      <c r="G32" s="18"/>
      <c r="P32" s="18">
        <v>7014</v>
      </c>
      <c r="Q32" s="136">
        <v>38</v>
      </c>
      <c r="R32" s="19">
        <f t="shared" si="0"/>
        <v>11.5</v>
      </c>
      <c r="S32">
        <v>1.8996474917926442E-2</v>
      </c>
      <c r="T32" s="140">
        <f t="shared" si="1"/>
        <v>11.518996474917927</v>
      </c>
      <c r="V32" s="38">
        <v>8177</v>
      </c>
      <c r="W32" s="38">
        <v>9.3000000000000007</v>
      </c>
      <c r="Y32">
        <f t="shared" si="4"/>
        <v>18.5</v>
      </c>
      <c r="Z32">
        <f t="shared" si="2"/>
        <v>19.5</v>
      </c>
      <c r="AA32" s="16">
        <v>19.5</v>
      </c>
      <c r="AB32" s="17">
        <v>5</v>
      </c>
      <c r="AC32" s="124">
        <v>0.88800000000000001</v>
      </c>
      <c r="AD32">
        <f t="shared" si="3"/>
        <v>0.04</v>
      </c>
      <c r="AE32">
        <f>SUM($AD$21:AD32)*100</f>
        <v>88.799999999999983</v>
      </c>
    </row>
    <row r="33" spans="1:31" x14ac:dyDescent="0.3">
      <c r="A33" s="18">
        <v>6998</v>
      </c>
      <c r="B33" s="18">
        <v>18</v>
      </c>
      <c r="C33" s="18" t="s">
        <v>83</v>
      </c>
      <c r="D33" s="18" t="s">
        <v>78</v>
      </c>
      <c r="E33" s="18" t="s">
        <v>81</v>
      </c>
      <c r="F33" s="18">
        <v>9999</v>
      </c>
      <c r="G33" s="18"/>
      <c r="P33" s="18">
        <v>7019</v>
      </c>
      <c r="Q33" s="136">
        <v>9</v>
      </c>
      <c r="R33" s="19">
        <f t="shared" si="0"/>
        <v>7.5</v>
      </c>
      <c r="S33">
        <v>0.59895224320455265</v>
      </c>
      <c r="T33" s="140">
        <f t="shared" si="1"/>
        <v>8.0989522432045522</v>
      </c>
      <c r="V33" s="38">
        <v>7489</v>
      </c>
      <c r="W33" s="38">
        <v>9.4</v>
      </c>
      <c r="Y33">
        <f t="shared" si="4"/>
        <v>19.5</v>
      </c>
      <c r="Z33">
        <f t="shared" si="2"/>
        <v>20.5</v>
      </c>
      <c r="AA33" s="16">
        <v>20.5</v>
      </c>
      <c r="AB33" s="17">
        <v>5</v>
      </c>
      <c r="AC33" s="124">
        <v>0.92800000000000005</v>
      </c>
      <c r="AD33">
        <f t="shared" si="3"/>
        <v>0.04</v>
      </c>
      <c r="AE33">
        <f>SUM($AD$21:AD33)*100</f>
        <v>92.8</v>
      </c>
    </row>
    <row r="34" spans="1:31" x14ac:dyDescent="0.3">
      <c r="A34" s="18">
        <v>7001</v>
      </c>
      <c r="B34" s="18">
        <v>18</v>
      </c>
      <c r="C34" s="18" t="s">
        <v>77</v>
      </c>
      <c r="D34" s="18" t="s">
        <v>78</v>
      </c>
      <c r="E34" s="18" t="s">
        <v>82</v>
      </c>
      <c r="F34" s="18">
        <v>0</v>
      </c>
      <c r="G34" s="18"/>
      <c r="P34" s="18">
        <v>7020</v>
      </c>
      <c r="Q34" s="136">
        <v>52</v>
      </c>
      <c r="R34" s="19">
        <f t="shared" si="0"/>
        <v>12.5</v>
      </c>
      <c r="S34">
        <v>0.22823341343312198</v>
      </c>
      <c r="T34" s="140">
        <f t="shared" si="1"/>
        <v>12.728233413433122</v>
      </c>
      <c r="V34" s="38">
        <v>7714</v>
      </c>
      <c r="W34" s="38">
        <v>9.5</v>
      </c>
      <c r="Y34">
        <f t="shared" si="4"/>
        <v>20.5</v>
      </c>
      <c r="Z34">
        <f t="shared" si="2"/>
        <v>21.5</v>
      </c>
      <c r="AA34" s="16">
        <v>21.5</v>
      </c>
      <c r="AB34" s="17">
        <v>3</v>
      </c>
      <c r="AC34" s="124">
        <v>0.95199999999999996</v>
      </c>
      <c r="AD34">
        <f t="shared" si="3"/>
        <v>2.4E-2</v>
      </c>
      <c r="AE34">
        <f>SUM($AD$21:AD34)*100</f>
        <v>95.199999999999989</v>
      </c>
    </row>
    <row r="35" spans="1:31" x14ac:dyDescent="0.3">
      <c r="A35" s="18">
        <v>7002</v>
      </c>
      <c r="B35" s="18">
        <v>18</v>
      </c>
      <c r="C35" s="18" t="s">
        <v>83</v>
      </c>
      <c r="D35" s="18" t="s">
        <v>78</v>
      </c>
      <c r="E35" s="18" t="s">
        <v>79</v>
      </c>
      <c r="F35" s="18">
        <v>9999</v>
      </c>
      <c r="G35" s="18"/>
      <c r="P35" s="18">
        <v>7027</v>
      </c>
      <c r="Q35" s="136">
        <v>22</v>
      </c>
      <c r="R35" s="19">
        <f t="shared" si="0"/>
        <v>8.5</v>
      </c>
      <c r="S35">
        <v>0.60592799132716779</v>
      </c>
      <c r="T35" s="140">
        <f t="shared" si="1"/>
        <v>9.1059279913271673</v>
      </c>
      <c r="V35" s="38">
        <v>7104</v>
      </c>
      <c r="W35" s="38">
        <v>9.6</v>
      </c>
      <c r="Y35">
        <f t="shared" si="4"/>
        <v>21.5</v>
      </c>
      <c r="Z35">
        <f t="shared" si="2"/>
        <v>22.5</v>
      </c>
      <c r="AA35" s="16">
        <v>22.5</v>
      </c>
      <c r="AB35" s="17">
        <v>1</v>
      </c>
      <c r="AC35" s="124">
        <v>0.96</v>
      </c>
      <c r="AD35">
        <f t="shared" si="3"/>
        <v>8.0000000000000002E-3</v>
      </c>
      <c r="AE35">
        <f>SUM($AD$21:AD35)*100</f>
        <v>96</v>
      </c>
    </row>
    <row r="36" spans="1:31" x14ac:dyDescent="0.3">
      <c r="A36" s="18">
        <v>7011</v>
      </c>
      <c r="B36" s="18">
        <v>18</v>
      </c>
      <c r="C36" s="18" t="s">
        <v>77</v>
      </c>
      <c r="D36" s="18" t="s">
        <v>78</v>
      </c>
      <c r="E36" s="18" t="s">
        <v>82</v>
      </c>
      <c r="F36" s="18">
        <v>0</v>
      </c>
      <c r="G36" s="18"/>
      <c r="P36" s="18">
        <v>7032</v>
      </c>
      <c r="Q36" s="136">
        <v>48</v>
      </c>
      <c r="R36" s="19">
        <f t="shared" si="0"/>
        <v>12.5</v>
      </c>
      <c r="S36">
        <v>0.94964601766533874</v>
      </c>
      <c r="T36" s="140">
        <f t="shared" si="1"/>
        <v>13.449646017665339</v>
      </c>
      <c r="V36" s="38">
        <v>9018</v>
      </c>
      <c r="W36" s="38">
        <v>9.6</v>
      </c>
      <c r="Y36">
        <f t="shared" si="4"/>
        <v>22.5</v>
      </c>
      <c r="Z36">
        <f t="shared" si="2"/>
        <v>23.5</v>
      </c>
      <c r="AA36" s="16">
        <v>23.5</v>
      </c>
      <c r="AB36" s="17">
        <v>3</v>
      </c>
      <c r="AC36" s="124">
        <v>0.98399999999999999</v>
      </c>
      <c r="AD36">
        <f t="shared" si="3"/>
        <v>2.4E-2</v>
      </c>
      <c r="AE36">
        <f>SUM($AD$21:AD36)*100</f>
        <v>98.4</v>
      </c>
    </row>
    <row r="37" spans="1:31" x14ac:dyDescent="0.3">
      <c r="A37" s="18">
        <v>7014</v>
      </c>
      <c r="B37" s="18">
        <v>18</v>
      </c>
      <c r="C37" s="18" t="s">
        <v>83</v>
      </c>
      <c r="D37" s="18" t="s">
        <v>78</v>
      </c>
      <c r="E37" s="18" t="s">
        <v>79</v>
      </c>
      <c r="F37" s="18">
        <v>9999</v>
      </c>
      <c r="G37" s="18"/>
      <c r="P37" s="18">
        <v>7034</v>
      </c>
      <c r="Q37" s="136">
        <v>43</v>
      </c>
      <c r="R37" s="19">
        <f t="shared" si="0"/>
        <v>11.5</v>
      </c>
      <c r="S37">
        <v>0.19865025765582933</v>
      </c>
      <c r="T37" s="140">
        <f t="shared" si="1"/>
        <v>11.69865025765583</v>
      </c>
      <c r="V37" s="38">
        <v>9616</v>
      </c>
      <c r="W37" s="38">
        <v>9.6</v>
      </c>
      <c r="Y37">
        <f t="shared" si="4"/>
        <v>23.5</v>
      </c>
      <c r="Z37">
        <f t="shared" si="2"/>
        <v>24.5</v>
      </c>
      <c r="AA37" s="16">
        <v>24.5</v>
      </c>
      <c r="AB37" s="17">
        <v>2</v>
      </c>
      <c r="AC37" s="124">
        <v>1</v>
      </c>
      <c r="AD37">
        <f t="shared" si="3"/>
        <v>1.6E-2</v>
      </c>
      <c r="AE37">
        <f>SUM($AD$21:AD37)*100</f>
        <v>100</v>
      </c>
    </row>
    <row r="38" spans="1:31" ht="15" thickBot="1" x14ac:dyDescent="0.35">
      <c r="A38" s="18">
        <v>7019</v>
      </c>
      <c r="B38" s="18">
        <v>18</v>
      </c>
      <c r="C38" s="18" t="s">
        <v>77</v>
      </c>
      <c r="D38" s="18" t="s">
        <v>78</v>
      </c>
      <c r="E38" s="18" t="s">
        <v>82</v>
      </c>
      <c r="F38" s="18">
        <v>3</v>
      </c>
      <c r="G38" s="18"/>
      <c r="P38" s="18">
        <v>7037</v>
      </c>
      <c r="Q38" s="136">
        <v>61</v>
      </c>
      <c r="R38" s="19">
        <f t="shared" si="0"/>
        <v>14.5</v>
      </c>
      <c r="S38">
        <v>0.43986176373562147</v>
      </c>
      <c r="T38" s="140">
        <f t="shared" si="1"/>
        <v>14.939861763735621</v>
      </c>
      <c r="V38" s="38">
        <v>7237</v>
      </c>
      <c r="W38" s="38">
        <v>9.6999999999999993</v>
      </c>
      <c r="AA38" s="122" t="s">
        <v>101</v>
      </c>
      <c r="AB38" s="122">
        <v>0</v>
      </c>
      <c r="AC38" s="125">
        <v>1</v>
      </c>
      <c r="AD38">
        <f t="shared" si="3"/>
        <v>0</v>
      </c>
      <c r="AE38">
        <f>SUM($AD$21:AD38)*100</f>
        <v>100</v>
      </c>
    </row>
    <row r="39" spans="1:31" x14ac:dyDescent="0.3">
      <c r="A39" s="18">
        <v>7020</v>
      </c>
      <c r="B39" s="18">
        <v>18</v>
      </c>
      <c r="C39" s="18" t="s">
        <v>83</v>
      </c>
      <c r="D39" s="18" t="s">
        <v>78</v>
      </c>
      <c r="E39" s="18" t="s">
        <v>79</v>
      </c>
      <c r="F39" s="18">
        <v>9999</v>
      </c>
      <c r="G39" s="18"/>
      <c r="P39" s="18">
        <v>7038</v>
      </c>
      <c r="Q39" s="136">
        <v>81</v>
      </c>
      <c r="R39" s="19">
        <f t="shared" si="0"/>
        <v>16.5</v>
      </c>
      <c r="S39">
        <v>0.67692251932472136</v>
      </c>
      <c r="T39" s="140">
        <f t="shared" si="1"/>
        <v>17.176922519324723</v>
      </c>
      <c r="V39" s="38">
        <v>10191</v>
      </c>
      <c r="W39" s="38">
        <v>9.6999999999999993</v>
      </c>
    </row>
    <row r="40" spans="1:31" x14ac:dyDescent="0.3">
      <c r="A40" s="18">
        <v>7027</v>
      </c>
      <c r="B40" s="18">
        <v>18</v>
      </c>
      <c r="C40" s="18" t="s">
        <v>77</v>
      </c>
      <c r="D40" s="18" t="s">
        <v>78</v>
      </c>
      <c r="E40" s="18" t="s">
        <v>79</v>
      </c>
      <c r="F40" s="18">
        <v>0</v>
      </c>
      <c r="G40" s="18"/>
      <c r="P40" s="18">
        <v>7102</v>
      </c>
      <c r="Q40" s="136">
        <v>17</v>
      </c>
      <c r="R40" s="19">
        <f t="shared" si="0"/>
        <v>8.5</v>
      </c>
      <c r="S40">
        <v>0.2422387893662139</v>
      </c>
      <c r="T40" s="140">
        <f t="shared" si="1"/>
        <v>8.7422387893662137</v>
      </c>
      <c r="V40" s="38">
        <v>7910</v>
      </c>
      <c r="W40" s="38">
        <v>9.8000000000000007</v>
      </c>
    </row>
    <row r="41" spans="1:31" x14ac:dyDescent="0.3">
      <c r="A41" s="18">
        <v>7032</v>
      </c>
      <c r="B41" s="18">
        <v>18</v>
      </c>
      <c r="C41" s="18" t="s">
        <v>77</v>
      </c>
      <c r="D41" s="18" t="s">
        <v>78</v>
      </c>
      <c r="E41" s="18" t="s">
        <v>82</v>
      </c>
      <c r="F41" s="18">
        <v>0</v>
      </c>
      <c r="G41" s="18"/>
      <c r="P41" s="18">
        <v>7103</v>
      </c>
      <c r="Q41" s="136">
        <v>80</v>
      </c>
      <c r="R41" s="19">
        <f t="shared" si="0"/>
        <v>16.5</v>
      </c>
      <c r="S41">
        <v>4.293854648594253E-2</v>
      </c>
      <c r="T41" s="140">
        <f t="shared" si="1"/>
        <v>16.542938546485942</v>
      </c>
      <c r="V41" s="38">
        <v>9750</v>
      </c>
      <c r="W41" s="38">
        <v>9.9</v>
      </c>
    </row>
    <row r="42" spans="1:31" x14ac:dyDescent="0.3">
      <c r="A42" s="18">
        <v>7034</v>
      </c>
      <c r="B42" s="18">
        <v>18</v>
      </c>
      <c r="C42" s="18" t="s">
        <v>77</v>
      </c>
      <c r="D42" s="18" t="s">
        <v>85</v>
      </c>
      <c r="E42" s="18" t="s">
        <v>82</v>
      </c>
      <c r="F42" s="18">
        <v>0</v>
      </c>
      <c r="G42" s="18"/>
      <c r="P42" s="18">
        <v>7105</v>
      </c>
      <c r="Q42" s="136">
        <v>25</v>
      </c>
      <c r="R42" s="19">
        <f t="shared" si="0"/>
        <v>9.5</v>
      </c>
      <c r="S42">
        <v>0.804206709560776</v>
      </c>
      <c r="T42" s="140">
        <f t="shared" si="1"/>
        <v>10.304206709560775</v>
      </c>
      <c r="V42" s="38">
        <v>7956</v>
      </c>
      <c r="W42" s="38">
        <v>10</v>
      </c>
    </row>
    <row r="43" spans="1:31" x14ac:dyDescent="0.3">
      <c r="A43" s="18">
        <v>7037</v>
      </c>
      <c r="B43" s="18">
        <v>18</v>
      </c>
      <c r="C43" s="18" t="s">
        <v>77</v>
      </c>
      <c r="D43" s="18" t="s">
        <v>78</v>
      </c>
      <c r="E43" s="18" t="s">
        <v>82</v>
      </c>
      <c r="F43" s="18">
        <v>3</v>
      </c>
      <c r="G43" s="18"/>
      <c r="P43" s="18">
        <v>7106</v>
      </c>
      <c r="Q43" s="136">
        <v>40</v>
      </c>
      <c r="R43" s="19">
        <f t="shared" si="0"/>
        <v>11.5</v>
      </c>
      <c r="S43">
        <v>0.64381552660774377</v>
      </c>
      <c r="T43" s="140">
        <f t="shared" si="1"/>
        <v>12.143815526607744</v>
      </c>
      <c r="V43" s="38">
        <v>8194</v>
      </c>
      <c r="W43" s="38">
        <v>10</v>
      </c>
    </row>
    <row r="44" spans="1:31" x14ac:dyDescent="0.3">
      <c r="A44" s="18">
        <v>7038</v>
      </c>
      <c r="B44" s="18">
        <v>18</v>
      </c>
      <c r="C44" s="18" t="s">
        <v>83</v>
      </c>
      <c r="D44" s="18" t="s">
        <v>78</v>
      </c>
      <c r="E44" s="18" t="s">
        <v>82</v>
      </c>
      <c r="F44" s="18">
        <v>9999</v>
      </c>
      <c r="G44" s="18"/>
      <c r="P44" s="18">
        <v>7107</v>
      </c>
      <c r="Q44" s="136">
        <v>24</v>
      </c>
      <c r="R44" s="19">
        <f t="shared" si="0"/>
        <v>9.5</v>
      </c>
      <c r="S44">
        <v>3.9225657473419329E-2</v>
      </c>
      <c r="T44" s="140">
        <f t="shared" si="1"/>
        <v>9.5392256574734198</v>
      </c>
      <c r="V44" s="38">
        <v>9299</v>
      </c>
      <c r="W44" s="38">
        <v>10.1</v>
      </c>
    </row>
    <row r="45" spans="1:31" x14ac:dyDescent="0.3">
      <c r="A45" s="18">
        <v>7102</v>
      </c>
      <c r="B45" s="18">
        <v>18</v>
      </c>
      <c r="C45" s="18" t="s">
        <v>77</v>
      </c>
      <c r="D45" s="18" t="s">
        <v>78</v>
      </c>
      <c r="E45" s="18" t="s">
        <v>79</v>
      </c>
      <c r="F45" s="18">
        <v>6</v>
      </c>
      <c r="G45" s="18"/>
      <c r="P45" s="18">
        <v>7109</v>
      </c>
      <c r="Q45" s="136">
        <v>28</v>
      </c>
      <c r="R45" s="19">
        <f t="shared" si="0"/>
        <v>9.5</v>
      </c>
      <c r="S45">
        <v>0.10298149662102707</v>
      </c>
      <c r="T45" s="140">
        <f t="shared" si="1"/>
        <v>9.6029814966210267</v>
      </c>
      <c r="V45" s="38">
        <v>7444</v>
      </c>
      <c r="W45" s="38">
        <v>10.3</v>
      </c>
    </row>
    <row r="46" spans="1:31" x14ac:dyDescent="0.3">
      <c r="A46" s="18">
        <v>7103</v>
      </c>
      <c r="B46" s="18">
        <v>18</v>
      </c>
      <c r="C46" s="18" t="s">
        <v>83</v>
      </c>
      <c r="D46" s="18" t="s">
        <v>78</v>
      </c>
      <c r="E46" s="18" t="s">
        <v>86</v>
      </c>
      <c r="F46" s="18">
        <v>9999</v>
      </c>
      <c r="G46" s="18"/>
      <c r="P46" s="18">
        <v>7110</v>
      </c>
      <c r="Q46" s="136">
        <v>57</v>
      </c>
      <c r="R46" s="19">
        <f t="shared" si="0"/>
        <v>13.5</v>
      </c>
      <c r="S46">
        <v>0.28167059871572631</v>
      </c>
      <c r="T46" s="140">
        <f t="shared" si="1"/>
        <v>13.781670598715726</v>
      </c>
      <c r="V46" s="38">
        <v>7962</v>
      </c>
      <c r="W46" s="38">
        <v>10.3</v>
      </c>
    </row>
    <row r="47" spans="1:31" x14ac:dyDescent="0.3">
      <c r="A47" s="18">
        <v>7104</v>
      </c>
      <c r="B47" s="18">
        <v>18</v>
      </c>
      <c r="C47" s="18" t="s">
        <v>77</v>
      </c>
      <c r="D47" s="18" t="s">
        <v>78</v>
      </c>
      <c r="E47" s="18" t="s">
        <v>81</v>
      </c>
      <c r="F47" s="18">
        <v>9</v>
      </c>
      <c r="G47" s="18">
        <v>9.6</v>
      </c>
      <c r="P47" s="18">
        <v>7113</v>
      </c>
      <c r="Q47" s="136">
        <v>99</v>
      </c>
      <c r="R47" s="19">
        <f t="shared" si="0"/>
        <v>22.5</v>
      </c>
      <c r="S47">
        <v>0.4817319639280867</v>
      </c>
      <c r="T47" s="140">
        <f t="shared" si="1"/>
        <v>22.981731963928087</v>
      </c>
      <c r="V47" s="38">
        <v>10119</v>
      </c>
      <c r="W47" s="38">
        <v>10.4</v>
      </c>
    </row>
    <row r="48" spans="1:31" x14ac:dyDescent="0.3">
      <c r="A48" s="18">
        <v>7105</v>
      </c>
      <c r="B48" s="18">
        <v>18</v>
      </c>
      <c r="C48" s="18" t="s">
        <v>83</v>
      </c>
      <c r="D48" s="18" t="s">
        <v>78</v>
      </c>
      <c r="E48" s="18" t="s">
        <v>86</v>
      </c>
      <c r="F48" s="18">
        <v>9999</v>
      </c>
      <c r="G48" s="18"/>
      <c r="P48" s="18">
        <v>7119</v>
      </c>
      <c r="Q48" s="136">
        <v>58</v>
      </c>
      <c r="R48" s="19">
        <f t="shared" si="0"/>
        <v>13.5</v>
      </c>
      <c r="S48">
        <v>6.5407508967639361E-2</v>
      </c>
      <c r="T48" s="140">
        <f t="shared" si="1"/>
        <v>13.56540750896764</v>
      </c>
      <c r="V48" s="38">
        <v>9282</v>
      </c>
      <c r="W48" s="38">
        <v>10.5</v>
      </c>
    </row>
    <row r="49" spans="1:23" x14ac:dyDescent="0.3">
      <c r="A49" s="18">
        <v>7106</v>
      </c>
      <c r="B49" s="18">
        <v>18</v>
      </c>
      <c r="C49" s="18" t="s">
        <v>83</v>
      </c>
      <c r="D49" s="18" t="s">
        <v>78</v>
      </c>
      <c r="E49" s="18" t="s">
        <v>86</v>
      </c>
      <c r="F49" s="18">
        <v>9999</v>
      </c>
      <c r="G49" s="18"/>
      <c r="P49" s="18">
        <v>7128</v>
      </c>
      <c r="Q49" s="136">
        <v>23</v>
      </c>
      <c r="R49" s="19">
        <f t="shared" si="0"/>
        <v>9.5</v>
      </c>
      <c r="S49">
        <v>0.88002536087431504</v>
      </c>
      <c r="T49" s="140">
        <f t="shared" si="1"/>
        <v>10.380025360874315</v>
      </c>
      <c r="V49" s="38">
        <v>8185</v>
      </c>
      <c r="W49" s="38">
        <v>10.6</v>
      </c>
    </row>
    <row r="50" spans="1:23" x14ac:dyDescent="0.3">
      <c r="A50" s="18">
        <v>7107</v>
      </c>
      <c r="B50" s="18">
        <v>18</v>
      </c>
      <c r="C50" s="18" t="s">
        <v>83</v>
      </c>
      <c r="D50" s="18" t="s">
        <v>78</v>
      </c>
      <c r="E50" s="18" t="s">
        <v>81</v>
      </c>
      <c r="F50" s="18">
        <v>9999</v>
      </c>
      <c r="G50" s="18"/>
      <c r="P50" s="18">
        <v>7130</v>
      </c>
      <c r="Q50" s="136">
        <v>14</v>
      </c>
      <c r="R50" s="19">
        <f t="shared" si="0"/>
        <v>8.5</v>
      </c>
      <c r="S50">
        <v>0.68021194561298648</v>
      </c>
      <c r="T50" s="140">
        <f t="shared" si="1"/>
        <v>9.1802119456129869</v>
      </c>
      <c r="V50" s="38">
        <v>8221</v>
      </c>
      <c r="W50" s="38">
        <v>10.7</v>
      </c>
    </row>
    <row r="51" spans="1:23" x14ac:dyDescent="0.3">
      <c r="A51" s="18">
        <v>7109</v>
      </c>
      <c r="B51" s="18">
        <v>18</v>
      </c>
      <c r="C51" s="18" t="s">
        <v>77</v>
      </c>
      <c r="D51" s="18" t="s">
        <v>78</v>
      </c>
      <c r="E51" s="18" t="s">
        <v>81</v>
      </c>
      <c r="F51" s="18">
        <v>0</v>
      </c>
      <c r="G51" s="18"/>
      <c r="P51" s="18">
        <v>7136</v>
      </c>
      <c r="Q51" s="136">
        <v>76</v>
      </c>
      <c r="R51" s="19">
        <f t="shared" si="0"/>
        <v>15.5</v>
      </c>
      <c r="S51">
        <v>0.46719941094854256</v>
      </c>
      <c r="T51" s="140">
        <f t="shared" si="1"/>
        <v>15.967199410948542</v>
      </c>
      <c r="V51" s="38">
        <v>7357</v>
      </c>
      <c r="W51" s="38">
        <v>10.8</v>
      </c>
    </row>
    <row r="52" spans="1:23" x14ac:dyDescent="0.3">
      <c r="A52" s="18">
        <v>7110</v>
      </c>
      <c r="B52" s="18">
        <v>18</v>
      </c>
      <c r="C52" s="18" t="s">
        <v>77</v>
      </c>
      <c r="D52" s="18" t="s">
        <v>78</v>
      </c>
      <c r="E52" s="18" t="s">
        <v>81</v>
      </c>
      <c r="F52" s="18">
        <v>0</v>
      </c>
      <c r="G52" s="18"/>
      <c r="P52" s="18">
        <v>7145</v>
      </c>
      <c r="Q52" s="136">
        <v>32</v>
      </c>
      <c r="R52" s="19">
        <f t="shared" si="0"/>
        <v>10.5</v>
      </c>
      <c r="S52">
        <v>9.218938845329705E-2</v>
      </c>
      <c r="T52" s="140">
        <f t="shared" si="1"/>
        <v>10.592189388453297</v>
      </c>
      <c r="V52" s="38">
        <v>8721</v>
      </c>
      <c r="W52" s="38">
        <v>10.8</v>
      </c>
    </row>
    <row r="53" spans="1:23" x14ac:dyDescent="0.3">
      <c r="A53" s="18">
        <v>7111</v>
      </c>
      <c r="B53" s="18">
        <v>18</v>
      </c>
      <c r="C53" s="18" t="s">
        <v>77</v>
      </c>
      <c r="D53" s="18" t="s">
        <v>78</v>
      </c>
      <c r="E53" s="18" t="s">
        <v>81</v>
      </c>
      <c r="F53" s="18">
        <v>5</v>
      </c>
      <c r="G53" s="18">
        <v>12.4</v>
      </c>
      <c r="P53" s="18">
        <v>7146</v>
      </c>
      <c r="Q53" s="136">
        <v>15</v>
      </c>
      <c r="R53" s="19">
        <f t="shared" si="0"/>
        <v>8.5</v>
      </c>
      <c r="S53">
        <v>0.6527230826741881</v>
      </c>
      <c r="T53" s="140">
        <f t="shared" si="1"/>
        <v>9.1527230826741874</v>
      </c>
      <c r="V53" s="38">
        <v>9279</v>
      </c>
      <c r="W53" s="38">
        <v>11</v>
      </c>
    </row>
    <row r="54" spans="1:23" x14ac:dyDescent="0.3">
      <c r="A54" s="18">
        <v>7113</v>
      </c>
      <c r="B54" s="18">
        <v>18</v>
      </c>
      <c r="C54" s="18" t="s">
        <v>77</v>
      </c>
      <c r="D54" s="18" t="s">
        <v>78</v>
      </c>
      <c r="E54" s="18" t="s">
        <v>79</v>
      </c>
      <c r="F54" s="18">
        <v>6</v>
      </c>
      <c r="G54" s="18"/>
      <c r="P54" s="18">
        <v>7163</v>
      </c>
      <c r="Q54" s="136">
        <v>25</v>
      </c>
      <c r="R54" s="19">
        <f t="shared" si="0"/>
        <v>9.5</v>
      </c>
      <c r="S54">
        <v>0.1333982440546988</v>
      </c>
      <c r="T54" s="140">
        <f t="shared" si="1"/>
        <v>9.6333982440546997</v>
      </c>
      <c r="V54" s="38">
        <v>7674</v>
      </c>
      <c r="W54" s="38">
        <v>11.2</v>
      </c>
    </row>
    <row r="55" spans="1:23" x14ac:dyDescent="0.3">
      <c r="A55" s="18">
        <v>7115</v>
      </c>
      <c r="B55" s="18">
        <v>18</v>
      </c>
      <c r="C55" s="18" t="s">
        <v>77</v>
      </c>
      <c r="D55" s="18" t="s">
        <v>78</v>
      </c>
      <c r="E55" s="18" t="s">
        <v>79</v>
      </c>
      <c r="F55" s="18">
        <v>3</v>
      </c>
      <c r="G55" s="18">
        <v>19.2</v>
      </c>
      <c r="P55" s="18">
        <v>7194</v>
      </c>
      <c r="Q55" s="136">
        <v>25</v>
      </c>
      <c r="R55" s="19">
        <f t="shared" si="0"/>
        <v>9.5</v>
      </c>
      <c r="S55">
        <v>0.26409798330853995</v>
      </c>
      <c r="T55" s="140">
        <f t="shared" si="1"/>
        <v>9.76409798330854</v>
      </c>
      <c r="V55" s="38">
        <v>7711</v>
      </c>
      <c r="W55" s="38">
        <v>11.2</v>
      </c>
    </row>
    <row r="56" spans="1:23" x14ac:dyDescent="0.3">
      <c r="A56" s="18">
        <v>7117</v>
      </c>
      <c r="B56" s="18">
        <v>18</v>
      </c>
      <c r="C56" s="18" t="s">
        <v>77</v>
      </c>
      <c r="D56" s="18" t="s">
        <v>78</v>
      </c>
      <c r="E56" s="18" t="s">
        <v>81</v>
      </c>
      <c r="F56" s="18">
        <v>12</v>
      </c>
      <c r="G56" s="18">
        <v>7.4</v>
      </c>
      <c r="P56" s="18">
        <v>7196</v>
      </c>
      <c r="Q56" s="136">
        <v>61</v>
      </c>
      <c r="R56" s="19">
        <f t="shared" si="0"/>
        <v>14.5</v>
      </c>
      <c r="S56">
        <v>0.23920435001204687</v>
      </c>
      <c r="T56" s="140">
        <f t="shared" si="1"/>
        <v>14.739204350012047</v>
      </c>
      <c r="V56" s="38">
        <v>7559</v>
      </c>
      <c r="W56" s="38">
        <v>11.4</v>
      </c>
    </row>
    <row r="57" spans="1:23" x14ac:dyDescent="0.3">
      <c r="A57" s="18">
        <v>7118</v>
      </c>
      <c r="B57" s="18">
        <v>18</v>
      </c>
      <c r="C57" s="18" t="s">
        <v>77</v>
      </c>
      <c r="D57" s="18" t="s">
        <v>78</v>
      </c>
      <c r="E57" s="18" t="s">
        <v>81</v>
      </c>
      <c r="F57" s="18">
        <v>7</v>
      </c>
      <c r="G57" s="18">
        <v>13.6</v>
      </c>
      <c r="P57" s="18">
        <v>7229</v>
      </c>
      <c r="Q57" s="136">
        <v>47</v>
      </c>
      <c r="R57" s="19">
        <f t="shared" si="0"/>
        <v>12.5</v>
      </c>
      <c r="S57">
        <v>0.22382077580582926</v>
      </c>
      <c r="T57" s="140">
        <f t="shared" si="1"/>
        <v>12.72382077580583</v>
      </c>
      <c r="V57" s="38">
        <v>7134</v>
      </c>
      <c r="W57" s="38">
        <v>11.6</v>
      </c>
    </row>
    <row r="58" spans="1:23" x14ac:dyDescent="0.3">
      <c r="A58" s="18">
        <v>7119</v>
      </c>
      <c r="B58" s="18">
        <v>18</v>
      </c>
      <c r="C58" s="18" t="s">
        <v>77</v>
      </c>
      <c r="D58" s="18" t="s">
        <v>78</v>
      </c>
      <c r="E58" s="18" t="s">
        <v>81</v>
      </c>
      <c r="F58" s="18">
        <v>0</v>
      </c>
      <c r="G58" s="18"/>
      <c r="P58" s="18">
        <v>7240</v>
      </c>
      <c r="Q58" s="136">
        <v>34</v>
      </c>
      <c r="R58" s="19">
        <f t="shared" si="0"/>
        <v>10.5</v>
      </c>
      <c r="S58">
        <v>0.2895746409213269</v>
      </c>
      <c r="T58" s="140">
        <f t="shared" si="1"/>
        <v>10.789574640921327</v>
      </c>
      <c r="V58" s="38">
        <v>6822</v>
      </c>
      <c r="W58" s="38">
        <v>11.9</v>
      </c>
    </row>
    <row r="59" spans="1:23" x14ac:dyDescent="0.3">
      <c r="A59" s="18">
        <v>7120</v>
      </c>
      <c r="B59" s="18">
        <v>18</v>
      </c>
      <c r="C59" s="18" t="s">
        <v>77</v>
      </c>
      <c r="D59" s="18" t="s">
        <v>78</v>
      </c>
      <c r="E59" s="18" t="s">
        <v>81</v>
      </c>
      <c r="F59" s="18">
        <v>12</v>
      </c>
      <c r="G59" s="18">
        <v>13.4</v>
      </c>
      <c r="P59" s="18">
        <v>7263</v>
      </c>
      <c r="Q59" s="136">
        <v>37</v>
      </c>
      <c r="R59" s="19">
        <f t="shared" si="0"/>
        <v>10.5</v>
      </c>
      <c r="S59">
        <v>0.94598937991668774</v>
      </c>
      <c r="T59" s="140">
        <f t="shared" si="1"/>
        <v>11.445989379916687</v>
      </c>
      <c r="V59" s="38">
        <v>7554</v>
      </c>
      <c r="W59" s="38">
        <v>11.9</v>
      </c>
    </row>
    <row r="60" spans="1:23" x14ac:dyDescent="0.3">
      <c r="A60" s="18">
        <v>7121</v>
      </c>
      <c r="B60" s="18">
        <v>18</v>
      </c>
      <c r="C60" s="18" t="s">
        <v>77</v>
      </c>
      <c r="D60" s="18" t="s">
        <v>78</v>
      </c>
      <c r="E60" s="18" t="s">
        <v>81</v>
      </c>
      <c r="F60" s="18">
        <v>11</v>
      </c>
      <c r="G60" s="18">
        <v>22.6</v>
      </c>
      <c r="P60" s="18">
        <v>7276</v>
      </c>
      <c r="Q60" s="136">
        <v>36</v>
      </c>
      <c r="R60" s="19">
        <f t="shared" si="0"/>
        <v>10.5</v>
      </c>
      <c r="S60">
        <v>0.56536285500383177</v>
      </c>
      <c r="T60" s="140">
        <f t="shared" si="1"/>
        <v>11.065362855003832</v>
      </c>
      <c r="V60" s="38">
        <v>7133</v>
      </c>
      <c r="W60" s="38">
        <v>12.2</v>
      </c>
    </row>
    <row r="61" spans="1:23" x14ac:dyDescent="0.3">
      <c r="A61" s="18">
        <v>7122</v>
      </c>
      <c r="B61" s="18">
        <v>18</v>
      </c>
      <c r="C61" s="18" t="s">
        <v>77</v>
      </c>
      <c r="D61" s="18" t="s">
        <v>78</v>
      </c>
      <c r="E61" s="18" t="s">
        <v>81</v>
      </c>
      <c r="F61" s="18">
        <v>6</v>
      </c>
      <c r="G61" s="18">
        <v>14</v>
      </c>
      <c r="P61" s="18">
        <v>7278</v>
      </c>
      <c r="Q61" s="136">
        <v>25</v>
      </c>
      <c r="R61" s="19">
        <f t="shared" si="0"/>
        <v>9.5</v>
      </c>
      <c r="S61">
        <v>0.36728262259175048</v>
      </c>
      <c r="T61" s="140">
        <f t="shared" si="1"/>
        <v>9.86728262259175</v>
      </c>
      <c r="V61" s="38">
        <v>7512</v>
      </c>
      <c r="W61" s="38">
        <v>12.2</v>
      </c>
    </row>
    <row r="62" spans="1:23" x14ac:dyDescent="0.3">
      <c r="A62" s="18">
        <v>7128</v>
      </c>
      <c r="B62" s="18">
        <v>18</v>
      </c>
      <c r="C62" s="18" t="s">
        <v>77</v>
      </c>
      <c r="D62" s="18" t="s">
        <v>78</v>
      </c>
      <c r="E62" s="18" t="s">
        <v>81</v>
      </c>
      <c r="F62" s="18">
        <v>3</v>
      </c>
      <c r="G62" s="18"/>
      <c r="P62" s="18">
        <v>7279</v>
      </c>
      <c r="Q62" s="136">
        <v>92</v>
      </c>
      <c r="R62" s="19">
        <f t="shared" si="0"/>
        <v>18.5</v>
      </c>
      <c r="S62">
        <v>0.55857378092537258</v>
      </c>
      <c r="T62" s="140">
        <f t="shared" si="1"/>
        <v>19.058573780925371</v>
      </c>
      <c r="V62" s="38">
        <v>9821</v>
      </c>
      <c r="W62" s="38">
        <v>12.2</v>
      </c>
    </row>
    <row r="63" spans="1:23" x14ac:dyDescent="0.3">
      <c r="A63" s="18">
        <v>7129</v>
      </c>
      <c r="B63" s="18">
        <v>18</v>
      </c>
      <c r="C63" s="18" t="s">
        <v>77</v>
      </c>
      <c r="D63" s="18" t="s">
        <v>78</v>
      </c>
      <c r="E63" s="18" t="s">
        <v>81</v>
      </c>
      <c r="F63" s="18">
        <v>7</v>
      </c>
      <c r="G63" s="18">
        <v>12.3</v>
      </c>
      <c r="P63" s="18">
        <v>7282</v>
      </c>
      <c r="Q63" s="136">
        <v>60</v>
      </c>
      <c r="R63" s="19">
        <f t="shared" si="0"/>
        <v>14.5</v>
      </c>
      <c r="S63">
        <v>0.92909823137341663</v>
      </c>
      <c r="T63" s="140">
        <f t="shared" si="1"/>
        <v>15.429098231373416</v>
      </c>
      <c r="V63" s="38">
        <v>7129</v>
      </c>
      <c r="W63" s="38">
        <v>12.3</v>
      </c>
    </row>
    <row r="64" spans="1:23" x14ac:dyDescent="0.3">
      <c r="A64" s="18">
        <v>7130</v>
      </c>
      <c r="B64" s="18">
        <v>18</v>
      </c>
      <c r="C64" s="18" t="s">
        <v>83</v>
      </c>
      <c r="D64" s="18" t="s">
        <v>78</v>
      </c>
      <c r="E64" s="18" t="s">
        <v>86</v>
      </c>
      <c r="F64" s="18">
        <v>9999</v>
      </c>
      <c r="G64" s="18"/>
      <c r="P64" s="18">
        <v>7286</v>
      </c>
      <c r="Q64" s="136">
        <v>45</v>
      </c>
      <c r="R64" s="19">
        <f t="shared" si="0"/>
        <v>12.5</v>
      </c>
      <c r="S64">
        <v>0.58853993687600248</v>
      </c>
      <c r="T64" s="140">
        <f t="shared" si="1"/>
        <v>13.088539936876003</v>
      </c>
      <c r="V64" s="38">
        <v>7111</v>
      </c>
      <c r="W64" s="38">
        <v>12.4</v>
      </c>
    </row>
    <row r="65" spans="1:23" x14ac:dyDescent="0.3">
      <c r="A65" s="18">
        <v>7132</v>
      </c>
      <c r="B65" s="18">
        <v>18</v>
      </c>
      <c r="C65" s="18" t="s">
        <v>77</v>
      </c>
      <c r="D65" s="18" t="s">
        <v>78</v>
      </c>
      <c r="E65" s="18" t="s">
        <v>86</v>
      </c>
      <c r="F65" s="18">
        <v>15</v>
      </c>
      <c r="G65" s="18">
        <v>20.5</v>
      </c>
      <c r="P65" s="18">
        <v>7299</v>
      </c>
      <c r="Q65" s="136">
        <v>28</v>
      </c>
      <c r="R65" s="19">
        <f t="shared" si="0"/>
        <v>9.5</v>
      </c>
      <c r="S65">
        <v>0.81231267937170237</v>
      </c>
      <c r="T65" s="140">
        <f t="shared" si="1"/>
        <v>10.312312679371702</v>
      </c>
      <c r="V65" s="38">
        <v>7359</v>
      </c>
      <c r="W65" s="38">
        <v>12.4</v>
      </c>
    </row>
    <row r="66" spans="1:23" x14ac:dyDescent="0.3">
      <c r="A66" s="18">
        <v>7133</v>
      </c>
      <c r="B66" s="18">
        <v>18</v>
      </c>
      <c r="C66" s="18" t="s">
        <v>77</v>
      </c>
      <c r="D66" s="18" t="s">
        <v>78</v>
      </c>
      <c r="E66" s="18" t="s">
        <v>79</v>
      </c>
      <c r="F66" s="18">
        <v>6</v>
      </c>
      <c r="G66" s="18">
        <v>12.2</v>
      </c>
      <c r="P66" s="18">
        <v>7300</v>
      </c>
      <c r="Q66" s="136">
        <v>50</v>
      </c>
      <c r="R66" s="19">
        <f t="shared" si="0"/>
        <v>12.5</v>
      </c>
      <c r="S66">
        <v>0.92445454167247487</v>
      </c>
      <c r="T66" s="140">
        <f t="shared" si="1"/>
        <v>13.424454541672475</v>
      </c>
      <c r="V66" s="38">
        <v>10417</v>
      </c>
      <c r="W66" s="38">
        <v>12.4</v>
      </c>
    </row>
    <row r="67" spans="1:23" x14ac:dyDescent="0.3">
      <c r="A67" s="18">
        <v>7134</v>
      </c>
      <c r="B67" s="18">
        <v>18</v>
      </c>
      <c r="C67" s="18" t="s">
        <v>77</v>
      </c>
      <c r="D67" s="18" t="s">
        <v>78</v>
      </c>
      <c r="E67" s="18" t="s">
        <v>79</v>
      </c>
      <c r="F67" s="18">
        <v>6</v>
      </c>
      <c r="G67" s="18">
        <v>11.6</v>
      </c>
      <c r="P67" s="18">
        <v>7311</v>
      </c>
      <c r="Q67" s="136">
        <v>33</v>
      </c>
      <c r="R67" s="19">
        <f t="shared" si="0"/>
        <v>10.5</v>
      </c>
      <c r="S67">
        <v>0.67729630225646398</v>
      </c>
      <c r="T67" s="140">
        <f t="shared" si="1"/>
        <v>11.177296302256464</v>
      </c>
      <c r="V67" s="38">
        <v>8205</v>
      </c>
      <c r="W67" s="38">
        <v>12.5</v>
      </c>
    </row>
    <row r="68" spans="1:23" x14ac:dyDescent="0.3">
      <c r="A68" s="18">
        <v>7136</v>
      </c>
      <c r="B68" s="18">
        <v>18</v>
      </c>
      <c r="C68" s="18" t="s">
        <v>83</v>
      </c>
      <c r="D68" s="18" t="s">
        <v>78</v>
      </c>
      <c r="E68" s="18" t="s">
        <v>86</v>
      </c>
      <c r="F68" s="18">
        <v>9999</v>
      </c>
      <c r="G68" s="18"/>
      <c r="P68" s="18">
        <v>7376</v>
      </c>
      <c r="Q68" s="136">
        <v>48</v>
      </c>
      <c r="R68" s="19">
        <f t="shared" si="0"/>
        <v>12.5</v>
      </c>
      <c r="S68">
        <v>0.25207801187854928</v>
      </c>
      <c r="T68" s="140">
        <f t="shared" si="1"/>
        <v>12.752078011878549</v>
      </c>
      <c r="V68" s="38">
        <v>7919</v>
      </c>
      <c r="W68" s="38">
        <v>12.7</v>
      </c>
    </row>
    <row r="69" spans="1:23" x14ac:dyDescent="0.3">
      <c r="A69" s="18">
        <v>7145</v>
      </c>
      <c r="B69" s="18">
        <v>18</v>
      </c>
      <c r="C69" s="18" t="s">
        <v>77</v>
      </c>
      <c r="D69" s="18" t="s">
        <v>78</v>
      </c>
      <c r="E69" s="18" t="s">
        <v>79</v>
      </c>
      <c r="F69" s="18">
        <v>5</v>
      </c>
      <c r="G69" s="18"/>
      <c r="P69" s="18">
        <v>7402</v>
      </c>
      <c r="Q69" s="136">
        <v>67</v>
      </c>
      <c r="R69" s="19">
        <f t="shared" si="0"/>
        <v>14.5</v>
      </c>
      <c r="S69">
        <v>0.39764284754453016</v>
      </c>
      <c r="T69" s="140">
        <f t="shared" si="1"/>
        <v>14.89764284754453</v>
      </c>
      <c r="V69" s="38">
        <v>9541</v>
      </c>
      <c r="W69" s="38">
        <v>12.7</v>
      </c>
    </row>
    <row r="70" spans="1:23" x14ac:dyDescent="0.3">
      <c r="A70" s="18">
        <v>7146</v>
      </c>
      <c r="B70" s="18">
        <v>18</v>
      </c>
      <c r="C70" s="18" t="s">
        <v>77</v>
      </c>
      <c r="D70" s="18" t="s">
        <v>78</v>
      </c>
      <c r="E70" s="18" t="s">
        <v>81</v>
      </c>
      <c r="F70" s="18">
        <v>6</v>
      </c>
      <c r="G70" s="18"/>
      <c r="P70" s="18">
        <v>7420</v>
      </c>
      <c r="Q70" s="136">
        <v>63</v>
      </c>
      <c r="R70" s="19">
        <f t="shared" si="0"/>
        <v>14.5</v>
      </c>
      <c r="S70">
        <v>9.8595364821651321E-2</v>
      </c>
      <c r="T70" s="140">
        <f t="shared" si="1"/>
        <v>14.598595364821652</v>
      </c>
      <c r="V70" s="38">
        <v>7964</v>
      </c>
      <c r="W70" s="38">
        <v>12.8</v>
      </c>
    </row>
    <row r="71" spans="1:23" x14ac:dyDescent="0.3">
      <c r="A71" s="18">
        <v>7150</v>
      </c>
      <c r="B71" s="18">
        <v>18</v>
      </c>
      <c r="C71" s="18" t="s">
        <v>77</v>
      </c>
      <c r="D71" s="18" t="s">
        <v>78</v>
      </c>
      <c r="E71" s="18" t="s">
        <v>79</v>
      </c>
      <c r="F71" s="18">
        <v>6</v>
      </c>
      <c r="G71" s="18">
        <v>15.2</v>
      </c>
      <c r="P71" s="18">
        <v>7422</v>
      </c>
      <c r="Q71" s="136">
        <v>47</v>
      </c>
      <c r="R71" s="19">
        <f t="shared" si="0"/>
        <v>12.5</v>
      </c>
      <c r="S71">
        <v>0.91999721797722223</v>
      </c>
      <c r="T71" s="140">
        <f t="shared" si="1"/>
        <v>13.419997217977222</v>
      </c>
      <c r="V71" s="38">
        <v>7918</v>
      </c>
      <c r="W71" s="38">
        <v>13</v>
      </c>
    </row>
    <row r="72" spans="1:23" x14ac:dyDescent="0.3">
      <c r="A72" s="18">
        <v>7155</v>
      </c>
      <c r="B72" s="18">
        <v>18</v>
      </c>
      <c r="C72" s="18" t="s">
        <v>77</v>
      </c>
      <c r="D72" s="18" t="s">
        <v>78</v>
      </c>
      <c r="E72" s="18" t="s">
        <v>79</v>
      </c>
      <c r="F72" s="18">
        <v>6</v>
      </c>
      <c r="G72" s="18">
        <v>16.600000000000001</v>
      </c>
      <c r="P72" s="18">
        <v>7425</v>
      </c>
      <c r="Q72" s="136">
        <v>52</v>
      </c>
      <c r="R72" s="19">
        <f t="shared" si="0"/>
        <v>12.5</v>
      </c>
      <c r="S72">
        <v>0.98699452548186939</v>
      </c>
      <c r="T72" s="140">
        <f t="shared" si="1"/>
        <v>13.486994525481869</v>
      </c>
      <c r="V72" s="38">
        <v>7415</v>
      </c>
      <c r="W72" s="38">
        <v>13.2</v>
      </c>
    </row>
    <row r="73" spans="1:23" x14ac:dyDescent="0.3">
      <c r="A73" s="18">
        <v>7163</v>
      </c>
      <c r="B73" s="18">
        <v>18</v>
      </c>
      <c r="C73" s="18" t="s">
        <v>77</v>
      </c>
      <c r="D73" s="18" t="s">
        <v>78</v>
      </c>
      <c r="E73" s="18" t="s">
        <v>82</v>
      </c>
      <c r="F73" s="18">
        <v>1</v>
      </c>
      <c r="G73" s="18"/>
      <c r="P73" s="18">
        <v>7428</v>
      </c>
      <c r="Q73" s="136">
        <v>81</v>
      </c>
      <c r="R73" s="19">
        <f t="shared" si="0"/>
        <v>16.5</v>
      </c>
      <c r="S73">
        <v>0.62514500397241868</v>
      </c>
      <c r="T73" s="140">
        <f t="shared" si="1"/>
        <v>17.12514500397242</v>
      </c>
      <c r="V73" s="38">
        <v>7120</v>
      </c>
      <c r="W73" s="38">
        <v>13.4</v>
      </c>
    </row>
    <row r="74" spans="1:23" x14ac:dyDescent="0.3">
      <c r="A74" s="18">
        <v>7194</v>
      </c>
      <c r="B74" s="18">
        <v>18</v>
      </c>
      <c r="C74" s="18" t="s">
        <v>77</v>
      </c>
      <c r="D74" s="18" t="s">
        <v>78</v>
      </c>
      <c r="E74" s="18" t="s">
        <v>79</v>
      </c>
      <c r="F74" s="18">
        <v>2</v>
      </c>
      <c r="G74" s="18"/>
      <c r="P74" s="18">
        <v>7431</v>
      </c>
      <c r="Q74" s="136">
        <v>56</v>
      </c>
      <c r="R74" s="19">
        <f t="shared" ref="R74:R137" si="5">LOOKUP(Q74,$AE$21:$AE$37,$Y$21:$Y$37)</f>
        <v>13.5</v>
      </c>
      <c r="S74">
        <v>0.39939897794173562</v>
      </c>
      <c r="T74" s="140">
        <f t="shared" ref="T74:T137" si="6">R74+S74</f>
        <v>13.899398977941736</v>
      </c>
      <c r="V74" s="38">
        <v>8189</v>
      </c>
      <c r="W74" s="38">
        <v>13.4</v>
      </c>
    </row>
    <row r="75" spans="1:23" x14ac:dyDescent="0.3">
      <c r="A75" s="18">
        <v>7196</v>
      </c>
      <c r="B75" s="18">
        <v>18</v>
      </c>
      <c r="C75" s="18" t="s">
        <v>83</v>
      </c>
      <c r="D75" s="18" t="s">
        <v>78</v>
      </c>
      <c r="E75" s="18" t="s">
        <v>79</v>
      </c>
      <c r="F75" s="18">
        <v>9999</v>
      </c>
      <c r="G75" s="18"/>
      <c r="P75" s="18">
        <v>7434</v>
      </c>
      <c r="Q75" s="136">
        <v>88</v>
      </c>
      <c r="R75" s="19">
        <f t="shared" si="5"/>
        <v>17.5</v>
      </c>
      <c r="S75">
        <v>0.17298730525683903</v>
      </c>
      <c r="T75" s="140">
        <f t="shared" si="6"/>
        <v>17.672987305256839</v>
      </c>
      <c r="V75" s="38">
        <v>8195</v>
      </c>
      <c r="W75" s="38">
        <v>13.5</v>
      </c>
    </row>
    <row r="76" spans="1:23" x14ac:dyDescent="0.3">
      <c r="A76" s="18">
        <v>7229</v>
      </c>
      <c r="B76" s="18">
        <v>18</v>
      </c>
      <c r="C76" s="18" t="s">
        <v>77</v>
      </c>
      <c r="D76" s="18" t="s">
        <v>78</v>
      </c>
      <c r="E76" s="18" t="s">
        <v>81</v>
      </c>
      <c r="F76" s="18">
        <v>2</v>
      </c>
      <c r="G76" s="18"/>
      <c r="P76" s="18">
        <v>7436</v>
      </c>
      <c r="Q76" s="136">
        <v>87</v>
      </c>
      <c r="R76" s="19">
        <f t="shared" si="5"/>
        <v>17.5</v>
      </c>
      <c r="S76">
        <v>0.63238973716462565</v>
      </c>
      <c r="T76" s="140">
        <f t="shared" si="6"/>
        <v>18.132389737164626</v>
      </c>
      <c r="V76" s="38">
        <v>7118</v>
      </c>
      <c r="W76" s="38">
        <v>13.6</v>
      </c>
    </row>
    <row r="77" spans="1:23" x14ac:dyDescent="0.3">
      <c r="A77" s="18">
        <v>7234</v>
      </c>
      <c r="B77" s="18">
        <v>18</v>
      </c>
      <c r="C77" s="18" t="s">
        <v>77</v>
      </c>
      <c r="D77" s="18" t="s">
        <v>78</v>
      </c>
      <c r="E77" s="18" t="s">
        <v>79</v>
      </c>
      <c r="F77" s="18">
        <v>14</v>
      </c>
      <c r="G77" s="18">
        <v>7.8</v>
      </c>
      <c r="P77" s="18">
        <v>7441</v>
      </c>
      <c r="Q77" s="136">
        <v>81</v>
      </c>
      <c r="R77" s="19">
        <f t="shared" si="5"/>
        <v>16.5</v>
      </c>
      <c r="S77">
        <v>0.51467966191865944</v>
      </c>
      <c r="T77" s="140">
        <f t="shared" si="6"/>
        <v>17.01467966191866</v>
      </c>
      <c r="V77" s="38">
        <v>7375</v>
      </c>
      <c r="W77" s="38">
        <v>13.6</v>
      </c>
    </row>
    <row r="78" spans="1:23" x14ac:dyDescent="0.3">
      <c r="A78" s="18">
        <v>7237</v>
      </c>
      <c r="B78" s="18">
        <v>18</v>
      </c>
      <c r="C78" s="18" t="s">
        <v>77</v>
      </c>
      <c r="D78" s="18" t="s">
        <v>78</v>
      </c>
      <c r="E78" s="18" t="s">
        <v>81</v>
      </c>
      <c r="F78" s="18">
        <v>13</v>
      </c>
      <c r="G78" s="18">
        <v>9.6999999999999993</v>
      </c>
      <c r="P78" s="18">
        <v>7462</v>
      </c>
      <c r="Q78" s="136">
        <v>86</v>
      </c>
      <c r="R78" s="19">
        <f t="shared" si="5"/>
        <v>17.5</v>
      </c>
      <c r="S78">
        <v>0.8405082396361131</v>
      </c>
      <c r="T78" s="140">
        <f t="shared" si="6"/>
        <v>18.340508239636112</v>
      </c>
      <c r="V78" s="38">
        <v>7941</v>
      </c>
      <c r="W78" s="38">
        <v>13.9</v>
      </c>
    </row>
    <row r="79" spans="1:23" x14ac:dyDescent="0.3">
      <c r="A79" s="18">
        <v>7240</v>
      </c>
      <c r="B79" s="18">
        <v>18</v>
      </c>
      <c r="C79" s="18" t="s">
        <v>77</v>
      </c>
      <c r="D79" s="18" t="s">
        <v>78</v>
      </c>
      <c r="E79" s="18" t="s">
        <v>81</v>
      </c>
      <c r="F79" s="18">
        <v>2</v>
      </c>
      <c r="G79" s="18"/>
      <c r="P79" s="18">
        <v>7465</v>
      </c>
      <c r="Q79" s="136">
        <v>90</v>
      </c>
      <c r="R79" s="19">
        <f t="shared" si="5"/>
        <v>18.5</v>
      </c>
      <c r="S79">
        <v>0.21245987688906953</v>
      </c>
      <c r="T79" s="140">
        <f t="shared" si="6"/>
        <v>18.712459876889071</v>
      </c>
      <c r="V79" s="38">
        <v>7122</v>
      </c>
      <c r="W79" s="38">
        <v>14</v>
      </c>
    </row>
    <row r="80" spans="1:23" x14ac:dyDescent="0.3">
      <c r="A80" s="18">
        <v>7242</v>
      </c>
      <c r="B80" s="18">
        <v>18</v>
      </c>
      <c r="C80" s="18" t="s">
        <v>77</v>
      </c>
      <c r="D80" s="18" t="s">
        <v>78</v>
      </c>
      <c r="E80" s="18" t="s">
        <v>81</v>
      </c>
      <c r="F80" s="18">
        <v>2</v>
      </c>
      <c r="G80" s="18">
        <v>17.100000000000001</v>
      </c>
      <c r="P80" s="18">
        <v>7466</v>
      </c>
      <c r="Q80" s="136">
        <v>66</v>
      </c>
      <c r="R80" s="19">
        <f t="shared" si="5"/>
        <v>14.5</v>
      </c>
      <c r="S80">
        <v>0.47827721065302864</v>
      </c>
      <c r="T80" s="140">
        <f t="shared" si="6"/>
        <v>14.97827721065303</v>
      </c>
      <c r="V80" s="38">
        <v>10256</v>
      </c>
      <c r="W80" s="38">
        <v>14.1</v>
      </c>
    </row>
    <row r="81" spans="1:23" x14ac:dyDescent="0.3">
      <c r="A81" s="18">
        <v>7263</v>
      </c>
      <c r="B81" s="18">
        <v>18</v>
      </c>
      <c r="C81" s="18" t="s">
        <v>77</v>
      </c>
      <c r="D81" s="18" t="s">
        <v>85</v>
      </c>
      <c r="E81" s="18" t="s">
        <v>79</v>
      </c>
      <c r="F81" s="18">
        <v>0</v>
      </c>
      <c r="G81" s="18"/>
      <c r="P81" s="18">
        <v>7468</v>
      </c>
      <c r="Q81" s="136">
        <v>68</v>
      </c>
      <c r="R81" s="19">
        <f t="shared" si="5"/>
        <v>14.5</v>
      </c>
      <c r="S81">
        <v>0.9033721685501952</v>
      </c>
      <c r="T81" s="140">
        <f t="shared" si="6"/>
        <v>15.403372168550195</v>
      </c>
      <c r="V81" s="38">
        <v>7377</v>
      </c>
      <c r="W81" s="38">
        <v>14.2</v>
      </c>
    </row>
    <row r="82" spans="1:23" x14ac:dyDescent="0.3">
      <c r="A82" s="18">
        <v>7265</v>
      </c>
      <c r="B82" s="18">
        <v>18</v>
      </c>
      <c r="C82" s="18" t="s">
        <v>77</v>
      </c>
      <c r="D82" s="18" t="s">
        <v>78</v>
      </c>
      <c r="E82" s="18" t="s">
        <v>79</v>
      </c>
      <c r="F82" s="18">
        <v>12</v>
      </c>
      <c r="G82" s="18">
        <v>18</v>
      </c>
      <c r="P82" s="18">
        <v>7471</v>
      </c>
      <c r="Q82" s="136">
        <v>56</v>
      </c>
      <c r="R82" s="19">
        <f t="shared" si="5"/>
        <v>13.5</v>
      </c>
      <c r="S82">
        <v>0.39359700154799027</v>
      </c>
      <c r="T82" s="140">
        <f t="shared" si="6"/>
        <v>13.89359700154799</v>
      </c>
      <c r="V82" s="38">
        <v>7912</v>
      </c>
      <c r="W82" s="38">
        <v>14.2</v>
      </c>
    </row>
    <row r="83" spans="1:23" x14ac:dyDescent="0.3">
      <c r="A83" s="18">
        <v>7276</v>
      </c>
      <c r="B83" s="18">
        <v>18</v>
      </c>
      <c r="C83" s="18" t="s">
        <v>77</v>
      </c>
      <c r="D83" s="18" t="s">
        <v>78</v>
      </c>
      <c r="E83" s="18" t="s">
        <v>79</v>
      </c>
      <c r="F83" s="18">
        <v>1</v>
      </c>
      <c r="G83" s="18"/>
      <c r="P83" s="18">
        <v>7475</v>
      </c>
      <c r="Q83" s="136">
        <v>48</v>
      </c>
      <c r="R83" s="19">
        <f t="shared" si="5"/>
        <v>12.5</v>
      </c>
      <c r="S83">
        <v>0.40870359108935805</v>
      </c>
      <c r="T83" s="140">
        <f t="shared" si="6"/>
        <v>12.908703591089358</v>
      </c>
      <c r="V83" s="38">
        <v>9066</v>
      </c>
      <c r="W83" s="38">
        <v>14.2</v>
      </c>
    </row>
    <row r="84" spans="1:23" x14ac:dyDescent="0.3">
      <c r="A84" s="18">
        <v>7278</v>
      </c>
      <c r="B84" s="18">
        <v>18</v>
      </c>
      <c r="C84" s="18" t="s">
        <v>83</v>
      </c>
      <c r="D84" s="18" t="s">
        <v>78</v>
      </c>
      <c r="E84" s="18" t="s">
        <v>82</v>
      </c>
      <c r="F84" s="18">
        <v>9999</v>
      </c>
      <c r="G84" s="18"/>
      <c r="P84" s="18">
        <v>7510</v>
      </c>
      <c r="Q84" s="136">
        <v>38</v>
      </c>
      <c r="R84" s="19">
        <f t="shared" si="5"/>
        <v>11.5</v>
      </c>
      <c r="S84">
        <v>0.66988182172990107</v>
      </c>
      <c r="T84" s="140">
        <f t="shared" si="6"/>
        <v>12.1698818217299</v>
      </c>
      <c r="V84" s="38">
        <v>7739</v>
      </c>
      <c r="W84" s="38">
        <v>14.5</v>
      </c>
    </row>
    <row r="85" spans="1:23" x14ac:dyDescent="0.3">
      <c r="A85" s="18">
        <v>7279</v>
      </c>
      <c r="B85" s="18">
        <v>18</v>
      </c>
      <c r="C85" s="18" t="s">
        <v>83</v>
      </c>
      <c r="D85" s="18" t="s">
        <v>78</v>
      </c>
      <c r="E85" s="18" t="s">
        <v>79</v>
      </c>
      <c r="F85" s="18">
        <v>9999</v>
      </c>
      <c r="G85" s="18"/>
      <c r="P85" s="18">
        <v>7530</v>
      </c>
      <c r="Q85" s="136">
        <v>40</v>
      </c>
      <c r="R85" s="19">
        <f t="shared" si="5"/>
        <v>11.5</v>
      </c>
      <c r="S85">
        <v>0.55297803326537609</v>
      </c>
      <c r="T85" s="140">
        <f t="shared" si="6"/>
        <v>12.052978033265376</v>
      </c>
      <c r="V85" s="38">
        <v>8961</v>
      </c>
      <c r="W85" s="38">
        <v>14.5</v>
      </c>
    </row>
    <row r="86" spans="1:23" x14ac:dyDescent="0.3">
      <c r="A86" s="18">
        <v>7282</v>
      </c>
      <c r="B86" s="18">
        <v>18</v>
      </c>
      <c r="C86" s="18" t="s">
        <v>77</v>
      </c>
      <c r="D86" s="18" t="s">
        <v>78</v>
      </c>
      <c r="E86" s="18" t="s">
        <v>82</v>
      </c>
      <c r="F86" s="18">
        <v>0</v>
      </c>
      <c r="G86" s="18"/>
      <c r="P86" s="18">
        <v>7534</v>
      </c>
      <c r="Q86" s="136">
        <v>11</v>
      </c>
      <c r="R86" s="19">
        <f t="shared" si="5"/>
        <v>7.5</v>
      </c>
      <c r="S86">
        <v>0.43786058539418204</v>
      </c>
      <c r="T86" s="140">
        <f t="shared" si="6"/>
        <v>7.9378605853941817</v>
      </c>
      <c r="V86" s="38">
        <v>10738</v>
      </c>
      <c r="W86" s="38">
        <v>14.5</v>
      </c>
    </row>
    <row r="87" spans="1:23" x14ac:dyDescent="0.3">
      <c r="A87" s="18">
        <v>7286</v>
      </c>
      <c r="B87" s="18">
        <v>18</v>
      </c>
      <c r="C87" s="18" t="s">
        <v>83</v>
      </c>
      <c r="D87" s="18" t="s">
        <v>78</v>
      </c>
      <c r="E87" s="18" t="s">
        <v>81</v>
      </c>
      <c r="F87" s="18">
        <v>9999</v>
      </c>
      <c r="G87" s="18"/>
      <c r="P87" s="18">
        <v>7536</v>
      </c>
      <c r="Q87" s="136">
        <v>55</v>
      </c>
      <c r="R87" s="19">
        <f t="shared" si="5"/>
        <v>13.5</v>
      </c>
      <c r="S87">
        <v>0.1819334255698295</v>
      </c>
      <c r="T87" s="140">
        <f t="shared" si="6"/>
        <v>13.681933425569829</v>
      </c>
      <c r="V87" s="38">
        <v>6818</v>
      </c>
      <c r="W87" s="38">
        <v>14.6</v>
      </c>
    </row>
    <row r="88" spans="1:23" x14ac:dyDescent="0.3">
      <c r="A88" s="18">
        <v>7299</v>
      </c>
      <c r="B88" s="18">
        <v>18</v>
      </c>
      <c r="C88" s="18" t="s">
        <v>83</v>
      </c>
      <c r="D88" s="18" t="s">
        <v>78</v>
      </c>
      <c r="E88" s="18" t="s">
        <v>81</v>
      </c>
      <c r="F88" s="18">
        <v>9999</v>
      </c>
      <c r="G88" s="18"/>
      <c r="P88" s="18">
        <v>7544</v>
      </c>
      <c r="Q88" s="136">
        <v>36</v>
      </c>
      <c r="R88" s="19">
        <f t="shared" si="5"/>
        <v>10.5</v>
      </c>
      <c r="S88">
        <v>0.90639067185764988</v>
      </c>
      <c r="T88" s="140">
        <f t="shared" si="6"/>
        <v>11.40639067185765</v>
      </c>
      <c r="V88" s="38">
        <v>7491</v>
      </c>
      <c r="W88" s="38">
        <v>14.6</v>
      </c>
    </row>
    <row r="89" spans="1:23" x14ac:dyDescent="0.3">
      <c r="A89" s="18">
        <v>7300</v>
      </c>
      <c r="B89" s="18">
        <v>18</v>
      </c>
      <c r="C89" s="18" t="s">
        <v>83</v>
      </c>
      <c r="D89" s="18" t="s">
        <v>78</v>
      </c>
      <c r="E89" s="18" t="s">
        <v>81</v>
      </c>
      <c r="F89" s="18">
        <v>9999</v>
      </c>
      <c r="G89" s="18"/>
      <c r="P89" s="18">
        <v>7547</v>
      </c>
      <c r="Q89" s="136">
        <v>96</v>
      </c>
      <c r="R89" s="19">
        <f t="shared" si="5"/>
        <v>21.5</v>
      </c>
      <c r="S89">
        <v>0.54604343208017525</v>
      </c>
      <c r="T89" s="140">
        <f t="shared" si="6"/>
        <v>22.046043432080175</v>
      </c>
      <c r="V89" s="38">
        <v>10598</v>
      </c>
      <c r="W89" s="38">
        <v>14.6</v>
      </c>
    </row>
    <row r="90" spans="1:23" x14ac:dyDescent="0.3">
      <c r="A90" s="18">
        <v>7311</v>
      </c>
      <c r="B90" s="18">
        <v>18</v>
      </c>
      <c r="C90" s="18" t="s">
        <v>77</v>
      </c>
      <c r="D90" s="18" t="s">
        <v>85</v>
      </c>
      <c r="E90" s="18" t="s">
        <v>79</v>
      </c>
      <c r="F90" s="18">
        <v>0</v>
      </c>
      <c r="G90" s="18"/>
      <c r="P90" s="18">
        <v>7598</v>
      </c>
      <c r="Q90" s="136">
        <v>46</v>
      </c>
      <c r="R90" s="19">
        <f t="shared" si="5"/>
        <v>12.5</v>
      </c>
      <c r="S90">
        <v>0.21253921421557731</v>
      </c>
      <c r="T90" s="140">
        <f t="shared" si="6"/>
        <v>12.712539214215578</v>
      </c>
      <c r="V90" s="38">
        <v>7672</v>
      </c>
      <c r="W90" s="38">
        <v>14.7</v>
      </c>
    </row>
    <row r="91" spans="1:23" x14ac:dyDescent="0.3">
      <c r="A91" s="18">
        <v>7357</v>
      </c>
      <c r="B91" s="18">
        <v>18</v>
      </c>
      <c r="C91" s="18" t="s">
        <v>77</v>
      </c>
      <c r="D91" s="18" t="s">
        <v>78</v>
      </c>
      <c r="E91" s="18" t="s">
        <v>81</v>
      </c>
      <c r="F91" s="18">
        <v>10</v>
      </c>
      <c r="G91" s="18">
        <v>10.8</v>
      </c>
      <c r="P91" s="18">
        <v>7639</v>
      </c>
      <c r="Q91" s="136">
        <v>61</v>
      </c>
      <c r="R91" s="19">
        <f t="shared" si="5"/>
        <v>14.5</v>
      </c>
      <c r="S91">
        <v>0.27631102201679902</v>
      </c>
      <c r="T91" s="140">
        <f t="shared" si="6"/>
        <v>14.776311022016799</v>
      </c>
      <c r="V91" s="38">
        <v>9088</v>
      </c>
      <c r="W91" s="38">
        <v>14.8</v>
      </c>
    </row>
    <row r="92" spans="1:23" x14ac:dyDescent="0.3">
      <c r="A92" s="18">
        <v>7359</v>
      </c>
      <c r="B92" s="18">
        <v>18</v>
      </c>
      <c r="C92" s="18" t="s">
        <v>77</v>
      </c>
      <c r="D92" s="18" t="s">
        <v>78</v>
      </c>
      <c r="E92" s="18" t="s">
        <v>79</v>
      </c>
      <c r="F92" s="18">
        <v>8</v>
      </c>
      <c r="G92" s="18">
        <v>12.4</v>
      </c>
      <c r="P92" s="18">
        <v>7662</v>
      </c>
      <c r="Q92" s="136">
        <v>66</v>
      </c>
      <c r="R92" s="19">
        <f t="shared" si="5"/>
        <v>14.5</v>
      </c>
      <c r="S92">
        <v>0.55421295517486102</v>
      </c>
      <c r="T92" s="140">
        <f t="shared" si="6"/>
        <v>15.054212955174862</v>
      </c>
      <c r="V92" s="38">
        <v>9188</v>
      </c>
      <c r="W92" s="38">
        <v>14.8</v>
      </c>
    </row>
    <row r="93" spans="1:23" x14ac:dyDescent="0.3">
      <c r="A93" s="18">
        <v>7375</v>
      </c>
      <c r="B93" s="18">
        <v>18</v>
      </c>
      <c r="C93" s="18" t="s">
        <v>77</v>
      </c>
      <c r="D93" s="18" t="s">
        <v>78</v>
      </c>
      <c r="E93" s="18" t="s">
        <v>81</v>
      </c>
      <c r="F93" s="18">
        <v>6</v>
      </c>
      <c r="G93" s="18">
        <v>13.6</v>
      </c>
      <c r="P93" s="18">
        <v>7676</v>
      </c>
      <c r="Q93" s="136">
        <v>44</v>
      </c>
      <c r="R93" s="19">
        <f t="shared" si="5"/>
        <v>12.5</v>
      </c>
      <c r="S93">
        <v>0.24777398723633837</v>
      </c>
      <c r="T93" s="140">
        <f t="shared" si="6"/>
        <v>12.747773987236338</v>
      </c>
      <c r="V93" s="38">
        <v>10552</v>
      </c>
      <c r="W93" s="38">
        <v>15</v>
      </c>
    </row>
    <row r="94" spans="1:23" x14ac:dyDescent="0.3">
      <c r="A94" s="18">
        <v>7376</v>
      </c>
      <c r="B94" s="18">
        <v>18</v>
      </c>
      <c r="C94" s="18" t="s">
        <v>77</v>
      </c>
      <c r="D94" s="18" t="s">
        <v>78</v>
      </c>
      <c r="E94" s="18" t="s">
        <v>81</v>
      </c>
      <c r="F94" s="18">
        <v>3</v>
      </c>
      <c r="G94" s="18"/>
      <c r="P94" s="18">
        <v>7677</v>
      </c>
      <c r="Q94" s="136">
        <v>90</v>
      </c>
      <c r="R94" s="19">
        <f t="shared" si="5"/>
        <v>18.5</v>
      </c>
      <c r="S94">
        <v>0.31011807632819877</v>
      </c>
      <c r="T94" s="140">
        <f t="shared" si="6"/>
        <v>18.810118076328198</v>
      </c>
      <c r="V94" s="38">
        <v>7150</v>
      </c>
      <c r="W94" s="38">
        <v>15.2</v>
      </c>
    </row>
    <row r="95" spans="1:23" x14ac:dyDescent="0.3">
      <c r="A95" s="18">
        <v>7377</v>
      </c>
      <c r="B95" s="18">
        <v>18</v>
      </c>
      <c r="C95" s="18" t="s">
        <v>77</v>
      </c>
      <c r="D95" s="18" t="s">
        <v>78</v>
      </c>
      <c r="E95" s="18" t="s">
        <v>81</v>
      </c>
      <c r="F95" s="18">
        <v>6</v>
      </c>
      <c r="G95" s="18">
        <v>14.2</v>
      </c>
      <c r="P95" s="18">
        <v>7682</v>
      </c>
      <c r="Q95" s="136">
        <v>87</v>
      </c>
      <c r="R95" s="19">
        <f t="shared" si="5"/>
        <v>17.5</v>
      </c>
      <c r="S95">
        <v>0.8015452460668524</v>
      </c>
      <c r="T95" s="140">
        <f t="shared" si="6"/>
        <v>18.301545246066851</v>
      </c>
      <c r="V95" s="38">
        <v>11069</v>
      </c>
      <c r="W95" s="38">
        <v>15.5</v>
      </c>
    </row>
    <row r="96" spans="1:23" x14ac:dyDescent="0.3">
      <c r="A96" s="18">
        <v>7381</v>
      </c>
      <c r="B96" s="18">
        <v>18</v>
      </c>
      <c r="C96" s="18" t="s">
        <v>77</v>
      </c>
      <c r="D96" s="18" t="s">
        <v>78</v>
      </c>
      <c r="E96" s="18" t="s">
        <v>81</v>
      </c>
      <c r="F96" s="18">
        <v>11</v>
      </c>
      <c r="G96" s="18">
        <v>6.1</v>
      </c>
      <c r="P96" s="18">
        <v>7683</v>
      </c>
      <c r="Q96" s="136">
        <v>67</v>
      </c>
      <c r="R96" s="19">
        <f t="shared" si="5"/>
        <v>14.5</v>
      </c>
      <c r="S96">
        <v>0.51212345349580657</v>
      </c>
      <c r="T96" s="140">
        <f t="shared" si="6"/>
        <v>15.012123453495807</v>
      </c>
      <c r="V96" s="38">
        <v>7923</v>
      </c>
      <c r="W96" s="38">
        <v>15.6</v>
      </c>
    </row>
    <row r="97" spans="1:23" x14ac:dyDescent="0.3">
      <c r="A97" s="18">
        <v>7402</v>
      </c>
      <c r="B97" s="18">
        <v>18</v>
      </c>
      <c r="C97" s="18" t="s">
        <v>77</v>
      </c>
      <c r="D97" s="18" t="s">
        <v>78</v>
      </c>
      <c r="E97" s="18" t="s">
        <v>81</v>
      </c>
      <c r="F97" s="18">
        <v>3</v>
      </c>
      <c r="G97" s="18"/>
      <c r="P97" s="18">
        <v>7690</v>
      </c>
      <c r="Q97" s="136">
        <v>78</v>
      </c>
      <c r="R97" s="19">
        <f t="shared" si="5"/>
        <v>15.5</v>
      </c>
      <c r="S97">
        <v>5.540115507930965E-2</v>
      </c>
      <c r="T97" s="140">
        <f t="shared" si="6"/>
        <v>15.555401155079309</v>
      </c>
      <c r="V97" s="38">
        <v>7963</v>
      </c>
      <c r="W97" s="38">
        <v>15.6</v>
      </c>
    </row>
    <row r="98" spans="1:23" x14ac:dyDescent="0.3">
      <c r="A98" s="18">
        <v>7415</v>
      </c>
      <c r="B98" s="18">
        <v>18</v>
      </c>
      <c r="C98" s="18" t="s">
        <v>77</v>
      </c>
      <c r="D98" s="18" t="s">
        <v>78</v>
      </c>
      <c r="E98" s="18" t="s">
        <v>79</v>
      </c>
      <c r="F98" s="18">
        <v>16</v>
      </c>
      <c r="G98" s="18">
        <v>13.2</v>
      </c>
      <c r="P98" s="18">
        <v>7695</v>
      </c>
      <c r="Q98" s="136">
        <v>57</v>
      </c>
      <c r="R98" s="19">
        <f t="shared" si="5"/>
        <v>13.5</v>
      </c>
      <c r="S98">
        <v>4.0347010872689326E-2</v>
      </c>
      <c r="T98" s="140">
        <f t="shared" si="6"/>
        <v>13.54034701087269</v>
      </c>
      <c r="V98" s="38">
        <v>9394</v>
      </c>
      <c r="W98" s="38">
        <v>15.6</v>
      </c>
    </row>
    <row r="99" spans="1:23" x14ac:dyDescent="0.3">
      <c r="A99" s="18">
        <v>7420</v>
      </c>
      <c r="B99" s="18">
        <v>18</v>
      </c>
      <c r="C99" s="18" t="s">
        <v>77</v>
      </c>
      <c r="D99" s="18" t="s">
        <v>78</v>
      </c>
      <c r="E99" s="18" t="s">
        <v>82</v>
      </c>
      <c r="F99" s="18">
        <v>2</v>
      </c>
      <c r="G99" s="18"/>
      <c r="P99" s="18">
        <v>7702</v>
      </c>
      <c r="Q99" s="136">
        <v>68</v>
      </c>
      <c r="R99" s="19">
        <f t="shared" si="5"/>
        <v>14.5</v>
      </c>
      <c r="S99">
        <v>0.86248163911669296</v>
      </c>
      <c r="T99" s="140">
        <f t="shared" si="6"/>
        <v>15.362481639116693</v>
      </c>
      <c r="V99" s="38">
        <v>7506</v>
      </c>
      <c r="W99" s="38">
        <v>15.7</v>
      </c>
    </row>
    <row r="100" spans="1:23" x14ac:dyDescent="0.3">
      <c r="A100" s="18">
        <v>7422</v>
      </c>
      <c r="B100" s="18">
        <v>18</v>
      </c>
      <c r="C100" s="18" t="s">
        <v>83</v>
      </c>
      <c r="D100" s="18" t="s">
        <v>78</v>
      </c>
      <c r="E100" s="18" t="s">
        <v>79</v>
      </c>
      <c r="F100" s="18">
        <v>9999</v>
      </c>
      <c r="G100" s="18"/>
      <c r="P100" s="18">
        <v>7713</v>
      </c>
      <c r="Q100" s="136">
        <v>44</v>
      </c>
      <c r="R100" s="19">
        <f t="shared" si="5"/>
        <v>12.5</v>
      </c>
      <c r="S100">
        <v>0.61720328343840258</v>
      </c>
      <c r="T100" s="140">
        <f t="shared" si="6"/>
        <v>13.117203283438403</v>
      </c>
      <c r="V100" s="38">
        <v>10849</v>
      </c>
      <c r="W100" s="38">
        <v>15.8</v>
      </c>
    </row>
    <row r="101" spans="1:23" x14ac:dyDescent="0.3">
      <c r="A101" s="18">
        <v>7423</v>
      </c>
      <c r="B101" s="18">
        <v>18</v>
      </c>
      <c r="C101" s="18" t="s">
        <v>77</v>
      </c>
      <c r="D101" s="18" t="s">
        <v>80</v>
      </c>
      <c r="E101" s="18" t="s">
        <v>82</v>
      </c>
      <c r="F101" s="18">
        <v>0</v>
      </c>
      <c r="G101" s="18">
        <v>61.1</v>
      </c>
      <c r="P101" s="18">
        <v>7723</v>
      </c>
      <c r="Q101" s="136">
        <v>52</v>
      </c>
      <c r="R101" s="19">
        <f t="shared" si="5"/>
        <v>12.5</v>
      </c>
      <c r="S101">
        <v>0.87573130757982942</v>
      </c>
      <c r="T101" s="140">
        <f t="shared" si="6"/>
        <v>13.37573130757983</v>
      </c>
      <c r="V101" s="38">
        <v>7643</v>
      </c>
      <c r="W101" s="38">
        <v>16</v>
      </c>
    </row>
    <row r="102" spans="1:23" x14ac:dyDescent="0.3">
      <c r="A102" s="18">
        <v>7425</v>
      </c>
      <c r="B102" s="18">
        <v>18</v>
      </c>
      <c r="C102" s="18" t="s">
        <v>77</v>
      </c>
      <c r="D102" s="18" t="s">
        <v>78</v>
      </c>
      <c r="E102" s="18" t="s">
        <v>82</v>
      </c>
      <c r="F102" s="18">
        <v>0</v>
      </c>
      <c r="G102" s="18"/>
      <c r="P102" s="18">
        <v>7834</v>
      </c>
      <c r="Q102" s="136">
        <v>79</v>
      </c>
      <c r="R102" s="19">
        <f t="shared" si="5"/>
        <v>16.5</v>
      </c>
      <c r="S102">
        <v>0.70172091690664873</v>
      </c>
      <c r="T102" s="140">
        <f t="shared" si="6"/>
        <v>17.201720916906648</v>
      </c>
      <c r="V102" s="38">
        <v>8170</v>
      </c>
      <c r="W102" s="38">
        <v>16</v>
      </c>
    </row>
    <row r="103" spans="1:23" x14ac:dyDescent="0.3">
      <c r="A103" s="18">
        <v>7428</v>
      </c>
      <c r="B103" s="18">
        <v>18</v>
      </c>
      <c r="C103" s="18" t="s">
        <v>77</v>
      </c>
      <c r="D103" s="18" t="s">
        <v>78</v>
      </c>
      <c r="E103" s="18" t="s">
        <v>79</v>
      </c>
      <c r="F103" s="18">
        <v>2</v>
      </c>
      <c r="G103" s="18"/>
      <c r="P103" s="18">
        <v>7967</v>
      </c>
      <c r="Q103" s="136">
        <v>66</v>
      </c>
      <c r="R103" s="19">
        <f t="shared" si="5"/>
        <v>14.5</v>
      </c>
      <c r="S103">
        <v>0.58678056606811013</v>
      </c>
      <c r="T103" s="140">
        <f t="shared" si="6"/>
        <v>15.086780566068111</v>
      </c>
      <c r="V103" s="38">
        <v>7928</v>
      </c>
      <c r="W103" s="38">
        <v>16.100000000000001</v>
      </c>
    </row>
    <row r="104" spans="1:23" x14ac:dyDescent="0.3">
      <c r="A104" s="18">
        <v>7431</v>
      </c>
      <c r="B104" s="18">
        <v>18</v>
      </c>
      <c r="C104" s="18" t="s">
        <v>77</v>
      </c>
      <c r="D104" s="18" t="s">
        <v>78</v>
      </c>
      <c r="E104" s="18" t="s">
        <v>82</v>
      </c>
      <c r="F104" s="18">
        <v>0</v>
      </c>
      <c r="G104" s="18"/>
      <c r="P104" s="18">
        <v>7978</v>
      </c>
      <c r="Q104" s="136">
        <v>50</v>
      </c>
      <c r="R104" s="19">
        <f t="shared" si="5"/>
        <v>12.5</v>
      </c>
      <c r="S104">
        <v>0.7399075845105676</v>
      </c>
      <c r="T104" s="140">
        <f t="shared" si="6"/>
        <v>13.239907584510568</v>
      </c>
      <c r="V104" s="38">
        <v>8958</v>
      </c>
      <c r="W104" s="38">
        <v>16.2</v>
      </c>
    </row>
    <row r="105" spans="1:23" x14ac:dyDescent="0.3">
      <c r="A105" s="18">
        <v>7434</v>
      </c>
      <c r="B105" s="18">
        <v>18</v>
      </c>
      <c r="C105" s="18" t="s">
        <v>77</v>
      </c>
      <c r="D105" s="18" t="s">
        <v>78</v>
      </c>
      <c r="E105" s="18" t="s">
        <v>79</v>
      </c>
      <c r="F105" s="18">
        <v>0</v>
      </c>
      <c r="G105" s="18"/>
      <c r="P105" s="18">
        <v>7988</v>
      </c>
      <c r="Q105" s="136">
        <v>71</v>
      </c>
      <c r="R105" s="19">
        <f t="shared" si="5"/>
        <v>15.5</v>
      </c>
      <c r="S105">
        <v>0.61368127215113111</v>
      </c>
      <c r="T105" s="140">
        <f t="shared" si="6"/>
        <v>16.11368127215113</v>
      </c>
      <c r="V105" s="38">
        <v>6805</v>
      </c>
      <c r="W105" s="38">
        <v>16.399999999999999</v>
      </c>
    </row>
    <row r="106" spans="1:23" x14ac:dyDescent="0.3">
      <c r="A106" s="18">
        <v>7436</v>
      </c>
      <c r="B106" s="18">
        <v>18</v>
      </c>
      <c r="C106" s="18" t="s">
        <v>77</v>
      </c>
      <c r="D106" s="18" t="s">
        <v>78</v>
      </c>
      <c r="E106" s="18" t="s">
        <v>79</v>
      </c>
      <c r="F106" s="18">
        <v>2</v>
      </c>
      <c r="G106" s="18"/>
      <c r="P106" s="18">
        <v>7990</v>
      </c>
      <c r="Q106" s="136">
        <v>27</v>
      </c>
      <c r="R106" s="19">
        <f t="shared" si="5"/>
        <v>9.5</v>
      </c>
      <c r="S106">
        <v>0.31757295883455372</v>
      </c>
      <c r="T106" s="140">
        <f t="shared" si="6"/>
        <v>9.8175729588345533</v>
      </c>
      <c r="V106" s="38">
        <v>11323</v>
      </c>
      <c r="W106" s="38">
        <v>16.399999999999999</v>
      </c>
    </row>
    <row r="107" spans="1:23" x14ac:dyDescent="0.3">
      <c r="A107" s="18">
        <v>7441</v>
      </c>
      <c r="B107" s="18">
        <v>18</v>
      </c>
      <c r="C107" s="18" t="s">
        <v>77</v>
      </c>
      <c r="D107" s="18" t="s">
        <v>78</v>
      </c>
      <c r="E107" s="18" t="s">
        <v>82</v>
      </c>
      <c r="F107" s="18">
        <v>1</v>
      </c>
      <c r="G107" s="18"/>
      <c r="P107" s="18">
        <v>8010</v>
      </c>
      <c r="Q107" s="136">
        <v>66</v>
      </c>
      <c r="R107" s="19">
        <f t="shared" si="5"/>
        <v>14.5</v>
      </c>
      <c r="S107">
        <v>0.86682442493937417</v>
      </c>
      <c r="T107" s="140">
        <f t="shared" si="6"/>
        <v>15.366824424939374</v>
      </c>
      <c r="V107" s="38">
        <v>7155</v>
      </c>
      <c r="W107" s="38">
        <v>16.600000000000001</v>
      </c>
    </row>
    <row r="108" spans="1:23" x14ac:dyDescent="0.3">
      <c r="A108" s="18">
        <v>7444</v>
      </c>
      <c r="B108" s="18">
        <v>18</v>
      </c>
      <c r="C108" s="18" t="s">
        <v>77</v>
      </c>
      <c r="D108" s="18" t="s">
        <v>78</v>
      </c>
      <c r="E108" s="18" t="s">
        <v>79</v>
      </c>
      <c r="F108" s="18">
        <v>16</v>
      </c>
      <c r="G108" s="18">
        <v>10.3</v>
      </c>
      <c r="P108" s="18">
        <v>8031</v>
      </c>
      <c r="Q108" s="136">
        <v>48</v>
      </c>
      <c r="R108" s="19">
        <f t="shared" si="5"/>
        <v>12.5</v>
      </c>
      <c r="S108">
        <v>8.4976507667967272E-2</v>
      </c>
      <c r="T108" s="140">
        <f t="shared" si="6"/>
        <v>12.584976507667967</v>
      </c>
      <c r="V108" s="38">
        <v>7461</v>
      </c>
      <c r="W108" s="38">
        <v>16.7</v>
      </c>
    </row>
    <row r="109" spans="1:23" x14ac:dyDescent="0.3">
      <c r="A109" s="18">
        <v>7461</v>
      </c>
      <c r="B109" s="18">
        <v>18</v>
      </c>
      <c r="C109" s="18" t="s">
        <v>77</v>
      </c>
      <c r="D109" s="18" t="s">
        <v>78</v>
      </c>
      <c r="E109" s="18" t="s">
        <v>82</v>
      </c>
      <c r="F109" s="18">
        <v>3</v>
      </c>
      <c r="G109" s="18">
        <v>16.7</v>
      </c>
      <c r="P109" s="18">
        <v>8172</v>
      </c>
      <c r="Q109" s="136">
        <v>94</v>
      </c>
      <c r="R109" s="19">
        <f t="shared" si="5"/>
        <v>19.5</v>
      </c>
      <c r="S109">
        <v>0.21699935253419134</v>
      </c>
      <c r="T109" s="140">
        <f t="shared" si="6"/>
        <v>19.716999352534192</v>
      </c>
      <c r="V109" s="38">
        <v>7661</v>
      </c>
      <c r="W109" s="38">
        <v>16.7</v>
      </c>
    </row>
    <row r="110" spans="1:23" x14ac:dyDescent="0.3">
      <c r="A110" s="18">
        <v>7462</v>
      </c>
      <c r="B110" s="18">
        <v>18</v>
      </c>
      <c r="C110" s="18" t="s">
        <v>77</v>
      </c>
      <c r="D110" s="18" t="s">
        <v>78</v>
      </c>
      <c r="E110" s="18" t="s">
        <v>79</v>
      </c>
      <c r="F110" s="18">
        <v>1</v>
      </c>
      <c r="G110" s="18"/>
      <c r="P110" s="18">
        <v>8178</v>
      </c>
      <c r="Q110" s="136">
        <v>86</v>
      </c>
      <c r="R110" s="19">
        <f t="shared" si="5"/>
        <v>17.5</v>
      </c>
      <c r="S110">
        <v>0.23035283140115459</v>
      </c>
      <c r="T110" s="140">
        <f t="shared" si="6"/>
        <v>17.730352831401156</v>
      </c>
      <c r="V110" s="38">
        <v>7659</v>
      </c>
      <c r="W110" s="38">
        <v>16.8</v>
      </c>
    </row>
    <row r="111" spans="1:23" x14ac:dyDescent="0.3">
      <c r="A111" s="18">
        <v>7465</v>
      </c>
      <c r="B111" s="18">
        <v>18</v>
      </c>
      <c r="C111" s="18" t="s">
        <v>83</v>
      </c>
      <c r="D111" s="18" t="s">
        <v>78</v>
      </c>
      <c r="E111" s="18" t="s">
        <v>79</v>
      </c>
      <c r="F111" s="18">
        <v>9999</v>
      </c>
      <c r="G111" s="18"/>
      <c r="P111" s="18">
        <v>8190</v>
      </c>
      <c r="Q111" s="136">
        <v>38</v>
      </c>
      <c r="R111" s="19">
        <f t="shared" si="5"/>
        <v>11.5</v>
      </c>
      <c r="S111">
        <v>0.59679908440164831</v>
      </c>
      <c r="T111" s="140">
        <f t="shared" si="6"/>
        <v>12.096799084401649</v>
      </c>
      <c r="V111" s="38">
        <v>8182</v>
      </c>
      <c r="W111" s="38">
        <v>16.8</v>
      </c>
    </row>
    <row r="112" spans="1:23" x14ac:dyDescent="0.3">
      <c r="A112" s="18">
        <v>7466</v>
      </c>
      <c r="B112" s="18">
        <v>18</v>
      </c>
      <c r="C112" s="18" t="s">
        <v>83</v>
      </c>
      <c r="D112" s="18" t="s">
        <v>78</v>
      </c>
      <c r="E112" s="18" t="s">
        <v>82</v>
      </c>
      <c r="F112" s="18">
        <v>9999</v>
      </c>
      <c r="G112" s="18"/>
      <c r="P112" s="18">
        <v>8191</v>
      </c>
      <c r="Q112" s="136">
        <v>9</v>
      </c>
      <c r="R112" s="19">
        <f t="shared" si="5"/>
        <v>7.5</v>
      </c>
      <c r="S112">
        <v>0.75322038427110194</v>
      </c>
      <c r="T112" s="140">
        <f t="shared" si="6"/>
        <v>8.2532203842711027</v>
      </c>
      <c r="V112" s="38">
        <v>8294</v>
      </c>
      <c r="W112" s="38">
        <v>16.8</v>
      </c>
    </row>
    <row r="113" spans="1:23" x14ac:dyDescent="0.3">
      <c r="A113" s="18">
        <v>7468</v>
      </c>
      <c r="B113" s="18">
        <v>18</v>
      </c>
      <c r="C113" s="18" t="s">
        <v>77</v>
      </c>
      <c r="D113" s="18" t="s">
        <v>84</v>
      </c>
      <c r="E113" s="18" t="s">
        <v>82</v>
      </c>
      <c r="F113" s="18">
        <v>0</v>
      </c>
      <c r="G113" s="18"/>
      <c r="P113" s="18">
        <v>8193</v>
      </c>
      <c r="Q113" s="136">
        <v>89</v>
      </c>
      <c r="R113" s="19">
        <f t="shared" si="5"/>
        <v>18.5</v>
      </c>
      <c r="S113">
        <v>0.36223630549538188</v>
      </c>
      <c r="T113" s="140">
        <f t="shared" si="6"/>
        <v>18.862236305495383</v>
      </c>
      <c r="V113" s="38">
        <v>7954</v>
      </c>
      <c r="W113" s="38">
        <v>17</v>
      </c>
    </row>
    <row r="114" spans="1:23" x14ac:dyDescent="0.3">
      <c r="A114" s="18">
        <v>7471</v>
      </c>
      <c r="B114" s="18">
        <v>18</v>
      </c>
      <c r="C114" s="18" t="s">
        <v>77</v>
      </c>
      <c r="D114" s="18" t="s">
        <v>78</v>
      </c>
      <c r="E114" s="18" t="s">
        <v>82</v>
      </c>
      <c r="F114" s="18">
        <v>0</v>
      </c>
      <c r="G114" s="18"/>
      <c r="P114" s="18">
        <v>8196</v>
      </c>
      <c r="Q114" s="136">
        <v>61</v>
      </c>
      <c r="R114" s="19">
        <f t="shared" si="5"/>
        <v>14.5</v>
      </c>
      <c r="S114">
        <v>0.94031743151450786</v>
      </c>
      <c r="T114" s="140">
        <f t="shared" si="6"/>
        <v>15.440317431514508</v>
      </c>
      <c r="V114" s="38">
        <v>7242</v>
      </c>
      <c r="W114" s="38">
        <v>17.100000000000001</v>
      </c>
    </row>
    <row r="115" spans="1:23" x14ac:dyDescent="0.3">
      <c r="A115" s="18">
        <v>7475</v>
      </c>
      <c r="B115" s="18">
        <v>18</v>
      </c>
      <c r="C115" s="18" t="s">
        <v>77</v>
      </c>
      <c r="D115" s="18" t="s">
        <v>78</v>
      </c>
      <c r="E115" s="18" t="s">
        <v>79</v>
      </c>
      <c r="F115" s="18">
        <v>1</v>
      </c>
      <c r="G115" s="18"/>
      <c r="P115" s="18">
        <v>8200</v>
      </c>
      <c r="Q115" s="136">
        <v>55</v>
      </c>
      <c r="R115" s="19">
        <f t="shared" si="5"/>
        <v>13.5</v>
      </c>
      <c r="S115">
        <v>2.2798172645075443E-2</v>
      </c>
      <c r="T115" s="140">
        <f t="shared" si="6"/>
        <v>13.522798172645075</v>
      </c>
      <c r="V115" s="38">
        <v>7665</v>
      </c>
      <c r="W115" s="38">
        <v>17.100000000000001</v>
      </c>
    </row>
    <row r="116" spans="1:23" x14ac:dyDescent="0.3">
      <c r="A116" s="18">
        <v>7488</v>
      </c>
      <c r="B116" s="18">
        <v>18</v>
      </c>
      <c r="C116" s="18" t="s">
        <v>77</v>
      </c>
      <c r="D116" s="18" t="s">
        <v>78</v>
      </c>
      <c r="E116" s="18" t="s">
        <v>81</v>
      </c>
      <c r="F116" s="18">
        <v>19</v>
      </c>
      <c r="G116" s="18">
        <v>9.1</v>
      </c>
      <c r="P116" s="18">
        <v>8259</v>
      </c>
      <c r="Q116" s="136">
        <v>39</v>
      </c>
      <c r="R116" s="19">
        <f t="shared" si="5"/>
        <v>11.5</v>
      </c>
      <c r="S116">
        <v>0.36933376648866001</v>
      </c>
      <c r="T116" s="140">
        <f t="shared" si="6"/>
        <v>11.86933376648866</v>
      </c>
      <c r="V116" s="38">
        <v>7669</v>
      </c>
      <c r="W116" s="38">
        <v>17.3</v>
      </c>
    </row>
    <row r="117" spans="1:23" x14ac:dyDescent="0.3">
      <c r="A117" s="18">
        <v>7489</v>
      </c>
      <c r="B117" s="18">
        <v>18</v>
      </c>
      <c r="C117" s="18" t="s">
        <v>77</v>
      </c>
      <c r="D117" s="18" t="s">
        <v>78</v>
      </c>
      <c r="E117" s="18" t="s">
        <v>81</v>
      </c>
      <c r="F117" s="18">
        <v>5</v>
      </c>
      <c r="G117" s="18">
        <v>9.4</v>
      </c>
      <c r="P117" s="18">
        <v>8276</v>
      </c>
      <c r="Q117" s="136">
        <v>40</v>
      </c>
      <c r="R117" s="19">
        <f t="shared" si="5"/>
        <v>11.5</v>
      </c>
      <c r="S117">
        <v>0.53961900232011994</v>
      </c>
      <c r="T117" s="140">
        <f t="shared" si="6"/>
        <v>12.039619002320119</v>
      </c>
      <c r="V117" s="38">
        <v>11042</v>
      </c>
      <c r="W117" s="38">
        <v>17.3</v>
      </c>
    </row>
    <row r="118" spans="1:23" x14ac:dyDescent="0.3">
      <c r="A118" s="18">
        <v>7491</v>
      </c>
      <c r="B118" s="18">
        <v>18</v>
      </c>
      <c r="C118" s="18" t="s">
        <v>77</v>
      </c>
      <c r="D118" s="18" t="s">
        <v>78</v>
      </c>
      <c r="E118" s="18" t="s">
        <v>81</v>
      </c>
      <c r="F118" s="18">
        <v>12</v>
      </c>
      <c r="G118" s="18">
        <v>14.6</v>
      </c>
      <c r="P118" s="18">
        <v>8293</v>
      </c>
      <c r="Q118" s="136">
        <v>26</v>
      </c>
      <c r="R118" s="19">
        <f t="shared" si="5"/>
        <v>9.5</v>
      </c>
      <c r="S118">
        <v>0.12804293626481011</v>
      </c>
      <c r="T118" s="140">
        <f t="shared" si="6"/>
        <v>9.6280429362648103</v>
      </c>
      <c r="V118" s="38">
        <v>9395</v>
      </c>
      <c r="W118" s="38">
        <v>17.5</v>
      </c>
    </row>
    <row r="119" spans="1:23" x14ac:dyDescent="0.3">
      <c r="A119" s="18">
        <v>7494</v>
      </c>
      <c r="B119" s="18">
        <v>18</v>
      </c>
      <c r="C119" s="18" t="s">
        <v>77</v>
      </c>
      <c r="D119" s="18" t="s">
        <v>84</v>
      </c>
      <c r="E119" s="18" t="s">
        <v>81</v>
      </c>
      <c r="F119" s="18">
        <v>8</v>
      </c>
      <c r="G119" s="18">
        <v>30.2</v>
      </c>
      <c r="P119" s="18">
        <v>8398</v>
      </c>
      <c r="Q119" s="136">
        <v>48</v>
      </c>
      <c r="R119" s="19">
        <f t="shared" si="5"/>
        <v>12.5</v>
      </c>
      <c r="S119">
        <v>0.74733028425838899</v>
      </c>
      <c r="T119" s="140">
        <f t="shared" si="6"/>
        <v>13.247330284258389</v>
      </c>
      <c r="V119" s="38">
        <v>7898</v>
      </c>
      <c r="W119" s="38">
        <v>17.7</v>
      </c>
    </row>
    <row r="120" spans="1:23" x14ac:dyDescent="0.3">
      <c r="A120" s="18">
        <v>7506</v>
      </c>
      <c r="B120" s="18">
        <v>18</v>
      </c>
      <c r="C120" s="18" t="s">
        <v>77</v>
      </c>
      <c r="D120" s="18" t="s">
        <v>78</v>
      </c>
      <c r="E120" s="18" t="s">
        <v>81</v>
      </c>
      <c r="F120" s="18">
        <v>5</v>
      </c>
      <c r="G120" s="18">
        <v>15.7</v>
      </c>
      <c r="P120" s="18">
        <v>8405</v>
      </c>
      <c r="Q120" s="136">
        <v>77</v>
      </c>
      <c r="R120" s="19">
        <f t="shared" si="5"/>
        <v>15.5</v>
      </c>
      <c r="S120">
        <v>8.9663774756157277E-2</v>
      </c>
      <c r="T120" s="140">
        <f t="shared" si="6"/>
        <v>15.589663774756158</v>
      </c>
      <c r="V120" s="38">
        <v>9779</v>
      </c>
      <c r="W120" s="38">
        <v>17.7</v>
      </c>
    </row>
    <row r="121" spans="1:23" x14ac:dyDescent="0.3">
      <c r="A121" s="18">
        <v>7510</v>
      </c>
      <c r="B121" s="18">
        <v>18</v>
      </c>
      <c r="C121" s="18" t="s">
        <v>83</v>
      </c>
      <c r="D121" s="18" t="s">
        <v>78</v>
      </c>
      <c r="E121" s="18" t="s">
        <v>79</v>
      </c>
      <c r="F121" s="18">
        <v>9999</v>
      </c>
      <c r="G121" s="18"/>
      <c r="P121" s="18">
        <v>8410</v>
      </c>
      <c r="Q121" s="136">
        <v>94</v>
      </c>
      <c r="R121" s="19">
        <f t="shared" si="5"/>
        <v>19.5</v>
      </c>
      <c r="S121">
        <v>0.77615475823431335</v>
      </c>
      <c r="T121" s="140">
        <f t="shared" si="6"/>
        <v>20.276154758234313</v>
      </c>
      <c r="V121" s="38">
        <v>9800</v>
      </c>
      <c r="W121" s="38">
        <v>17.7</v>
      </c>
    </row>
    <row r="122" spans="1:23" x14ac:dyDescent="0.3">
      <c r="A122" s="18">
        <v>7512</v>
      </c>
      <c r="B122" s="18">
        <v>18</v>
      </c>
      <c r="C122" s="18" t="s">
        <v>77</v>
      </c>
      <c r="D122" s="18" t="s">
        <v>78</v>
      </c>
      <c r="E122" s="18" t="s">
        <v>81</v>
      </c>
      <c r="F122" s="18">
        <v>4</v>
      </c>
      <c r="G122" s="18">
        <v>12.2</v>
      </c>
      <c r="P122" s="18">
        <v>8425</v>
      </c>
      <c r="Q122" s="136">
        <v>78</v>
      </c>
      <c r="R122" s="19">
        <f t="shared" si="5"/>
        <v>15.5</v>
      </c>
      <c r="S122">
        <v>0.37359854735423592</v>
      </c>
      <c r="T122" s="140">
        <f t="shared" si="6"/>
        <v>15.873598547354236</v>
      </c>
      <c r="V122" s="38">
        <v>7555</v>
      </c>
      <c r="W122" s="38">
        <v>17.8</v>
      </c>
    </row>
    <row r="123" spans="1:23" x14ac:dyDescent="0.3">
      <c r="A123" s="18">
        <v>7527</v>
      </c>
      <c r="B123" s="18">
        <v>18</v>
      </c>
      <c r="C123" s="18" t="s">
        <v>77</v>
      </c>
      <c r="D123" s="18" t="s">
        <v>78</v>
      </c>
      <c r="E123" s="18" t="s">
        <v>81</v>
      </c>
      <c r="F123" s="18">
        <v>7</v>
      </c>
      <c r="G123" s="18">
        <v>18.600000000000001</v>
      </c>
      <c r="P123" s="18">
        <v>8428</v>
      </c>
      <c r="Q123" s="136">
        <v>66</v>
      </c>
      <c r="R123" s="19">
        <f t="shared" si="5"/>
        <v>14.5</v>
      </c>
      <c r="S123">
        <v>0.50454856622646527</v>
      </c>
      <c r="T123" s="140">
        <f t="shared" si="6"/>
        <v>15.004548566226465</v>
      </c>
      <c r="V123" s="38">
        <v>8174</v>
      </c>
      <c r="W123" s="38">
        <v>17.8</v>
      </c>
    </row>
    <row r="124" spans="1:23" x14ac:dyDescent="0.3">
      <c r="A124" s="18">
        <v>7530</v>
      </c>
      <c r="B124" s="18">
        <v>18</v>
      </c>
      <c r="C124" s="18" t="s">
        <v>77</v>
      </c>
      <c r="D124" s="18" t="s">
        <v>78</v>
      </c>
      <c r="E124" s="18" t="s">
        <v>81</v>
      </c>
      <c r="F124" s="18">
        <v>0</v>
      </c>
      <c r="G124" s="18"/>
      <c r="P124" s="18">
        <v>8481</v>
      </c>
      <c r="Q124" s="136">
        <v>67</v>
      </c>
      <c r="R124" s="19">
        <f t="shared" si="5"/>
        <v>14.5</v>
      </c>
      <c r="S124">
        <v>0.45621087845953534</v>
      </c>
      <c r="T124" s="140">
        <f t="shared" si="6"/>
        <v>14.956210878459535</v>
      </c>
      <c r="V124" s="38">
        <v>7265</v>
      </c>
      <c r="W124" s="38">
        <v>18</v>
      </c>
    </row>
    <row r="125" spans="1:23" x14ac:dyDescent="0.3">
      <c r="A125" s="18">
        <v>7534</v>
      </c>
      <c r="B125" s="18">
        <v>18</v>
      </c>
      <c r="C125" s="18" t="s">
        <v>83</v>
      </c>
      <c r="D125" s="18" t="s">
        <v>78</v>
      </c>
      <c r="E125" s="18" t="s">
        <v>81</v>
      </c>
      <c r="F125" s="18">
        <v>9999</v>
      </c>
      <c r="G125" s="18"/>
      <c r="P125" s="18">
        <v>8775</v>
      </c>
      <c r="Q125" s="136">
        <v>49</v>
      </c>
      <c r="R125" s="19">
        <f t="shared" si="5"/>
        <v>12.5</v>
      </c>
      <c r="S125">
        <v>0.92856310033479528</v>
      </c>
      <c r="T125" s="140">
        <f t="shared" si="6"/>
        <v>13.428563100334795</v>
      </c>
      <c r="V125" s="38">
        <v>7743</v>
      </c>
      <c r="W125" s="38">
        <v>18.399999999999999</v>
      </c>
    </row>
    <row r="126" spans="1:23" x14ac:dyDescent="0.3">
      <c r="A126" s="18">
        <v>7536</v>
      </c>
      <c r="B126" s="18">
        <v>18</v>
      </c>
      <c r="C126" s="18" t="s">
        <v>83</v>
      </c>
      <c r="D126" s="18" t="s">
        <v>78</v>
      </c>
      <c r="E126" s="18" t="s">
        <v>81</v>
      </c>
      <c r="F126" s="18">
        <v>9999</v>
      </c>
      <c r="G126" s="18"/>
      <c r="P126" s="18">
        <v>8788</v>
      </c>
      <c r="Q126" s="136">
        <v>85</v>
      </c>
      <c r="R126" s="19">
        <f t="shared" si="5"/>
        <v>17.5</v>
      </c>
      <c r="S126">
        <v>0.92491154119376306</v>
      </c>
      <c r="T126" s="140">
        <f t="shared" si="6"/>
        <v>18.424911541193762</v>
      </c>
      <c r="V126" s="38">
        <v>7658</v>
      </c>
      <c r="W126" s="38">
        <v>18.5</v>
      </c>
    </row>
    <row r="127" spans="1:23" x14ac:dyDescent="0.3">
      <c r="A127" s="18">
        <v>7544</v>
      </c>
      <c r="B127" s="18">
        <v>18</v>
      </c>
      <c r="C127" s="18" t="s">
        <v>83</v>
      </c>
      <c r="D127" s="18" t="s">
        <v>78</v>
      </c>
      <c r="E127" s="18" t="s">
        <v>81</v>
      </c>
      <c r="F127" s="18">
        <v>9999</v>
      </c>
      <c r="G127" s="18"/>
      <c r="P127" s="18">
        <v>8838</v>
      </c>
      <c r="Q127" s="136">
        <v>67</v>
      </c>
      <c r="R127" s="19">
        <f t="shared" si="5"/>
        <v>14.5</v>
      </c>
      <c r="S127">
        <v>0.10192254805192968</v>
      </c>
      <c r="T127" s="140">
        <f t="shared" si="6"/>
        <v>14.601922548051929</v>
      </c>
      <c r="V127" s="38">
        <v>7527</v>
      </c>
      <c r="W127" s="38">
        <v>18.600000000000001</v>
      </c>
    </row>
    <row r="128" spans="1:23" x14ac:dyDescent="0.3">
      <c r="A128" s="18">
        <v>7547</v>
      </c>
      <c r="B128" s="18">
        <v>18</v>
      </c>
      <c r="C128" s="18" t="s">
        <v>83</v>
      </c>
      <c r="D128" s="18" t="s">
        <v>78</v>
      </c>
      <c r="E128" s="18" t="s">
        <v>81</v>
      </c>
      <c r="F128" s="18">
        <v>9999</v>
      </c>
      <c r="G128" s="18"/>
      <c r="P128" s="18">
        <v>9059</v>
      </c>
      <c r="Q128" s="136">
        <v>11</v>
      </c>
      <c r="R128" s="19">
        <f t="shared" si="5"/>
        <v>7.5</v>
      </c>
      <c r="S128">
        <v>0.18350181516008435</v>
      </c>
      <c r="T128" s="140">
        <f t="shared" si="6"/>
        <v>7.683501815160084</v>
      </c>
      <c r="V128" s="38">
        <v>8676</v>
      </c>
      <c r="W128" s="38">
        <v>18.600000000000001</v>
      </c>
    </row>
    <row r="129" spans="1:23" x14ac:dyDescent="0.3">
      <c r="A129" s="18">
        <v>7554</v>
      </c>
      <c r="B129" s="18">
        <v>18</v>
      </c>
      <c r="C129" s="18" t="s">
        <v>77</v>
      </c>
      <c r="D129" s="18" t="s">
        <v>78</v>
      </c>
      <c r="E129" s="18" t="s">
        <v>81</v>
      </c>
      <c r="F129" s="18">
        <v>7</v>
      </c>
      <c r="G129" s="18">
        <v>11.9</v>
      </c>
      <c r="P129" s="18">
        <v>9060</v>
      </c>
      <c r="Q129" s="136">
        <v>27</v>
      </c>
      <c r="R129" s="19">
        <f t="shared" si="5"/>
        <v>9.5</v>
      </c>
      <c r="S129">
        <v>0.78762183284852916</v>
      </c>
      <c r="T129" s="140">
        <f t="shared" si="6"/>
        <v>10.287621832848529</v>
      </c>
      <c r="V129" s="38">
        <v>10715</v>
      </c>
      <c r="W129" s="38">
        <v>18.7</v>
      </c>
    </row>
    <row r="130" spans="1:23" x14ac:dyDescent="0.3">
      <c r="A130" s="18">
        <v>7555</v>
      </c>
      <c r="B130" s="18">
        <v>18</v>
      </c>
      <c r="C130" s="18" t="s">
        <v>77</v>
      </c>
      <c r="D130" s="18" t="s">
        <v>78</v>
      </c>
      <c r="E130" s="18" t="s">
        <v>79</v>
      </c>
      <c r="F130" s="18">
        <v>16</v>
      </c>
      <c r="G130" s="18">
        <v>17.8</v>
      </c>
      <c r="P130" s="18">
        <v>9067</v>
      </c>
      <c r="Q130" s="136">
        <v>33</v>
      </c>
      <c r="R130" s="19">
        <f t="shared" si="5"/>
        <v>10.5</v>
      </c>
      <c r="S130">
        <v>0.10196103579190352</v>
      </c>
      <c r="T130" s="140">
        <f t="shared" si="6"/>
        <v>10.601961035791904</v>
      </c>
      <c r="V130" s="38">
        <v>7115</v>
      </c>
      <c r="W130" s="38">
        <v>19.2</v>
      </c>
    </row>
    <row r="131" spans="1:23" x14ac:dyDescent="0.3">
      <c r="A131" s="18">
        <v>7559</v>
      </c>
      <c r="B131" s="18">
        <v>18</v>
      </c>
      <c r="C131" s="18" t="s">
        <v>77</v>
      </c>
      <c r="D131" s="18" t="s">
        <v>78</v>
      </c>
      <c r="E131" s="18" t="s">
        <v>81</v>
      </c>
      <c r="F131" s="18">
        <v>12</v>
      </c>
      <c r="G131" s="18">
        <v>11.4</v>
      </c>
      <c r="P131" s="18">
        <v>9079</v>
      </c>
      <c r="Q131" s="136">
        <v>12</v>
      </c>
      <c r="R131" s="19">
        <f t="shared" si="5"/>
        <v>8.5</v>
      </c>
      <c r="S131">
        <v>0.79175185146020344</v>
      </c>
      <c r="T131" s="140">
        <f t="shared" si="6"/>
        <v>9.2917518514602033</v>
      </c>
      <c r="V131" s="38">
        <v>8186</v>
      </c>
      <c r="W131" s="38">
        <v>19.399999999999999</v>
      </c>
    </row>
    <row r="132" spans="1:23" x14ac:dyDescent="0.3">
      <c r="A132" s="18">
        <v>7598</v>
      </c>
      <c r="B132" s="18">
        <v>18</v>
      </c>
      <c r="C132" s="18" t="s">
        <v>77</v>
      </c>
      <c r="D132" s="18" t="s">
        <v>85</v>
      </c>
      <c r="E132" s="18" t="s">
        <v>81</v>
      </c>
      <c r="F132" s="18">
        <v>0</v>
      </c>
      <c r="G132" s="18"/>
      <c r="P132" s="18">
        <v>9128</v>
      </c>
      <c r="Q132" s="136">
        <v>96</v>
      </c>
      <c r="R132" s="19">
        <f t="shared" si="5"/>
        <v>21.5</v>
      </c>
      <c r="S132">
        <v>7.9343385448728543E-2</v>
      </c>
      <c r="T132" s="140">
        <f t="shared" si="6"/>
        <v>21.579343385448727</v>
      </c>
      <c r="V132" s="38">
        <v>11010</v>
      </c>
      <c r="W132" s="38">
        <v>19.600000000000001</v>
      </c>
    </row>
    <row r="133" spans="1:23" x14ac:dyDescent="0.3">
      <c r="A133" s="18">
        <v>7639</v>
      </c>
      <c r="B133" s="18">
        <v>18</v>
      </c>
      <c r="C133" s="18" t="s">
        <v>77</v>
      </c>
      <c r="D133" s="18" t="s">
        <v>78</v>
      </c>
      <c r="E133" s="18" t="s">
        <v>79</v>
      </c>
      <c r="F133" s="18">
        <v>0</v>
      </c>
      <c r="G133" s="18"/>
      <c r="P133" s="18">
        <v>9163</v>
      </c>
      <c r="Q133" s="136">
        <v>98</v>
      </c>
      <c r="R133" s="19">
        <f t="shared" si="5"/>
        <v>21.5</v>
      </c>
      <c r="S133">
        <v>1.2212959606777152E-2</v>
      </c>
      <c r="T133" s="140">
        <f t="shared" si="6"/>
        <v>21.512212959606778</v>
      </c>
      <c r="V133" s="38">
        <v>8693</v>
      </c>
      <c r="W133" s="38">
        <v>20.2</v>
      </c>
    </row>
    <row r="134" spans="1:23" x14ac:dyDescent="0.3">
      <c r="A134" s="18">
        <v>7643</v>
      </c>
      <c r="B134" s="18">
        <v>18</v>
      </c>
      <c r="C134" s="18" t="s">
        <v>77</v>
      </c>
      <c r="D134" s="18" t="s">
        <v>78</v>
      </c>
      <c r="E134" s="18" t="s">
        <v>81</v>
      </c>
      <c r="F134" s="18">
        <v>7</v>
      </c>
      <c r="G134" s="18">
        <v>16</v>
      </c>
      <c r="P134" s="18">
        <v>9219</v>
      </c>
      <c r="Q134" s="136">
        <v>83</v>
      </c>
      <c r="R134" s="19">
        <f t="shared" si="5"/>
        <v>16.5</v>
      </c>
      <c r="S134">
        <v>0.96892346671280061</v>
      </c>
      <c r="T134" s="140">
        <f t="shared" si="6"/>
        <v>17.468923466712802</v>
      </c>
      <c r="V134" s="38">
        <v>9775</v>
      </c>
      <c r="W134" s="38">
        <v>20.399999999999999</v>
      </c>
    </row>
    <row r="135" spans="1:23" x14ac:dyDescent="0.3">
      <c r="A135" s="18">
        <v>7657</v>
      </c>
      <c r="B135" s="18">
        <v>18</v>
      </c>
      <c r="C135" s="18" t="s">
        <v>77</v>
      </c>
      <c r="D135" s="18" t="s">
        <v>78</v>
      </c>
      <c r="E135" s="18" t="s">
        <v>81</v>
      </c>
      <c r="F135" s="18">
        <v>7</v>
      </c>
      <c r="G135" s="18">
        <v>21.5</v>
      </c>
      <c r="P135" s="18">
        <v>9258</v>
      </c>
      <c r="Q135" s="136">
        <v>21</v>
      </c>
      <c r="R135" s="19">
        <f t="shared" si="5"/>
        <v>8.5</v>
      </c>
      <c r="S135">
        <v>0.37066911190106122</v>
      </c>
      <c r="T135" s="140">
        <f t="shared" si="6"/>
        <v>8.8706691119010621</v>
      </c>
      <c r="V135" s="38">
        <v>10689</v>
      </c>
      <c r="W135" s="38">
        <v>20.399999999999999</v>
      </c>
    </row>
    <row r="136" spans="1:23" x14ac:dyDescent="0.3">
      <c r="A136" s="18">
        <v>7658</v>
      </c>
      <c r="B136" s="18">
        <v>18</v>
      </c>
      <c r="C136" s="18" t="s">
        <v>77</v>
      </c>
      <c r="D136" s="18" t="s">
        <v>78</v>
      </c>
      <c r="E136" s="18" t="s">
        <v>81</v>
      </c>
      <c r="F136" s="18">
        <v>5</v>
      </c>
      <c r="G136" s="18">
        <v>18.5</v>
      </c>
      <c r="P136" s="18">
        <v>9278</v>
      </c>
      <c r="Q136" s="136">
        <v>8</v>
      </c>
      <c r="R136" s="19">
        <f t="shared" si="5"/>
        <v>7.5</v>
      </c>
      <c r="S136">
        <v>0.52923326764765355</v>
      </c>
      <c r="T136" s="140">
        <f t="shared" si="6"/>
        <v>8.029233267647653</v>
      </c>
      <c r="V136" s="38">
        <v>7132</v>
      </c>
      <c r="W136" s="38">
        <v>20.5</v>
      </c>
    </row>
    <row r="137" spans="1:23" x14ac:dyDescent="0.3">
      <c r="A137" s="18">
        <v>7659</v>
      </c>
      <c r="B137" s="18">
        <v>18</v>
      </c>
      <c r="C137" s="18" t="s">
        <v>77</v>
      </c>
      <c r="D137" s="18" t="s">
        <v>78</v>
      </c>
      <c r="E137" s="18" t="s">
        <v>81</v>
      </c>
      <c r="F137" s="18">
        <v>4</v>
      </c>
      <c r="G137" s="18">
        <v>16.8</v>
      </c>
      <c r="P137" s="18">
        <v>9280</v>
      </c>
      <c r="Q137" s="136">
        <v>54</v>
      </c>
      <c r="R137" s="19">
        <f t="shared" si="5"/>
        <v>13.5</v>
      </c>
      <c r="S137">
        <v>0.89278445558002173</v>
      </c>
      <c r="T137" s="140">
        <f t="shared" si="6"/>
        <v>14.392784455580022</v>
      </c>
      <c r="V137" s="38">
        <v>8636</v>
      </c>
      <c r="W137" s="38">
        <v>20.8</v>
      </c>
    </row>
    <row r="138" spans="1:23" x14ac:dyDescent="0.3">
      <c r="A138" s="18">
        <v>7661</v>
      </c>
      <c r="B138" s="18">
        <v>18</v>
      </c>
      <c r="C138" s="18" t="s">
        <v>77</v>
      </c>
      <c r="D138" s="18" t="s">
        <v>78</v>
      </c>
      <c r="E138" s="18" t="s">
        <v>81</v>
      </c>
      <c r="F138" s="18">
        <v>7</v>
      </c>
      <c r="G138" s="18">
        <v>16.7</v>
      </c>
      <c r="P138" s="18">
        <v>9283</v>
      </c>
      <c r="Q138" s="136">
        <v>19</v>
      </c>
      <c r="R138" s="19">
        <f t="shared" ref="R138:R201" si="7">LOOKUP(Q138,$AE$21:$AE$37,$Y$21:$Y$37)</f>
        <v>8.5</v>
      </c>
      <c r="S138">
        <v>0.56924755872258204</v>
      </c>
      <c r="T138" s="140">
        <f t="shared" ref="T138:T201" si="8">R138+S138</f>
        <v>9.0692475587225818</v>
      </c>
      <c r="V138" s="38">
        <v>8751</v>
      </c>
      <c r="W138" s="38">
        <v>21.3</v>
      </c>
    </row>
    <row r="139" spans="1:23" x14ac:dyDescent="0.3">
      <c r="A139" s="18">
        <v>7662</v>
      </c>
      <c r="B139" s="18">
        <v>18</v>
      </c>
      <c r="C139" s="18" t="s">
        <v>77</v>
      </c>
      <c r="D139" s="18" t="s">
        <v>78</v>
      </c>
      <c r="E139" s="18" t="s">
        <v>81</v>
      </c>
      <c r="F139" s="18">
        <v>0</v>
      </c>
      <c r="G139" s="18"/>
      <c r="P139" s="18">
        <v>9290</v>
      </c>
      <c r="Q139" s="136">
        <v>79</v>
      </c>
      <c r="R139" s="19">
        <f t="shared" si="7"/>
        <v>16.5</v>
      </c>
      <c r="S139">
        <v>5.0433363782094065E-2</v>
      </c>
      <c r="T139" s="140">
        <f t="shared" si="8"/>
        <v>16.550433363782094</v>
      </c>
      <c r="V139" s="38">
        <v>7657</v>
      </c>
      <c r="W139" s="38">
        <v>21.5</v>
      </c>
    </row>
    <row r="140" spans="1:23" x14ac:dyDescent="0.3">
      <c r="A140" s="18">
        <v>7665</v>
      </c>
      <c r="B140" s="18">
        <v>18</v>
      </c>
      <c r="C140" s="18" t="s">
        <v>77</v>
      </c>
      <c r="D140" s="18" t="s">
        <v>78</v>
      </c>
      <c r="E140" s="18" t="s">
        <v>79</v>
      </c>
      <c r="F140" s="18">
        <v>3</v>
      </c>
      <c r="G140" s="18">
        <v>17.100000000000001</v>
      </c>
      <c r="P140" s="18">
        <v>9376</v>
      </c>
      <c r="Q140" s="136">
        <v>43</v>
      </c>
      <c r="R140" s="19">
        <f t="shared" si="7"/>
        <v>11.5</v>
      </c>
      <c r="S140">
        <v>0.53119841614798824</v>
      </c>
      <c r="T140" s="140">
        <f t="shared" si="8"/>
        <v>12.031198416147989</v>
      </c>
      <c r="V140" s="38">
        <v>11306</v>
      </c>
      <c r="W140" s="38">
        <v>22.4</v>
      </c>
    </row>
    <row r="141" spans="1:23" x14ac:dyDescent="0.3">
      <c r="A141" s="18">
        <v>7669</v>
      </c>
      <c r="B141" s="18">
        <v>18</v>
      </c>
      <c r="C141" s="18" t="s">
        <v>77</v>
      </c>
      <c r="D141" s="18" t="s">
        <v>78</v>
      </c>
      <c r="E141" s="18" t="s">
        <v>81</v>
      </c>
      <c r="F141" s="18">
        <v>10</v>
      </c>
      <c r="G141" s="18">
        <v>17.3</v>
      </c>
      <c r="P141" s="18">
        <v>9393</v>
      </c>
      <c r="Q141" s="136">
        <v>75</v>
      </c>
      <c r="R141" s="19">
        <f t="shared" si="7"/>
        <v>15.5</v>
      </c>
      <c r="S141">
        <v>0.24824665088603537</v>
      </c>
      <c r="T141" s="140">
        <f t="shared" si="8"/>
        <v>15.748246650886035</v>
      </c>
      <c r="V141" s="38">
        <v>7121</v>
      </c>
      <c r="W141" s="38">
        <v>22.6</v>
      </c>
    </row>
    <row r="142" spans="1:23" x14ac:dyDescent="0.3">
      <c r="A142" s="18">
        <v>7672</v>
      </c>
      <c r="B142" s="18">
        <v>18</v>
      </c>
      <c r="C142" s="18" t="s">
        <v>77</v>
      </c>
      <c r="D142" s="18" t="s">
        <v>78</v>
      </c>
      <c r="E142" s="18" t="s">
        <v>79</v>
      </c>
      <c r="F142" s="18">
        <v>15</v>
      </c>
      <c r="G142" s="18">
        <v>14.7</v>
      </c>
      <c r="P142" s="18">
        <v>9512</v>
      </c>
      <c r="Q142" s="136">
        <v>66</v>
      </c>
      <c r="R142" s="19">
        <f t="shared" si="7"/>
        <v>14.5</v>
      </c>
      <c r="S142">
        <v>0.81191269212200412</v>
      </c>
      <c r="T142" s="140">
        <f t="shared" si="8"/>
        <v>15.311912692122004</v>
      </c>
      <c r="V142" s="38">
        <v>8682</v>
      </c>
      <c r="W142" s="38">
        <v>23.2</v>
      </c>
    </row>
    <row r="143" spans="1:23" x14ac:dyDescent="0.3">
      <c r="A143" s="18">
        <v>7674</v>
      </c>
      <c r="B143" s="18">
        <v>18</v>
      </c>
      <c r="C143" s="18" t="s">
        <v>77</v>
      </c>
      <c r="D143" s="18" t="s">
        <v>78</v>
      </c>
      <c r="E143" s="18" t="s">
        <v>79</v>
      </c>
      <c r="F143" s="18">
        <v>6</v>
      </c>
      <c r="G143" s="18">
        <v>11.2</v>
      </c>
      <c r="P143" s="18">
        <v>9549</v>
      </c>
      <c r="Q143" s="136">
        <v>84</v>
      </c>
      <c r="R143" s="19">
        <f t="shared" si="7"/>
        <v>16.5</v>
      </c>
      <c r="S143">
        <v>0.30858105743343212</v>
      </c>
      <c r="T143" s="140">
        <f t="shared" si="8"/>
        <v>16.808581057433432</v>
      </c>
      <c r="V143" s="38">
        <v>11461</v>
      </c>
      <c r="W143" s="38">
        <v>23.3</v>
      </c>
    </row>
    <row r="144" spans="1:23" x14ac:dyDescent="0.3">
      <c r="A144" s="18">
        <v>7676</v>
      </c>
      <c r="B144" s="18">
        <v>18</v>
      </c>
      <c r="C144" s="18" t="s">
        <v>77</v>
      </c>
      <c r="D144" s="18" t="s">
        <v>78</v>
      </c>
      <c r="E144" s="18" t="s">
        <v>81</v>
      </c>
      <c r="F144" s="18">
        <v>11</v>
      </c>
      <c r="G144" s="18"/>
      <c r="P144" s="18">
        <v>9606</v>
      </c>
      <c r="Q144" s="136">
        <v>13</v>
      </c>
      <c r="R144" s="19">
        <f t="shared" si="7"/>
        <v>8.5</v>
      </c>
      <c r="S144">
        <v>0.61184714431823684</v>
      </c>
      <c r="T144" s="140">
        <f t="shared" si="8"/>
        <v>9.1118471443182365</v>
      </c>
      <c r="V144" s="38">
        <v>9411</v>
      </c>
      <c r="W144" s="38">
        <v>24.1</v>
      </c>
    </row>
    <row r="145" spans="1:23" x14ac:dyDescent="0.3">
      <c r="A145" s="18">
        <v>7677</v>
      </c>
      <c r="B145" s="18">
        <v>18</v>
      </c>
      <c r="C145" s="18" t="s">
        <v>77</v>
      </c>
      <c r="D145" s="18" t="s">
        <v>84</v>
      </c>
      <c r="E145" s="18" t="s">
        <v>82</v>
      </c>
      <c r="F145" s="18">
        <v>0</v>
      </c>
      <c r="G145" s="18"/>
      <c r="P145" s="18">
        <v>9630</v>
      </c>
      <c r="Q145" s="136">
        <v>53</v>
      </c>
      <c r="R145" s="19">
        <f t="shared" si="7"/>
        <v>13.5</v>
      </c>
      <c r="S145">
        <v>5.8856390535113046E-2</v>
      </c>
      <c r="T145" s="140">
        <f t="shared" si="8"/>
        <v>13.558856390535112</v>
      </c>
      <c r="V145" s="38">
        <v>10543</v>
      </c>
      <c r="W145" s="38">
        <v>24.1</v>
      </c>
    </row>
    <row r="146" spans="1:23" x14ac:dyDescent="0.3">
      <c r="A146" s="18">
        <v>7682</v>
      </c>
      <c r="B146" s="18">
        <v>18</v>
      </c>
      <c r="C146" s="18" t="s">
        <v>77</v>
      </c>
      <c r="D146" s="18" t="s">
        <v>78</v>
      </c>
      <c r="E146" s="18" t="s">
        <v>79</v>
      </c>
      <c r="F146" s="18">
        <v>2</v>
      </c>
      <c r="G146" s="18"/>
      <c r="P146" s="18">
        <v>9690</v>
      </c>
      <c r="Q146" s="136">
        <v>53</v>
      </c>
      <c r="R146" s="19">
        <f t="shared" si="7"/>
        <v>13.5</v>
      </c>
      <c r="S146">
        <v>0.91527039604484606</v>
      </c>
      <c r="T146" s="140">
        <f t="shared" si="8"/>
        <v>14.415270396044846</v>
      </c>
      <c r="V146" s="18">
        <v>7494</v>
      </c>
      <c r="W146" s="133">
        <v>30.2</v>
      </c>
    </row>
    <row r="147" spans="1:23" x14ac:dyDescent="0.3">
      <c r="A147" s="18">
        <v>7683</v>
      </c>
      <c r="B147" s="18">
        <v>18</v>
      </c>
      <c r="C147" s="18" t="s">
        <v>83</v>
      </c>
      <c r="D147" s="18" t="s">
        <v>78</v>
      </c>
      <c r="E147" s="18" t="s">
        <v>79</v>
      </c>
      <c r="F147" s="18">
        <v>9999</v>
      </c>
      <c r="G147" s="18"/>
      <c r="P147" s="18">
        <v>9757</v>
      </c>
      <c r="Q147" s="136">
        <v>80</v>
      </c>
      <c r="R147" s="19">
        <f t="shared" si="7"/>
        <v>16.5</v>
      </c>
      <c r="S147">
        <v>0.31874221786879153</v>
      </c>
      <c r="T147" s="140">
        <f t="shared" si="8"/>
        <v>16.818742217868792</v>
      </c>
      <c r="V147" s="18">
        <v>7423</v>
      </c>
      <c r="W147" s="133">
        <v>61.1</v>
      </c>
    </row>
    <row r="148" spans="1:23" x14ac:dyDescent="0.3">
      <c r="A148" s="18">
        <v>7690</v>
      </c>
      <c r="B148" s="18">
        <v>18</v>
      </c>
      <c r="C148" s="18" t="s">
        <v>77</v>
      </c>
      <c r="D148" s="18" t="s">
        <v>78</v>
      </c>
      <c r="E148" s="18" t="s">
        <v>82</v>
      </c>
      <c r="F148" s="18">
        <v>0</v>
      </c>
      <c r="G148" s="18"/>
      <c r="P148" s="18">
        <v>9758</v>
      </c>
      <c r="Q148" s="136">
        <v>86</v>
      </c>
      <c r="R148" s="19">
        <f t="shared" si="7"/>
        <v>17.5</v>
      </c>
      <c r="S148">
        <v>6.0412561280298149E-2</v>
      </c>
      <c r="T148" s="140">
        <f t="shared" si="8"/>
        <v>17.560412561280298</v>
      </c>
    </row>
    <row r="149" spans="1:23" x14ac:dyDescent="0.3">
      <c r="A149" s="18">
        <v>7695</v>
      </c>
      <c r="B149" s="18">
        <v>18</v>
      </c>
      <c r="C149" s="18" t="s">
        <v>83</v>
      </c>
      <c r="D149" s="18" t="s">
        <v>78</v>
      </c>
      <c r="E149" s="18" t="s">
        <v>79</v>
      </c>
      <c r="F149" s="18">
        <v>9999</v>
      </c>
      <c r="G149" s="18"/>
      <c r="P149" s="18">
        <v>9797</v>
      </c>
      <c r="Q149" s="136">
        <v>10</v>
      </c>
      <c r="R149" s="19">
        <f t="shared" si="7"/>
        <v>7.5</v>
      </c>
      <c r="S149">
        <v>0.63754215877059683</v>
      </c>
      <c r="T149" s="140">
        <f t="shared" si="8"/>
        <v>8.1375421587705965</v>
      </c>
    </row>
    <row r="150" spans="1:23" x14ac:dyDescent="0.3">
      <c r="A150" s="18">
        <v>7702</v>
      </c>
      <c r="B150" s="18">
        <v>18</v>
      </c>
      <c r="C150" s="18" t="s">
        <v>77</v>
      </c>
      <c r="D150" s="18" t="s">
        <v>78</v>
      </c>
      <c r="E150" s="18" t="s">
        <v>82</v>
      </c>
      <c r="F150" s="18">
        <v>2</v>
      </c>
      <c r="G150" s="18"/>
      <c r="P150" s="18">
        <v>9811</v>
      </c>
      <c r="Q150" s="136">
        <v>85</v>
      </c>
      <c r="R150" s="19">
        <f t="shared" si="7"/>
        <v>17.5</v>
      </c>
      <c r="S150">
        <v>0.22895119480436266</v>
      </c>
      <c r="T150" s="140">
        <f t="shared" si="8"/>
        <v>17.728951194804363</v>
      </c>
    </row>
    <row r="151" spans="1:23" x14ac:dyDescent="0.3">
      <c r="A151" s="18">
        <v>7711</v>
      </c>
      <c r="B151" s="18">
        <v>18</v>
      </c>
      <c r="C151" s="18" t="s">
        <v>77</v>
      </c>
      <c r="D151" s="18" t="s">
        <v>78</v>
      </c>
      <c r="E151" s="18" t="s">
        <v>79</v>
      </c>
      <c r="F151" s="18">
        <v>13</v>
      </c>
      <c r="G151" s="18">
        <v>11.2</v>
      </c>
      <c r="P151" s="18">
        <v>9813</v>
      </c>
      <c r="Q151" s="136">
        <v>32</v>
      </c>
      <c r="R151" s="19">
        <f t="shared" si="7"/>
        <v>10.5</v>
      </c>
      <c r="S151">
        <v>0.3879024179069509</v>
      </c>
      <c r="T151" s="140">
        <f t="shared" si="8"/>
        <v>10.88790241790695</v>
      </c>
    </row>
    <row r="152" spans="1:23" x14ac:dyDescent="0.3">
      <c r="A152" s="18">
        <v>7713</v>
      </c>
      <c r="B152" s="18">
        <v>18</v>
      </c>
      <c r="C152" s="18" t="s">
        <v>83</v>
      </c>
      <c r="D152" s="18" t="s">
        <v>78</v>
      </c>
      <c r="E152" s="18" t="s">
        <v>79</v>
      </c>
      <c r="F152" s="18">
        <v>9999</v>
      </c>
      <c r="G152" s="18"/>
      <c r="P152" s="18">
        <v>9882</v>
      </c>
      <c r="Q152" s="136">
        <v>76</v>
      </c>
      <c r="R152" s="19">
        <f t="shared" si="7"/>
        <v>15.5</v>
      </c>
      <c r="S152">
        <v>0.46092904614306229</v>
      </c>
      <c r="T152" s="140">
        <f t="shared" si="8"/>
        <v>15.960929046143063</v>
      </c>
    </row>
    <row r="153" spans="1:23" x14ac:dyDescent="0.3">
      <c r="A153" s="18">
        <v>7714</v>
      </c>
      <c r="B153" s="18">
        <v>18</v>
      </c>
      <c r="C153" s="18" t="s">
        <v>77</v>
      </c>
      <c r="D153" s="18" t="s">
        <v>78</v>
      </c>
      <c r="E153" s="18" t="s">
        <v>79</v>
      </c>
      <c r="F153" s="18">
        <v>20</v>
      </c>
      <c r="G153" s="18">
        <v>9.5</v>
      </c>
      <c r="P153" s="18">
        <v>9900</v>
      </c>
      <c r="Q153" s="136">
        <v>91</v>
      </c>
      <c r="R153" s="19">
        <f t="shared" si="7"/>
        <v>18.5</v>
      </c>
      <c r="S153">
        <v>0.88253982781822971</v>
      </c>
      <c r="T153" s="140">
        <f t="shared" si="8"/>
        <v>19.382539827818231</v>
      </c>
    </row>
    <row r="154" spans="1:23" x14ac:dyDescent="0.3">
      <c r="A154" s="18">
        <v>7723</v>
      </c>
      <c r="B154" s="18">
        <v>18</v>
      </c>
      <c r="C154" s="18" t="s">
        <v>77</v>
      </c>
      <c r="D154" s="18" t="s">
        <v>84</v>
      </c>
      <c r="E154" s="18" t="s">
        <v>82</v>
      </c>
      <c r="F154" s="18">
        <v>0</v>
      </c>
      <c r="G154" s="18"/>
      <c r="P154" s="18">
        <v>9925</v>
      </c>
      <c r="Q154" s="136">
        <v>60</v>
      </c>
      <c r="R154" s="19">
        <f t="shared" si="7"/>
        <v>14.5</v>
      </c>
      <c r="S154">
        <v>0.66155545636846169</v>
      </c>
      <c r="T154" s="140">
        <f t="shared" si="8"/>
        <v>15.161555456368461</v>
      </c>
    </row>
    <row r="155" spans="1:23" x14ac:dyDescent="0.3">
      <c r="A155" s="18">
        <v>7739</v>
      </c>
      <c r="B155" s="18">
        <v>18</v>
      </c>
      <c r="C155" s="18" t="s">
        <v>77</v>
      </c>
      <c r="D155" s="18" t="s">
        <v>78</v>
      </c>
      <c r="E155" s="18" t="s">
        <v>81</v>
      </c>
      <c r="F155" s="18">
        <v>3</v>
      </c>
      <c r="G155" s="18">
        <v>14.5</v>
      </c>
      <c r="P155" s="18">
        <v>10054</v>
      </c>
      <c r="Q155" s="136">
        <v>75</v>
      </c>
      <c r="R155" s="19">
        <f t="shared" si="7"/>
        <v>15.5</v>
      </c>
      <c r="S155">
        <v>0.52568778111518932</v>
      </c>
      <c r="T155" s="140">
        <f t="shared" si="8"/>
        <v>16.025687781115188</v>
      </c>
    </row>
    <row r="156" spans="1:23" x14ac:dyDescent="0.3">
      <c r="A156" s="18">
        <v>7742</v>
      </c>
      <c r="B156" s="18">
        <v>18</v>
      </c>
      <c r="C156" s="18" t="s">
        <v>77</v>
      </c>
      <c r="D156" s="18" t="s">
        <v>78</v>
      </c>
      <c r="E156" s="18" t="s">
        <v>81</v>
      </c>
      <c r="F156" s="18">
        <v>13</v>
      </c>
      <c r="G156" s="18">
        <v>8.5</v>
      </c>
      <c r="P156" s="18">
        <v>10082</v>
      </c>
      <c r="Q156" s="136">
        <v>72</v>
      </c>
      <c r="R156" s="19">
        <f t="shared" si="7"/>
        <v>15.5</v>
      </c>
      <c r="S156">
        <v>0.91439248863666067</v>
      </c>
      <c r="T156" s="140">
        <f t="shared" si="8"/>
        <v>16.414392488636661</v>
      </c>
    </row>
    <row r="157" spans="1:23" x14ac:dyDescent="0.3">
      <c r="A157" s="18">
        <v>7743</v>
      </c>
      <c r="B157" s="18">
        <v>18</v>
      </c>
      <c r="C157" s="18" t="s">
        <v>77</v>
      </c>
      <c r="D157" s="18" t="s">
        <v>78</v>
      </c>
      <c r="E157" s="18" t="s">
        <v>79</v>
      </c>
      <c r="F157" s="18">
        <v>6</v>
      </c>
      <c r="G157" s="18">
        <v>18.399999999999999</v>
      </c>
      <c r="P157" s="18">
        <v>10121</v>
      </c>
      <c r="Q157" s="136">
        <v>60</v>
      </c>
      <c r="R157" s="19">
        <f t="shared" si="7"/>
        <v>14.5</v>
      </c>
      <c r="S157">
        <v>0.20682229487150161</v>
      </c>
      <c r="T157" s="140">
        <f t="shared" si="8"/>
        <v>14.706822294871502</v>
      </c>
    </row>
    <row r="158" spans="1:23" x14ac:dyDescent="0.3">
      <c r="A158" s="18">
        <v>7834</v>
      </c>
      <c r="B158" s="18">
        <v>18</v>
      </c>
      <c r="C158" s="18" t="s">
        <v>77</v>
      </c>
      <c r="D158" s="18" t="s">
        <v>78</v>
      </c>
      <c r="E158" s="18" t="s">
        <v>81</v>
      </c>
      <c r="F158" s="18">
        <v>2</v>
      </c>
      <c r="G158" s="18"/>
      <c r="P158" s="18">
        <v>10231</v>
      </c>
      <c r="Q158" s="136">
        <v>18</v>
      </c>
      <c r="R158" s="19">
        <f t="shared" si="7"/>
        <v>8.5</v>
      </c>
      <c r="S158">
        <v>0.99316276047762309</v>
      </c>
      <c r="T158" s="140">
        <f t="shared" si="8"/>
        <v>9.4931627604776239</v>
      </c>
    </row>
    <row r="159" spans="1:23" x14ac:dyDescent="0.3">
      <c r="A159" s="18">
        <v>7896</v>
      </c>
      <c r="B159" s="18">
        <v>18</v>
      </c>
      <c r="C159" s="18" t="s">
        <v>77</v>
      </c>
      <c r="D159" s="18" t="s">
        <v>78</v>
      </c>
      <c r="E159" s="18" t="s">
        <v>81</v>
      </c>
      <c r="F159" s="18">
        <v>30</v>
      </c>
      <c r="G159" s="18">
        <v>5.7</v>
      </c>
      <c r="P159" s="18">
        <v>10268</v>
      </c>
      <c r="Q159" s="136">
        <v>45</v>
      </c>
      <c r="R159" s="19">
        <f t="shared" si="7"/>
        <v>12.5</v>
      </c>
      <c r="S159">
        <v>0.77268541595194984</v>
      </c>
      <c r="T159" s="140">
        <f t="shared" si="8"/>
        <v>13.272685415951949</v>
      </c>
    </row>
    <row r="160" spans="1:23" x14ac:dyDescent="0.3">
      <c r="A160" s="18">
        <v>7897</v>
      </c>
      <c r="B160" s="18">
        <v>18</v>
      </c>
      <c r="C160" s="18" t="s">
        <v>77</v>
      </c>
      <c r="D160" s="18" t="s">
        <v>78</v>
      </c>
      <c r="E160" s="18" t="s">
        <v>81</v>
      </c>
      <c r="F160" s="18">
        <v>20</v>
      </c>
      <c r="G160" s="18">
        <v>4.9000000000000004</v>
      </c>
      <c r="P160" s="18">
        <v>10360</v>
      </c>
      <c r="Q160" s="136">
        <v>31</v>
      </c>
      <c r="R160" s="19">
        <f t="shared" si="7"/>
        <v>10.5</v>
      </c>
      <c r="S160">
        <v>0.53978714865850197</v>
      </c>
      <c r="T160" s="140">
        <f t="shared" si="8"/>
        <v>11.039787148658501</v>
      </c>
    </row>
    <row r="161" spans="1:20" x14ac:dyDescent="0.3">
      <c r="A161" s="18">
        <v>7898</v>
      </c>
      <c r="B161" s="18">
        <v>18</v>
      </c>
      <c r="C161" s="18" t="s">
        <v>77</v>
      </c>
      <c r="D161" s="18" t="s">
        <v>78</v>
      </c>
      <c r="E161" s="18" t="s">
        <v>81</v>
      </c>
      <c r="F161" s="18">
        <v>6</v>
      </c>
      <c r="G161" s="18">
        <v>17.7</v>
      </c>
      <c r="P161" s="18">
        <v>10422</v>
      </c>
      <c r="Q161" s="136">
        <v>54</v>
      </c>
      <c r="R161" s="19">
        <f t="shared" si="7"/>
        <v>13.5</v>
      </c>
      <c r="S161">
        <v>0.72768784834996181</v>
      </c>
      <c r="T161" s="140">
        <f t="shared" si="8"/>
        <v>14.227687848349962</v>
      </c>
    </row>
    <row r="162" spans="1:20" x14ac:dyDescent="0.3">
      <c r="A162" s="18">
        <v>7910</v>
      </c>
      <c r="B162" s="18">
        <v>18</v>
      </c>
      <c r="C162" s="18" t="s">
        <v>77</v>
      </c>
      <c r="D162" s="18" t="s">
        <v>78</v>
      </c>
      <c r="E162" s="18" t="s">
        <v>81</v>
      </c>
      <c r="F162" s="18">
        <v>6</v>
      </c>
      <c r="G162" s="18">
        <v>9.8000000000000007</v>
      </c>
      <c r="P162" s="18">
        <v>10443</v>
      </c>
      <c r="Q162" s="136">
        <v>65</v>
      </c>
      <c r="R162" s="19">
        <f t="shared" si="7"/>
        <v>14.5</v>
      </c>
      <c r="S162">
        <v>0.23922700042702383</v>
      </c>
      <c r="T162" s="140">
        <f t="shared" si="8"/>
        <v>14.739227000427023</v>
      </c>
    </row>
    <row r="163" spans="1:20" x14ac:dyDescent="0.3">
      <c r="A163" s="18">
        <v>7912</v>
      </c>
      <c r="B163" s="18">
        <v>18</v>
      </c>
      <c r="C163" s="18" t="s">
        <v>77</v>
      </c>
      <c r="D163" s="18" t="s">
        <v>78</v>
      </c>
      <c r="E163" s="18" t="s">
        <v>81</v>
      </c>
      <c r="F163" s="18">
        <v>8</v>
      </c>
      <c r="G163" s="18">
        <v>14.2</v>
      </c>
      <c r="P163" s="18">
        <v>10553</v>
      </c>
      <c r="Q163" s="136">
        <v>81</v>
      </c>
      <c r="R163" s="19">
        <f t="shared" si="7"/>
        <v>16.5</v>
      </c>
      <c r="S163">
        <v>0.87096287824146901</v>
      </c>
      <c r="T163" s="140">
        <f t="shared" si="8"/>
        <v>17.370962878241468</v>
      </c>
    </row>
    <row r="164" spans="1:20" x14ac:dyDescent="0.3">
      <c r="A164" s="18">
        <v>7918</v>
      </c>
      <c r="B164" s="18">
        <v>18</v>
      </c>
      <c r="C164" s="18" t="s">
        <v>77</v>
      </c>
      <c r="D164" s="18" t="s">
        <v>78</v>
      </c>
      <c r="E164" s="18" t="s">
        <v>86</v>
      </c>
      <c r="F164" s="18">
        <v>7</v>
      </c>
      <c r="G164" s="18">
        <v>13</v>
      </c>
      <c r="P164" s="18">
        <v>10604</v>
      </c>
      <c r="Q164" s="136">
        <v>46</v>
      </c>
      <c r="R164" s="19">
        <f t="shared" si="7"/>
        <v>12.5</v>
      </c>
      <c r="S164">
        <v>0.15845011309306578</v>
      </c>
      <c r="T164" s="140">
        <f t="shared" si="8"/>
        <v>12.658450113093066</v>
      </c>
    </row>
    <row r="165" spans="1:20" x14ac:dyDescent="0.3">
      <c r="A165" s="18">
        <v>7919</v>
      </c>
      <c r="B165" s="18">
        <v>18</v>
      </c>
      <c r="C165" s="18" t="s">
        <v>77</v>
      </c>
      <c r="D165" s="18" t="s">
        <v>78</v>
      </c>
      <c r="E165" s="18" t="s">
        <v>81</v>
      </c>
      <c r="F165" s="18">
        <v>8</v>
      </c>
      <c r="G165" s="18">
        <v>12.7</v>
      </c>
      <c r="P165" s="18">
        <v>10616</v>
      </c>
      <c r="Q165" s="136">
        <v>8</v>
      </c>
      <c r="R165" s="19">
        <f t="shared" si="7"/>
        <v>7.5</v>
      </c>
      <c r="S165">
        <v>0.87494007450147515</v>
      </c>
      <c r="T165" s="140">
        <f t="shared" si="8"/>
        <v>8.3749400745014757</v>
      </c>
    </row>
    <row r="166" spans="1:20" x14ac:dyDescent="0.3">
      <c r="A166" s="18">
        <v>7923</v>
      </c>
      <c r="B166" s="18">
        <v>18</v>
      </c>
      <c r="C166" s="18" t="s">
        <v>77</v>
      </c>
      <c r="D166" s="18" t="s">
        <v>78</v>
      </c>
      <c r="E166" s="18" t="s">
        <v>79</v>
      </c>
      <c r="F166" s="18">
        <v>10</v>
      </c>
      <c r="G166" s="18">
        <v>15.6</v>
      </c>
      <c r="P166" s="18">
        <v>10685</v>
      </c>
      <c r="Q166" s="136">
        <v>15</v>
      </c>
      <c r="R166" s="19">
        <f t="shared" si="7"/>
        <v>8.5</v>
      </c>
      <c r="S166">
        <v>0.44880974043594701</v>
      </c>
      <c r="T166" s="140">
        <f t="shared" si="8"/>
        <v>8.9488097404359479</v>
      </c>
    </row>
    <row r="167" spans="1:20" x14ac:dyDescent="0.3">
      <c r="A167" s="18">
        <v>7928</v>
      </c>
      <c r="B167" s="18">
        <v>18</v>
      </c>
      <c r="C167" s="18" t="s">
        <v>77</v>
      </c>
      <c r="D167" s="18" t="s">
        <v>78</v>
      </c>
      <c r="E167" s="18" t="s">
        <v>79</v>
      </c>
      <c r="F167" s="18">
        <v>10</v>
      </c>
      <c r="G167" s="18">
        <v>16.100000000000001</v>
      </c>
      <c r="P167" s="18">
        <v>10691</v>
      </c>
      <c r="Q167" s="136">
        <v>99</v>
      </c>
      <c r="R167" s="19">
        <f t="shared" si="7"/>
        <v>22.5</v>
      </c>
      <c r="S167">
        <v>0.34135037015842551</v>
      </c>
      <c r="T167" s="140">
        <f t="shared" si="8"/>
        <v>22.841350370158427</v>
      </c>
    </row>
    <row r="168" spans="1:20" x14ac:dyDescent="0.3">
      <c r="A168" s="18">
        <v>7941</v>
      </c>
      <c r="B168" s="18">
        <v>18</v>
      </c>
      <c r="C168" s="18" t="s">
        <v>77</v>
      </c>
      <c r="D168" s="18" t="s">
        <v>78</v>
      </c>
      <c r="E168" s="18" t="s">
        <v>86</v>
      </c>
      <c r="F168" s="18">
        <v>7</v>
      </c>
      <c r="G168" s="18">
        <v>13.9</v>
      </c>
      <c r="P168" s="18">
        <v>10704</v>
      </c>
      <c r="Q168" s="136">
        <v>24</v>
      </c>
      <c r="R168" s="19">
        <f t="shared" si="7"/>
        <v>9.5</v>
      </c>
      <c r="S168">
        <v>0.78215759564338605</v>
      </c>
      <c r="T168" s="140">
        <f t="shared" si="8"/>
        <v>10.282157595643387</v>
      </c>
    </row>
    <row r="169" spans="1:20" x14ac:dyDescent="0.3">
      <c r="A169" s="18">
        <v>7954</v>
      </c>
      <c r="B169" s="18">
        <v>18</v>
      </c>
      <c r="C169" s="18" t="s">
        <v>77</v>
      </c>
      <c r="D169" s="18" t="s">
        <v>78</v>
      </c>
      <c r="E169" s="18" t="s">
        <v>79</v>
      </c>
      <c r="F169" s="18">
        <v>12</v>
      </c>
      <c r="G169" s="18">
        <v>17</v>
      </c>
      <c r="P169" s="18">
        <v>10718</v>
      </c>
      <c r="Q169" s="136">
        <v>93</v>
      </c>
      <c r="R169" s="19">
        <f t="shared" si="7"/>
        <v>19.5</v>
      </c>
      <c r="S169">
        <v>0.3679528021793268</v>
      </c>
      <c r="T169" s="140">
        <f t="shared" si="8"/>
        <v>19.867952802179328</v>
      </c>
    </row>
    <row r="170" spans="1:20" x14ac:dyDescent="0.3">
      <c r="A170" s="18">
        <v>7956</v>
      </c>
      <c r="B170" s="18">
        <v>18</v>
      </c>
      <c r="C170" s="18" t="s">
        <v>77</v>
      </c>
      <c r="D170" s="18" t="s">
        <v>78</v>
      </c>
      <c r="E170" s="18" t="s">
        <v>79</v>
      </c>
      <c r="F170" s="18">
        <v>10</v>
      </c>
      <c r="G170" s="18">
        <v>10</v>
      </c>
      <c r="P170" s="18">
        <v>10720</v>
      </c>
      <c r="Q170" s="136">
        <v>24</v>
      </c>
      <c r="R170" s="19">
        <f t="shared" si="7"/>
        <v>9.5</v>
      </c>
      <c r="S170">
        <v>0.17020182505652715</v>
      </c>
      <c r="T170" s="140">
        <f t="shared" si="8"/>
        <v>9.6702018250565267</v>
      </c>
    </row>
    <row r="171" spans="1:20" x14ac:dyDescent="0.3">
      <c r="A171" s="18">
        <v>7962</v>
      </c>
      <c r="B171" s="18">
        <v>18</v>
      </c>
      <c r="C171" s="18" t="s">
        <v>77</v>
      </c>
      <c r="D171" s="18" t="s">
        <v>78</v>
      </c>
      <c r="E171" s="18" t="s">
        <v>81</v>
      </c>
      <c r="F171" s="18">
        <v>8</v>
      </c>
      <c r="G171" s="18">
        <v>10.3</v>
      </c>
      <c r="P171" s="18">
        <v>10722</v>
      </c>
      <c r="Q171" s="136">
        <v>57</v>
      </c>
      <c r="R171" s="19">
        <f t="shared" si="7"/>
        <v>13.5</v>
      </c>
      <c r="S171">
        <v>0.76497832247572572</v>
      </c>
      <c r="T171" s="140">
        <f t="shared" si="8"/>
        <v>14.264978322475725</v>
      </c>
    </row>
    <row r="172" spans="1:20" x14ac:dyDescent="0.3">
      <c r="A172" s="18">
        <v>7963</v>
      </c>
      <c r="B172" s="18">
        <v>18</v>
      </c>
      <c r="C172" s="18" t="s">
        <v>77</v>
      </c>
      <c r="D172" s="18" t="s">
        <v>78</v>
      </c>
      <c r="E172" s="18" t="s">
        <v>81</v>
      </c>
      <c r="F172" s="18">
        <v>10</v>
      </c>
      <c r="G172" s="18">
        <v>15.6</v>
      </c>
      <c r="P172" s="18">
        <v>10739</v>
      </c>
      <c r="Q172" s="136">
        <v>12</v>
      </c>
      <c r="R172" s="19">
        <f t="shared" si="7"/>
        <v>8.5</v>
      </c>
      <c r="S172">
        <v>0.57940450882606542</v>
      </c>
      <c r="T172" s="140">
        <f t="shared" si="8"/>
        <v>9.079404508826066</v>
      </c>
    </row>
    <row r="173" spans="1:20" x14ac:dyDescent="0.3">
      <c r="A173" s="18">
        <v>7964</v>
      </c>
      <c r="B173" s="18">
        <v>18</v>
      </c>
      <c r="C173" s="18" t="s">
        <v>77</v>
      </c>
      <c r="D173" s="18" t="s">
        <v>78</v>
      </c>
      <c r="E173" s="18" t="s">
        <v>79</v>
      </c>
      <c r="F173" s="18">
        <v>10</v>
      </c>
      <c r="G173" s="18">
        <v>12.8</v>
      </c>
      <c r="P173" s="18">
        <v>10846</v>
      </c>
      <c r="Q173" s="136">
        <v>91</v>
      </c>
      <c r="R173" s="19">
        <f t="shared" si="7"/>
        <v>18.5</v>
      </c>
      <c r="S173">
        <v>0.50181220238749757</v>
      </c>
      <c r="T173" s="140">
        <f t="shared" si="8"/>
        <v>19.001812202387498</v>
      </c>
    </row>
    <row r="174" spans="1:20" x14ac:dyDescent="0.3">
      <c r="A174" s="18">
        <v>7967</v>
      </c>
      <c r="B174" s="18">
        <v>18</v>
      </c>
      <c r="C174" s="18" t="s">
        <v>77</v>
      </c>
      <c r="D174" s="18" t="s">
        <v>78</v>
      </c>
      <c r="E174" s="18" t="s">
        <v>79</v>
      </c>
      <c r="F174" s="18">
        <v>0</v>
      </c>
      <c r="G174" s="18"/>
      <c r="P174" s="18">
        <v>10861</v>
      </c>
      <c r="Q174" s="136">
        <v>35</v>
      </c>
      <c r="R174" s="19">
        <f t="shared" si="7"/>
        <v>10.5</v>
      </c>
      <c r="S174">
        <v>0.25129550352465613</v>
      </c>
      <c r="T174" s="140">
        <f t="shared" si="8"/>
        <v>10.751295503524656</v>
      </c>
    </row>
    <row r="175" spans="1:20" x14ac:dyDescent="0.3">
      <c r="A175" s="18">
        <v>7978</v>
      </c>
      <c r="B175" s="18">
        <v>18</v>
      </c>
      <c r="C175" s="18" t="s">
        <v>83</v>
      </c>
      <c r="D175" s="18" t="s">
        <v>78</v>
      </c>
      <c r="E175" s="18" t="s">
        <v>79</v>
      </c>
      <c r="F175" s="18">
        <v>9999</v>
      </c>
      <c r="G175" s="18"/>
      <c r="P175" s="18">
        <v>11001</v>
      </c>
      <c r="Q175" s="136">
        <v>96</v>
      </c>
      <c r="R175" s="19">
        <f t="shared" si="7"/>
        <v>21.5</v>
      </c>
      <c r="S175">
        <v>0.97260535481772104</v>
      </c>
      <c r="T175" s="140">
        <f t="shared" si="8"/>
        <v>22.47260535481772</v>
      </c>
    </row>
    <row r="176" spans="1:20" x14ac:dyDescent="0.3">
      <c r="A176" s="18">
        <v>7988</v>
      </c>
      <c r="B176" s="18">
        <v>18</v>
      </c>
      <c r="C176" s="18" t="s">
        <v>77</v>
      </c>
      <c r="D176" s="18" t="s">
        <v>85</v>
      </c>
      <c r="E176" s="18" t="s">
        <v>79</v>
      </c>
      <c r="F176" s="18">
        <v>0</v>
      </c>
      <c r="G176" s="18"/>
      <c r="P176" s="18">
        <v>11008</v>
      </c>
      <c r="Q176" s="136">
        <v>93</v>
      </c>
      <c r="R176" s="19">
        <f t="shared" si="7"/>
        <v>19.5</v>
      </c>
      <c r="S176">
        <v>0.5983617777947462</v>
      </c>
      <c r="T176" s="140">
        <f t="shared" si="8"/>
        <v>20.098361777794747</v>
      </c>
    </row>
    <row r="177" spans="1:20" x14ac:dyDescent="0.3">
      <c r="A177" s="18">
        <v>7990</v>
      </c>
      <c r="B177" s="18">
        <v>18</v>
      </c>
      <c r="C177" s="18" t="s">
        <v>77</v>
      </c>
      <c r="D177" s="18" t="s">
        <v>78</v>
      </c>
      <c r="E177" s="18" t="s">
        <v>79</v>
      </c>
      <c r="F177" s="18">
        <v>0</v>
      </c>
      <c r="G177" s="18"/>
      <c r="P177" s="18">
        <v>11011</v>
      </c>
      <c r="Q177" s="136">
        <v>10</v>
      </c>
      <c r="R177" s="19">
        <f t="shared" si="7"/>
        <v>7.5</v>
      </c>
      <c r="S177">
        <v>0.29678756722885102</v>
      </c>
      <c r="T177" s="140">
        <f t="shared" si="8"/>
        <v>7.7967875672288507</v>
      </c>
    </row>
    <row r="178" spans="1:20" x14ac:dyDescent="0.3">
      <c r="A178" s="18">
        <v>8010</v>
      </c>
      <c r="B178" s="18">
        <v>18</v>
      </c>
      <c r="C178" s="18" t="s">
        <v>77</v>
      </c>
      <c r="D178" s="18" t="s">
        <v>78</v>
      </c>
      <c r="E178" s="18" t="s">
        <v>81</v>
      </c>
      <c r="F178" s="18">
        <v>0</v>
      </c>
      <c r="G178" s="18"/>
      <c r="P178" s="18">
        <v>11013</v>
      </c>
      <c r="Q178" s="136">
        <v>52</v>
      </c>
      <c r="R178" s="19">
        <f t="shared" si="7"/>
        <v>12.5</v>
      </c>
      <c r="S178">
        <v>7.8349745289229999E-2</v>
      </c>
      <c r="T178" s="140">
        <f t="shared" si="8"/>
        <v>12.578349745289231</v>
      </c>
    </row>
    <row r="179" spans="1:20" x14ac:dyDescent="0.3">
      <c r="A179" s="18">
        <v>8023</v>
      </c>
      <c r="B179" s="18">
        <v>18</v>
      </c>
      <c r="C179" s="18" t="s">
        <v>77</v>
      </c>
      <c r="D179" s="18" t="s">
        <v>78</v>
      </c>
      <c r="E179" s="18" t="s">
        <v>81</v>
      </c>
      <c r="F179" s="18">
        <v>12</v>
      </c>
      <c r="G179" s="18">
        <v>7.2</v>
      </c>
      <c r="P179" s="18">
        <v>11017</v>
      </c>
      <c r="Q179" s="136">
        <v>76</v>
      </c>
      <c r="R179" s="19">
        <f t="shared" si="7"/>
        <v>15.5</v>
      </c>
      <c r="S179">
        <v>0.52352714983263815</v>
      </c>
      <c r="T179" s="140">
        <f t="shared" si="8"/>
        <v>16.023527149832638</v>
      </c>
    </row>
    <row r="180" spans="1:20" x14ac:dyDescent="0.3">
      <c r="A180" s="18">
        <v>8031</v>
      </c>
      <c r="B180" s="18">
        <v>18</v>
      </c>
      <c r="C180" s="18" t="s">
        <v>83</v>
      </c>
      <c r="D180" s="18" t="s">
        <v>78</v>
      </c>
      <c r="E180" s="18" t="s">
        <v>79</v>
      </c>
      <c r="F180" s="18">
        <v>9999</v>
      </c>
      <c r="G180" s="18"/>
      <c r="P180" s="18">
        <v>11025</v>
      </c>
      <c r="Q180" s="136">
        <v>76</v>
      </c>
      <c r="R180" s="19">
        <f t="shared" si="7"/>
        <v>15.5</v>
      </c>
      <c r="S180">
        <v>0.40578477451240547</v>
      </c>
      <c r="T180" s="140">
        <f t="shared" si="8"/>
        <v>15.905784774512405</v>
      </c>
    </row>
    <row r="181" spans="1:20" x14ac:dyDescent="0.3">
      <c r="A181" s="18">
        <v>8170</v>
      </c>
      <c r="B181" s="18">
        <v>18</v>
      </c>
      <c r="C181" s="18" t="s">
        <v>77</v>
      </c>
      <c r="D181" s="18" t="s">
        <v>78</v>
      </c>
      <c r="E181" s="18" t="s">
        <v>79</v>
      </c>
      <c r="F181" s="18">
        <v>10</v>
      </c>
      <c r="G181" s="18">
        <v>16</v>
      </c>
      <c r="P181" s="18">
        <v>11032</v>
      </c>
      <c r="Q181" s="136">
        <v>43</v>
      </c>
      <c r="R181" s="19">
        <f t="shared" si="7"/>
        <v>11.5</v>
      </c>
      <c r="S181">
        <v>0.38822466763828856</v>
      </c>
      <c r="T181" s="140">
        <f t="shared" si="8"/>
        <v>11.888224667638289</v>
      </c>
    </row>
    <row r="182" spans="1:20" x14ac:dyDescent="0.3">
      <c r="A182" s="18">
        <v>8172</v>
      </c>
      <c r="B182" s="18">
        <v>18</v>
      </c>
      <c r="C182" s="18" t="s">
        <v>77</v>
      </c>
      <c r="D182" s="18" t="s">
        <v>78</v>
      </c>
      <c r="E182" s="18" t="s">
        <v>81</v>
      </c>
      <c r="F182" s="18">
        <v>3</v>
      </c>
      <c r="G182" s="18"/>
      <c r="P182" s="18">
        <v>11051</v>
      </c>
      <c r="Q182" s="136">
        <v>18</v>
      </c>
      <c r="R182" s="19">
        <f t="shared" si="7"/>
        <v>8.5</v>
      </c>
      <c r="S182">
        <v>0.95675853809962474</v>
      </c>
      <c r="T182" s="140">
        <f t="shared" si="8"/>
        <v>9.4567585380996242</v>
      </c>
    </row>
    <row r="183" spans="1:20" x14ac:dyDescent="0.3">
      <c r="A183" s="18">
        <v>8174</v>
      </c>
      <c r="B183" s="18">
        <v>18</v>
      </c>
      <c r="C183" s="18" t="s">
        <v>77</v>
      </c>
      <c r="D183" s="18" t="s">
        <v>78</v>
      </c>
      <c r="E183" s="18" t="s">
        <v>79</v>
      </c>
      <c r="F183" s="18">
        <v>10</v>
      </c>
      <c r="G183" s="18">
        <v>17.8</v>
      </c>
      <c r="P183" s="18">
        <v>11067</v>
      </c>
      <c r="Q183" s="136">
        <v>67</v>
      </c>
      <c r="R183" s="19">
        <f t="shared" si="7"/>
        <v>14.5</v>
      </c>
      <c r="S183">
        <v>0.8878757970253931</v>
      </c>
      <c r="T183" s="140">
        <f t="shared" si="8"/>
        <v>15.387875797025393</v>
      </c>
    </row>
    <row r="184" spans="1:20" x14ac:dyDescent="0.3">
      <c r="A184" s="18">
        <v>8177</v>
      </c>
      <c r="B184" s="18">
        <v>18</v>
      </c>
      <c r="C184" s="18" t="s">
        <v>77</v>
      </c>
      <c r="D184" s="18" t="s">
        <v>78</v>
      </c>
      <c r="E184" s="18" t="s">
        <v>81</v>
      </c>
      <c r="F184" s="18">
        <v>8</v>
      </c>
      <c r="G184" s="18">
        <v>9.3000000000000007</v>
      </c>
      <c r="P184" s="18">
        <v>11086</v>
      </c>
      <c r="Q184" s="136">
        <v>69</v>
      </c>
      <c r="R184" s="19">
        <f t="shared" si="7"/>
        <v>15.5</v>
      </c>
      <c r="S184">
        <v>6.1029526628422981E-2</v>
      </c>
      <c r="T184" s="140">
        <f t="shared" si="8"/>
        <v>15.561029526628422</v>
      </c>
    </row>
    <row r="185" spans="1:20" x14ac:dyDescent="0.3">
      <c r="A185" s="18">
        <v>8178</v>
      </c>
      <c r="B185" s="18">
        <v>18</v>
      </c>
      <c r="C185" s="18" t="s">
        <v>83</v>
      </c>
      <c r="D185" s="18" t="s">
        <v>78</v>
      </c>
      <c r="E185" s="18" t="s">
        <v>79</v>
      </c>
      <c r="F185" s="18">
        <v>9999</v>
      </c>
      <c r="G185" s="18"/>
      <c r="P185" s="18">
        <v>11155</v>
      </c>
      <c r="Q185" s="136">
        <v>50</v>
      </c>
      <c r="R185" s="19">
        <f t="shared" si="7"/>
        <v>12.5</v>
      </c>
      <c r="S185">
        <v>0.26729207321224413</v>
      </c>
      <c r="T185" s="140">
        <f t="shared" si="8"/>
        <v>12.767292073212245</v>
      </c>
    </row>
    <row r="186" spans="1:20" x14ac:dyDescent="0.3">
      <c r="A186" s="18">
        <v>8182</v>
      </c>
      <c r="B186" s="18">
        <v>18</v>
      </c>
      <c r="C186" s="18" t="s">
        <v>77</v>
      </c>
      <c r="D186" s="18" t="s">
        <v>78</v>
      </c>
      <c r="E186" s="18" t="s">
        <v>79</v>
      </c>
      <c r="F186" s="18">
        <v>10</v>
      </c>
      <c r="G186" s="18">
        <v>16.8</v>
      </c>
      <c r="P186" s="18">
        <v>11182</v>
      </c>
      <c r="Q186" s="136">
        <v>17</v>
      </c>
      <c r="R186" s="19">
        <f t="shared" si="7"/>
        <v>8.5</v>
      </c>
      <c r="S186">
        <v>0.23274348147722268</v>
      </c>
      <c r="T186" s="140">
        <f t="shared" si="8"/>
        <v>8.7327434814772218</v>
      </c>
    </row>
    <row r="187" spans="1:20" x14ac:dyDescent="0.3">
      <c r="A187" s="18">
        <v>8185</v>
      </c>
      <c r="B187" s="18">
        <v>18</v>
      </c>
      <c r="C187" s="18" t="s">
        <v>77</v>
      </c>
      <c r="D187" s="18" t="s">
        <v>78</v>
      </c>
      <c r="E187" s="18" t="s">
        <v>81</v>
      </c>
      <c r="F187" s="18">
        <v>12</v>
      </c>
      <c r="G187" s="18">
        <v>10.6</v>
      </c>
      <c r="P187" s="18">
        <v>11184</v>
      </c>
      <c r="Q187" s="136">
        <v>9</v>
      </c>
      <c r="R187" s="19">
        <f t="shared" si="7"/>
        <v>7.5</v>
      </c>
      <c r="S187">
        <v>0.63418959634560157</v>
      </c>
      <c r="T187" s="140">
        <f t="shared" si="8"/>
        <v>8.1341895963456015</v>
      </c>
    </row>
    <row r="188" spans="1:20" x14ac:dyDescent="0.3">
      <c r="A188" s="18">
        <v>8186</v>
      </c>
      <c r="B188" s="18">
        <v>18</v>
      </c>
      <c r="C188" s="18" t="s">
        <v>77</v>
      </c>
      <c r="D188" s="18" t="s">
        <v>78</v>
      </c>
      <c r="E188" s="18" t="s">
        <v>79</v>
      </c>
      <c r="F188" s="18">
        <v>9</v>
      </c>
      <c r="G188" s="18">
        <v>19.399999999999999</v>
      </c>
      <c r="P188" s="18">
        <v>11191</v>
      </c>
      <c r="Q188" s="136">
        <v>50</v>
      </c>
      <c r="R188" s="19">
        <f t="shared" si="7"/>
        <v>12.5</v>
      </c>
      <c r="S188">
        <v>2.9828060093608721E-2</v>
      </c>
      <c r="T188" s="140">
        <f t="shared" si="8"/>
        <v>12.529828060093608</v>
      </c>
    </row>
    <row r="189" spans="1:20" x14ac:dyDescent="0.3">
      <c r="A189" s="18">
        <v>8189</v>
      </c>
      <c r="B189" s="18">
        <v>18</v>
      </c>
      <c r="C189" s="18" t="s">
        <v>77</v>
      </c>
      <c r="D189" s="18" t="s">
        <v>78</v>
      </c>
      <c r="E189" s="18" t="s">
        <v>81</v>
      </c>
      <c r="F189" s="18">
        <v>3</v>
      </c>
      <c r="G189" s="18">
        <v>13.4</v>
      </c>
      <c r="P189" s="18">
        <v>11194</v>
      </c>
      <c r="Q189" s="136">
        <v>78</v>
      </c>
      <c r="R189" s="19">
        <f t="shared" si="7"/>
        <v>15.5</v>
      </c>
      <c r="S189">
        <v>7.7776005710793683E-2</v>
      </c>
      <c r="T189" s="140">
        <f t="shared" si="8"/>
        <v>15.577776005710794</v>
      </c>
    </row>
    <row r="190" spans="1:20" x14ac:dyDescent="0.3">
      <c r="A190" s="18">
        <v>8190</v>
      </c>
      <c r="B190" s="18">
        <v>18</v>
      </c>
      <c r="C190" s="18" t="s">
        <v>77</v>
      </c>
      <c r="D190" s="18" t="s">
        <v>78</v>
      </c>
      <c r="E190" s="18" t="s">
        <v>81</v>
      </c>
      <c r="F190" s="18">
        <v>6</v>
      </c>
      <c r="G190" s="18"/>
      <c r="P190" s="18">
        <v>11248</v>
      </c>
      <c r="Q190" s="136">
        <v>12</v>
      </c>
      <c r="R190" s="19">
        <f t="shared" si="7"/>
        <v>8.5</v>
      </c>
      <c r="S190">
        <v>0.95949761284402424</v>
      </c>
      <c r="T190" s="140">
        <f t="shared" si="8"/>
        <v>9.4594976128440251</v>
      </c>
    </row>
    <row r="191" spans="1:20" x14ac:dyDescent="0.3">
      <c r="A191" s="18">
        <v>8191</v>
      </c>
      <c r="B191" s="18">
        <v>18</v>
      </c>
      <c r="C191" s="18" t="s">
        <v>77</v>
      </c>
      <c r="D191" s="18" t="s">
        <v>78</v>
      </c>
      <c r="E191" s="18" t="s">
        <v>81</v>
      </c>
      <c r="F191" s="18">
        <v>2</v>
      </c>
      <c r="G191" s="18"/>
      <c r="P191" s="18">
        <v>11287</v>
      </c>
      <c r="Q191" s="136">
        <v>16</v>
      </c>
      <c r="R191" s="19">
        <f t="shared" si="7"/>
        <v>8.5</v>
      </c>
      <c r="S191">
        <v>0.4867793908504936</v>
      </c>
      <c r="T191" s="140">
        <f t="shared" si="8"/>
        <v>8.9867793908504936</v>
      </c>
    </row>
    <row r="192" spans="1:20" x14ac:dyDescent="0.3">
      <c r="A192" s="18">
        <v>8193</v>
      </c>
      <c r="B192" s="18">
        <v>18</v>
      </c>
      <c r="C192" s="18" t="s">
        <v>83</v>
      </c>
      <c r="D192" s="18" t="s">
        <v>78</v>
      </c>
      <c r="E192" s="18" t="s">
        <v>86</v>
      </c>
      <c r="F192" s="18">
        <v>9999</v>
      </c>
      <c r="G192" s="18"/>
      <c r="P192" s="18">
        <v>11298</v>
      </c>
      <c r="Q192" s="136">
        <v>8</v>
      </c>
      <c r="R192" s="19">
        <f t="shared" si="7"/>
        <v>7.5</v>
      </c>
      <c r="S192">
        <v>0.52897100934708507</v>
      </c>
      <c r="T192" s="140">
        <f t="shared" si="8"/>
        <v>8.0289710093470852</v>
      </c>
    </row>
    <row r="193" spans="1:20" x14ac:dyDescent="0.3">
      <c r="A193" s="18">
        <v>8194</v>
      </c>
      <c r="B193" s="18">
        <v>18</v>
      </c>
      <c r="C193" s="18" t="s">
        <v>77</v>
      </c>
      <c r="D193" s="18" t="s">
        <v>78</v>
      </c>
      <c r="E193" s="18" t="s">
        <v>81</v>
      </c>
      <c r="F193" s="18">
        <v>6</v>
      </c>
      <c r="G193" s="18">
        <v>10</v>
      </c>
      <c r="P193" s="18">
        <v>11299</v>
      </c>
      <c r="Q193" s="136">
        <v>55</v>
      </c>
      <c r="R193" s="19">
        <f t="shared" si="7"/>
        <v>13.5</v>
      </c>
      <c r="S193">
        <v>0.4134089117528349</v>
      </c>
      <c r="T193" s="140">
        <f t="shared" si="8"/>
        <v>13.913408911752835</v>
      </c>
    </row>
    <row r="194" spans="1:20" x14ac:dyDescent="0.3">
      <c r="A194" s="18">
        <v>8195</v>
      </c>
      <c r="B194" s="18">
        <v>18</v>
      </c>
      <c r="C194" s="18" t="s">
        <v>77</v>
      </c>
      <c r="D194" s="18" t="s">
        <v>78</v>
      </c>
      <c r="E194" s="18" t="s">
        <v>81</v>
      </c>
      <c r="F194" s="18">
        <v>8</v>
      </c>
      <c r="G194" s="18">
        <v>13.5</v>
      </c>
      <c r="P194" s="18">
        <v>11307</v>
      </c>
      <c r="Q194" s="136">
        <v>60</v>
      </c>
      <c r="R194" s="19">
        <f t="shared" si="7"/>
        <v>14.5</v>
      </c>
      <c r="S194">
        <v>0.23599079808821588</v>
      </c>
      <c r="T194" s="140">
        <f t="shared" si="8"/>
        <v>14.735990798088215</v>
      </c>
    </row>
    <row r="195" spans="1:20" x14ac:dyDescent="0.3">
      <c r="A195" s="18">
        <v>8196</v>
      </c>
      <c r="B195" s="18">
        <v>18</v>
      </c>
      <c r="C195" s="18" t="s">
        <v>77</v>
      </c>
      <c r="D195" s="18" t="s">
        <v>84</v>
      </c>
      <c r="E195" s="18" t="s">
        <v>81</v>
      </c>
      <c r="F195" s="18">
        <v>0</v>
      </c>
      <c r="G195" s="18"/>
      <c r="P195" s="18">
        <v>11320</v>
      </c>
      <c r="Q195" s="136">
        <v>46</v>
      </c>
      <c r="R195" s="19">
        <f t="shared" si="7"/>
        <v>12.5</v>
      </c>
      <c r="S195">
        <v>0.67176291830974943</v>
      </c>
      <c r="T195" s="140">
        <f t="shared" si="8"/>
        <v>13.171762918309749</v>
      </c>
    </row>
    <row r="196" spans="1:20" x14ac:dyDescent="0.3">
      <c r="A196" s="18">
        <v>8200</v>
      </c>
      <c r="B196" s="18">
        <v>18</v>
      </c>
      <c r="C196" s="18" t="s">
        <v>83</v>
      </c>
      <c r="D196" s="18" t="s">
        <v>78</v>
      </c>
      <c r="E196" s="18" t="s">
        <v>86</v>
      </c>
      <c r="F196" s="18">
        <v>9999</v>
      </c>
      <c r="G196" s="18"/>
      <c r="P196" s="18">
        <v>11331</v>
      </c>
      <c r="Q196" s="136">
        <v>52</v>
      </c>
      <c r="R196" s="19">
        <f t="shared" si="7"/>
        <v>12.5</v>
      </c>
      <c r="S196">
        <v>0.25145342027759821</v>
      </c>
      <c r="T196" s="140">
        <f t="shared" si="8"/>
        <v>12.751453420277599</v>
      </c>
    </row>
    <row r="197" spans="1:20" x14ac:dyDescent="0.3">
      <c r="A197" s="18">
        <v>8205</v>
      </c>
      <c r="B197" s="18">
        <v>18</v>
      </c>
      <c r="C197" s="18" t="s">
        <v>77</v>
      </c>
      <c r="D197" s="18" t="s">
        <v>78</v>
      </c>
      <c r="E197" s="18" t="s">
        <v>79</v>
      </c>
      <c r="F197" s="18">
        <v>6</v>
      </c>
      <c r="G197" s="18">
        <v>12.5</v>
      </c>
      <c r="P197" s="18">
        <v>11343</v>
      </c>
      <c r="Q197" s="136">
        <v>76</v>
      </c>
      <c r="R197" s="19">
        <f t="shared" si="7"/>
        <v>15.5</v>
      </c>
      <c r="S197">
        <v>0.19118788225720562</v>
      </c>
      <c r="T197" s="140">
        <f t="shared" si="8"/>
        <v>15.691187882257205</v>
      </c>
    </row>
    <row r="198" spans="1:20" x14ac:dyDescent="0.3">
      <c r="A198" s="18">
        <v>8221</v>
      </c>
      <c r="B198" s="18">
        <v>18</v>
      </c>
      <c r="C198" s="18" t="s">
        <v>77</v>
      </c>
      <c r="D198" s="18" t="s">
        <v>78</v>
      </c>
      <c r="E198" s="18" t="s">
        <v>81</v>
      </c>
      <c r="F198" s="18">
        <v>4</v>
      </c>
      <c r="G198" s="18">
        <v>10.7</v>
      </c>
      <c r="P198" s="18">
        <v>11397</v>
      </c>
      <c r="Q198" s="136">
        <v>58</v>
      </c>
      <c r="R198" s="19">
        <f t="shared" si="7"/>
        <v>13.5</v>
      </c>
      <c r="S198">
        <v>0.77409181998820242</v>
      </c>
      <c r="T198" s="140">
        <f t="shared" si="8"/>
        <v>14.274091819988202</v>
      </c>
    </row>
    <row r="199" spans="1:20" x14ac:dyDescent="0.3">
      <c r="A199" s="18">
        <v>8259</v>
      </c>
      <c r="B199" s="18">
        <v>18</v>
      </c>
      <c r="C199" s="18" t="s">
        <v>83</v>
      </c>
      <c r="D199" s="18" t="s">
        <v>78</v>
      </c>
      <c r="E199" s="18" t="s">
        <v>79</v>
      </c>
      <c r="F199" s="18">
        <v>9999</v>
      </c>
      <c r="G199" s="18"/>
      <c r="P199" s="18">
        <v>11442</v>
      </c>
      <c r="Q199" s="136">
        <v>32</v>
      </c>
      <c r="R199" s="19">
        <f t="shared" si="7"/>
        <v>10.5</v>
      </c>
      <c r="S199">
        <v>0.51362144953030298</v>
      </c>
      <c r="T199" s="140">
        <f t="shared" si="8"/>
        <v>11.013621449530303</v>
      </c>
    </row>
    <row r="200" spans="1:20" x14ac:dyDescent="0.3">
      <c r="A200" s="18">
        <v>8276</v>
      </c>
      <c r="B200" s="18">
        <v>18</v>
      </c>
      <c r="C200" s="18" t="s">
        <v>83</v>
      </c>
      <c r="D200" s="18" t="s">
        <v>78</v>
      </c>
      <c r="E200" s="18" t="s">
        <v>81</v>
      </c>
      <c r="F200" s="18">
        <v>9999</v>
      </c>
      <c r="G200" s="18"/>
      <c r="P200" s="18">
        <v>11446</v>
      </c>
      <c r="Q200" s="136">
        <v>65</v>
      </c>
      <c r="R200" s="19">
        <f t="shared" si="7"/>
        <v>14.5</v>
      </c>
      <c r="S200">
        <v>0.66111077839567101</v>
      </c>
      <c r="T200" s="140">
        <f t="shared" si="8"/>
        <v>15.16111077839567</v>
      </c>
    </row>
    <row r="201" spans="1:20" x14ac:dyDescent="0.3">
      <c r="A201" s="18">
        <v>8293</v>
      </c>
      <c r="B201" s="18">
        <v>18</v>
      </c>
      <c r="C201" s="18" t="s">
        <v>83</v>
      </c>
      <c r="D201" s="18" t="s">
        <v>78</v>
      </c>
      <c r="E201" s="18" t="s">
        <v>81</v>
      </c>
      <c r="F201" s="18">
        <v>9999</v>
      </c>
      <c r="G201" s="18"/>
      <c r="P201" s="18">
        <v>11457</v>
      </c>
      <c r="Q201" s="136">
        <v>47</v>
      </c>
      <c r="R201" s="19">
        <f t="shared" si="7"/>
        <v>12.5</v>
      </c>
      <c r="S201">
        <v>0.96463607433649179</v>
      </c>
      <c r="T201" s="140">
        <f t="shared" si="8"/>
        <v>13.464636074336491</v>
      </c>
    </row>
    <row r="202" spans="1:20" x14ac:dyDescent="0.3">
      <c r="A202" s="18">
        <v>8294</v>
      </c>
      <c r="B202" s="18">
        <v>18</v>
      </c>
      <c r="C202" s="18" t="s">
        <v>77</v>
      </c>
      <c r="D202" s="18" t="s">
        <v>78</v>
      </c>
      <c r="E202" s="18" t="s">
        <v>79</v>
      </c>
      <c r="F202" s="18">
        <v>9</v>
      </c>
      <c r="G202" s="18">
        <v>16.8</v>
      </c>
      <c r="P202" s="18">
        <v>11458</v>
      </c>
      <c r="Q202" s="136">
        <v>72</v>
      </c>
      <c r="R202" s="19">
        <f t="shared" ref="R202:R217" si="9">LOOKUP(Q202,$AE$21:$AE$37,$Y$21:$Y$37)</f>
        <v>15.5</v>
      </c>
      <c r="S202">
        <v>0.1497336746097232</v>
      </c>
      <c r="T202" s="140">
        <f t="shared" ref="T202:T217" si="10">R202+S202</f>
        <v>15.649733674609724</v>
      </c>
    </row>
    <row r="203" spans="1:20" x14ac:dyDescent="0.3">
      <c r="A203" s="18">
        <v>8394</v>
      </c>
      <c r="B203" s="18">
        <v>18</v>
      </c>
      <c r="C203" s="18" t="s">
        <v>77</v>
      </c>
      <c r="D203" s="18" t="s">
        <v>78</v>
      </c>
      <c r="E203" s="18" t="s">
        <v>81</v>
      </c>
      <c r="F203" s="18">
        <v>5</v>
      </c>
      <c r="G203" s="18">
        <v>9</v>
      </c>
      <c r="P203" s="18">
        <v>11462</v>
      </c>
      <c r="Q203" s="136">
        <v>48</v>
      </c>
      <c r="R203" s="19">
        <f t="shared" si="9"/>
        <v>12.5</v>
      </c>
      <c r="S203">
        <v>0.26772718914898597</v>
      </c>
      <c r="T203" s="140">
        <f t="shared" si="10"/>
        <v>12.767727189148985</v>
      </c>
    </row>
    <row r="204" spans="1:20" x14ac:dyDescent="0.3">
      <c r="A204" s="18">
        <v>8398</v>
      </c>
      <c r="B204" s="18">
        <v>18</v>
      </c>
      <c r="C204" s="18" t="s">
        <v>77</v>
      </c>
      <c r="D204" s="18" t="s">
        <v>84</v>
      </c>
      <c r="E204" s="18" t="s">
        <v>79</v>
      </c>
      <c r="F204" s="18">
        <v>0</v>
      </c>
      <c r="G204" s="18"/>
      <c r="P204" s="18">
        <v>11465</v>
      </c>
      <c r="Q204" s="136">
        <v>51</v>
      </c>
      <c r="R204" s="19">
        <f t="shared" si="9"/>
        <v>12.5</v>
      </c>
      <c r="S204">
        <v>0.98459585912976866</v>
      </c>
      <c r="T204" s="140">
        <f t="shared" si="10"/>
        <v>13.484595859129769</v>
      </c>
    </row>
    <row r="205" spans="1:20" x14ac:dyDescent="0.3">
      <c r="A205" s="18">
        <v>8405</v>
      </c>
      <c r="B205" s="18">
        <v>18</v>
      </c>
      <c r="C205" s="18" t="s">
        <v>77</v>
      </c>
      <c r="D205" s="18" t="s">
        <v>78</v>
      </c>
      <c r="E205" s="18" t="s">
        <v>81</v>
      </c>
      <c r="F205" s="18">
        <v>2</v>
      </c>
      <c r="G205" s="18"/>
      <c r="P205" s="18">
        <v>11466</v>
      </c>
      <c r="Q205" s="136">
        <v>93</v>
      </c>
      <c r="R205" s="19">
        <f t="shared" si="9"/>
        <v>19.5</v>
      </c>
      <c r="S205">
        <v>0.44223228389556435</v>
      </c>
      <c r="T205" s="140">
        <f t="shared" si="10"/>
        <v>19.942232283895564</v>
      </c>
    </row>
    <row r="206" spans="1:20" x14ac:dyDescent="0.3">
      <c r="A206" s="18">
        <v>8410</v>
      </c>
      <c r="B206" s="18">
        <v>18</v>
      </c>
      <c r="C206" s="18" t="s">
        <v>77</v>
      </c>
      <c r="D206" s="18" t="s">
        <v>78</v>
      </c>
      <c r="E206" s="18" t="s">
        <v>81</v>
      </c>
      <c r="F206" s="18">
        <v>0</v>
      </c>
      <c r="G206" s="18"/>
      <c r="P206" s="18">
        <v>11472</v>
      </c>
      <c r="Q206" s="136">
        <v>36</v>
      </c>
      <c r="R206" s="19">
        <f t="shared" si="9"/>
        <v>10.5</v>
      </c>
      <c r="S206">
        <v>0.36899593445421419</v>
      </c>
      <c r="T206" s="140">
        <f t="shared" si="10"/>
        <v>10.868995934454214</v>
      </c>
    </row>
    <row r="207" spans="1:20" x14ac:dyDescent="0.3">
      <c r="A207" s="18">
        <v>8425</v>
      </c>
      <c r="B207" s="18">
        <v>18</v>
      </c>
      <c r="C207" s="18" t="s">
        <v>77</v>
      </c>
      <c r="D207" s="18" t="s">
        <v>78</v>
      </c>
      <c r="E207" s="18" t="s">
        <v>81</v>
      </c>
      <c r="F207" s="18">
        <v>2</v>
      </c>
      <c r="G207" s="18"/>
      <c r="P207" s="18">
        <v>11473</v>
      </c>
      <c r="Q207" s="136">
        <v>31</v>
      </c>
      <c r="R207" s="19">
        <f t="shared" si="9"/>
        <v>10.5</v>
      </c>
      <c r="S207">
        <v>0.98818758903162884</v>
      </c>
      <c r="T207" s="140">
        <f t="shared" si="10"/>
        <v>11.488187589031629</v>
      </c>
    </row>
    <row r="208" spans="1:20" x14ac:dyDescent="0.3">
      <c r="A208" s="18">
        <v>8428</v>
      </c>
      <c r="B208" s="18">
        <v>18</v>
      </c>
      <c r="C208" s="18" t="s">
        <v>77</v>
      </c>
      <c r="D208" s="18" t="s">
        <v>78</v>
      </c>
      <c r="E208" s="18" t="s">
        <v>81</v>
      </c>
      <c r="F208" s="18">
        <v>1</v>
      </c>
      <c r="G208" s="18"/>
      <c r="P208" s="18">
        <v>11474</v>
      </c>
      <c r="Q208" s="136">
        <v>94</v>
      </c>
      <c r="R208" s="19">
        <f t="shared" si="9"/>
        <v>19.5</v>
      </c>
      <c r="S208">
        <v>0.77644627081191175</v>
      </c>
      <c r="T208" s="140">
        <f t="shared" si="10"/>
        <v>20.276446270811913</v>
      </c>
    </row>
    <row r="209" spans="1:20" x14ac:dyDescent="0.3">
      <c r="A209" s="18">
        <v>8481</v>
      </c>
      <c r="B209" s="18">
        <v>18</v>
      </c>
      <c r="C209" s="18" t="s">
        <v>83</v>
      </c>
      <c r="D209" s="18" t="s">
        <v>78</v>
      </c>
      <c r="E209" s="18" t="s">
        <v>81</v>
      </c>
      <c r="F209" s="18">
        <v>9999</v>
      </c>
      <c r="G209" s="18"/>
      <c r="P209" s="18">
        <v>11475</v>
      </c>
      <c r="Q209" s="136">
        <v>11</v>
      </c>
      <c r="R209" s="19">
        <f t="shared" si="9"/>
        <v>7.5</v>
      </c>
      <c r="S209">
        <v>0.43904855196736547</v>
      </c>
      <c r="T209" s="140">
        <f t="shared" si="10"/>
        <v>7.9390485519673657</v>
      </c>
    </row>
    <row r="210" spans="1:20" x14ac:dyDescent="0.3">
      <c r="A210" s="18">
        <v>8636</v>
      </c>
      <c r="B210" s="18">
        <v>18</v>
      </c>
      <c r="C210" s="18" t="s">
        <v>77</v>
      </c>
      <c r="D210" s="18" t="s">
        <v>78</v>
      </c>
      <c r="E210" s="18" t="s">
        <v>81</v>
      </c>
      <c r="F210" s="18">
        <v>1</v>
      </c>
      <c r="G210" s="18">
        <v>20.8</v>
      </c>
      <c r="P210" s="18">
        <v>11488</v>
      </c>
      <c r="Q210" s="136">
        <v>17</v>
      </c>
      <c r="R210" s="19">
        <f t="shared" si="9"/>
        <v>8.5</v>
      </c>
      <c r="S210">
        <v>0.9226598342003991</v>
      </c>
      <c r="T210" s="140">
        <f t="shared" si="10"/>
        <v>9.4226598342003989</v>
      </c>
    </row>
    <row r="211" spans="1:20" x14ac:dyDescent="0.3">
      <c r="A211" s="18">
        <v>8676</v>
      </c>
      <c r="B211" s="18">
        <v>18</v>
      </c>
      <c r="C211" s="18" t="s">
        <v>77</v>
      </c>
      <c r="D211" s="18" t="s">
        <v>78</v>
      </c>
      <c r="E211" s="18" t="s">
        <v>79</v>
      </c>
      <c r="F211" s="18">
        <v>4</v>
      </c>
      <c r="G211" s="18">
        <v>18.600000000000001</v>
      </c>
      <c r="P211" s="18">
        <v>11489</v>
      </c>
      <c r="Q211" s="136">
        <v>57</v>
      </c>
      <c r="R211" s="19">
        <f t="shared" si="9"/>
        <v>13.5</v>
      </c>
      <c r="S211">
        <v>0.97270600400364804</v>
      </c>
      <c r="T211" s="140">
        <f t="shared" si="10"/>
        <v>14.472706004003648</v>
      </c>
    </row>
    <row r="212" spans="1:20" x14ac:dyDescent="0.3">
      <c r="A212" s="18">
        <v>8682</v>
      </c>
      <c r="B212" s="18">
        <v>18</v>
      </c>
      <c r="C212" s="18" t="s">
        <v>77</v>
      </c>
      <c r="D212" s="18" t="s">
        <v>78</v>
      </c>
      <c r="E212" s="18" t="s">
        <v>79</v>
      </c>
      <c r="F212" s="18">
        <v>5</v>
      </c>
      <c r="G212" s="18">
        <v>23.2</v>
      </c>
      <c r="P212" s="18">
        <v>11617</v>
      </c>
      <c r="Q212" s="136">
        <v>83</v>
      </c>
      <c r="R212" s="19">
        <f t="shared" si="9"/>
        <v>16.5</v>
      </c>
      <c r="S212">
        <v>6.2208453812543696E-2</v>
      </c>
      <c r="T212" s="140">
        <f t="shared" si="10"/>
        <v>16.562208453812545</v>
      </c>
    </row>
    <row r="213" spans="1:20" x14ac:dyDescent="0.3">
      <c r="A213" s="18">
        <v>8693</v>
      </c>
      <c r="B213" s="18">
        <v>18</v>
      </c>
      <c r="C213" s="18" t="s">
        <v>77</v>
      </c>
      <c r="D213" s="18" t="s">
        <v>78</v>
      </c>
      <c r="E213" s="18" t="s">
        <v>81</v>
      </c>
      <c r="F213" s="18">
        <v>2</v>
      </c>
      <c r="G213" s="18">
        <v>20.2</v>
      </c>
      <c r="P213" s="18">
        <v>11618</v>
      </c>
      <c r="Q213" s="136">
        <v>74</v>
      </c>
      <c r="R213" s="19">
        <f t="shared" si="9"/>
        <v>15.5</v>
      </c>
      <c r="S213">
        <v>0.86032920874670993</v>
      </c>
      <c r="T213" s="140">
        <f t="shared" si="10"/>
        <v>16.360329208746709</v>
      </c>
    </row>
    <row r="214" spans="1:20" x14ac:dyDescent="0.3">
      <c r="A214" s="18">
        <v>8718</v>
      </c>
      <c r="B214" s="18">
        <v>18</v>
      </c>
      <c r="C214" s="18" t="s">
        <v>77</v>
      </c>
      <c r="D214" s="18" t="s">
        <v>78</v>
      </c>
      <c r="E214" s="18" t="s">
        <v>79</v>
      </c>
      <c r="F214" s="18">
        <v>15</v>
      </c>
      <c r="G214" s="18">
        <v>8.1999999999999993</v>
      </c>
      <c r="P214" s="18">
        <v>11643</v>
      </c>
      <c r="Q214" s="136">
        <v>52</v>
      </c>
      <c r="R214" s="19">
        <f t="shared" si="9"/>
        <v>12.5</v>
      </c>
      <c r="S214">
        <v>0.37058759100190697</v>
      </c>
      <c r="T214" s="140">
        <f t="shared" si="10"/>
        <v>12.870587591001907</v>
      </c>
    </row>
    <row r="215" spans="1:20" x14ac:dyDescent="0.3">
      <c r="A215" s="18">
        <v>8721</v>
      </c>
      <c r="B215" s="18">
        <v>18</v>
      </c>
      <c r="C215" s="18" t="s">
        <v>77</v>
      </c>
      <c r="D215" s="18" t="s">
        <v>78</v>
      </c>
      <c r="E215" s="18" t="s">
        <v>81</v>
      </c>
      <c r="F215" s="18">
        <v>6</v>
      </c>
      <c r="G215" s="18">
        <v>10.8</v>
      </c>
      <c r="P215" s="18">
        <v>11647</v>
      </c>
      <c r="Q215" s="136">
        <v>53</v>
      </c>
      <c r="R215" s="19">
        <f t="shared" si="9"/>
        <v>13.5</v>
      </c>
      <c r="S215">
        <v>0.64475793601301745</v>
      </c>
      <c r="T215" s="140">
        <f t="shared" si="10"/>
        <v>14.144757936013017</v>
      </c>
    </row>
    <row r="216" spans="1:20" x14ac:dyDescent="0.3">
      <c r="A216" s="18">
        <v>8724</v>
      </c>
      <c r="B216" s="18">
        <v>18</v>
      </c>
      <c r="C216" s="18" t="s">
        <v>77</v>
      </c>
      <c r="D216" s="18" t="s">
        <v>78</v>
      </c>
      <c r="E216" s="18" t="s">
        <v>79</v>
      </c>
      <c r="F216" s="18">
        <v>15</v>
      </c>
      <c r="G216" s="18">
        <v>8.1</v>
      </c>
      <c r="P216" s="18">
        <v>11648</v>
      </c>
      <c r="Q216" s="136">
        <v>72</v>
      </c>
      <c r="R216" s="19">
        <f t="shared" si="9"/>
        <v>15.5</v>
      </c>
      <c r="S216">
        <v>0.45618132218675456</v>
      </c>
      <c r="T216" s="140">
        <f t="shared" si="10"/>
        <v>15.956181322186755</v>
      </c>
    </row>
    <row r="217" spans="1:20" x14ac:dyDescent="0.3">
      <c r="A217" s="18">
        <v>8732</v>
      </c>
      <c r="B217" s="18">
        <v>18</v>
      </c>
      <c r="C217" s="18" t="s">
        <v>77</v>
      </c>
      <c r="D217" s="18" t="s">
        <v>78</v>
      </c>
      <c r="E217" s="18" t="s">
        <v>79</v>
      </c>
      <c r="F217" s="18">
        <v>16</v>
      </c>
      <c r="G217" s="18">
        <v>8.4</v>
      </c>
      <c r="P217" s="18">
        <v>11649</v>
      </c>
      <c r="Q217" s="136">
        <v>72</v>
      </c>
      <c r="R217" s="19">
        <f t="shared" si="9"/>
        <v>15.5</v>
      </c>
      <c r="S217">
        <v>0.62524697422025377</v>
      </c>
      <c r="T217" s="140">
        <f t="shared" si="10"/>
        <v>16.125246974220254</v>
      </c>
    </row>
    <row r="218" spans="1:20" x14ac:dyDescent="0.3">
      <c r="A218" s="18">
        <v>8751</v>
      </c>
      <c r="B218" s="18">
        <v>18</v>
      </c>
      <c r="C218" s="18" t="s">
        <v>77</v>
      </c>
      <c r="D218" s="18" t="s">
        <v>78</v>
      </c>
      <c r="E218" s="18" t="s">
        <v>79</v>
      </c>
      <c r="F218" s="18">
        <v>3</v>
      </c>
      <c r="G218" s="18">
        <v>21.3</v>
      </c>
    </row>
    <row r="219" spans="1:20" x14ac:dyDescent="0.3">
      <c r="A219" s="18">
        <v>8775</v>
      </c>
      <c r="B219" s="18">
        <v>18</v>
      </c>
      <c r="C219" s="18" t="s">
        <v>77</v>
      </c>
      <c r="D219" s="18" t="s">
        <v>85</v>
      </c>
      <c r="E219" s="18" t="s">
        <v>81</v>
      </c>
      <c r="F219" s="18">
        <v>0</v>
      </c>
      <c r="G219" s="18"/>
    </row>
    <row r="220" spans="1:20" x14ac:dyDescent="0.3">
      <c r="A220" s="18">
        <v>8788</v>
      </c>
      <c r="B220" s="18">
        <v>18</v>
      </c>
      <c r="C220" s="18" t="s">
        <v>77</v>
      </c>
      <c r="D220" s="18" t="s">
        <v>78</v>
      </c>
      <c r="E220" s="18" t="s">
        <v>81</v>
      </c>
      <c r="F220" s="18">
        <v>0</v>
      </c>
      <c r="G220" s="18"/>
    </row>
    <row r="221" spans="1:20" x14ac:dyDescent="0.3">
      <c r="A221" s="18">
        <v>8838</v>
      </c>
      <c r="B221" s="18">
        <v>18</v>
      </c>
      <c r="C221" s="18" t="s">
        <v>77</v>
      </c>
      <c r="D221" s="18" t="s">
        <v>78</v>
      </c>
      <c r="E221" s="18" t="s">
        <v>81</v>
      </c>
      <c r="F221" s="18">
        <v>0</v>
      </c>
      <c r="G221" s="18"/>
    </row>
    <row r="222" spans="1:20" x14ac:dyDescent="0.3">
      <c r="A222" s="18">
        <v>8861</v>
      </c>
      <c r="B222" s="18">
        <v>18</v>
      </c>
      <c r="C222" s="18" t="s">
        <v>77</v>
      </c>
      <c r="D222" s="18" t="s">
        <v>78</v>
      </c>
      <c r="E222" s="18" t="s">
        <v>79</v>
      </c>
      <c r="F222" s="18">
        <v>30</v>
      </c>
      <c r="G222" s="18">
        <v>6</v>
      </c>
    </row>
    <row r="223" spans="1:20" x14ac:dyDescent="0.3">
      <c r="A223" s="18">
        <v>8958</v>
      </c>
      <c r="B223" s="18">
        <v>18</v>
      </c>
      <c r="C223" s="18" t="s">
        <v>77</v>
      </c>
      <c r="D223" s="18" t="s">
        <v>78</v>
      </c>
      <c r="E223" s="18" t="s">
        <v>79</v>
      </c>
      <c r="F223" s="18">
        <v>10</v>
      </c>
      <c r="G223" s="18">
        <v>16.2</v>
      </c>
    </row>
    <row r="224" spans="1:20" x14ac:dyDescent="0.3">
      <c r="A224" s="18">
        <v>8961</v>
      </c>
      <c r="B224" s="18">
        <v>18</v>
      </c>
      <c r="C224" s="18" t="s">
        <v>77</v>
      </c>
      <c r="D224" s="18" t="s">
        <v>78</v>
      </c>
      <c r="E224" s="18" t="s">
        <v>79</v>
      </c>
      <c r="F224" s="18">
        <v>12</v>
      </c>
      <c r="G224" s="18">
        <v>14.5</v>
      </c>
    </row>
    <row r="225" spans="1:7" x14ac:dyDescent="0.3">
      <c r="A225" s="18">
        <v>9018</v>
      </c>
      <c r="B225" s="18">
        <v>18</v>
      </c>
      <c r="C225" s="18" t="s">
        <v>77</v>
      </c>
      <c r="D225" s="18" t="s">
        <v>78</v>
      </c>
      <c r="E225" s="18" t="s">
        <v>81</v>
      </c>
      <c r="F225" s="18">
        <v>25</v>
      </c>
      <c r="G225" s="18">
        <v>9.6</v>
      </c>
    </row>
    <row r="226" spans="1:7" x14ac:dyDescent="0.3">
      <c r="A226" s="18">
        <v>9059</v>
      </c>
      <c r="B226" s="18">
        <v>18</v>
      </c>
      <c r="C226" s="18" t="s">
        <v>83</v>
      </c>
      <c r="D226" s="18" t="s">
        <v>78</v>
      </c>
      <c r="E226" s="18" t="s">
        <v>79</v>
      </c>
      <c r="F226" s="18">
        <v>9999</v>
      </c>
      <c r="G226" s="18"/>
    </row>
    <row r="227" spans="1:7" x14ac:dyDescent="0.3">
      <c r="A227" s="18">
        <v>9060</v>
      </c>
      <c r="B227" s="18">
        <v>18</v>
      </c>
      <c r="C227" s="18" t="s">
        <v>83</v>
      </c>
      <c r="D227" s="18" t="s">
        <v>78</v>
      </c>
      <c r="E227" s="18" t="s">
        <v>81</v>
      </c>
      <c r="F227" s="18">
        <v>9999</v>
      </c>
      <c r="G227" s="18"/>
    </row>
    <row r="228" spans="1:7" x14ac:dyDescent="0.3">
      <c r="A228" s="18">
        <v>9066</v>
      </c>
      <c r="B228" s="18">
        <v>18</v>
      </c>
      <c r="C228" s="18" t="s">
        <v>77</v>
      </c>
      <c r="D228" s="18" t="s">
        <v>78</v>
      </c>
      <c r="E228" s="18" t="s">
        <v>81</v>
      </c>
      <c r="F228" s="18">
        <v>10</v>
      </c>
      <c r="G228" s="18">
        <v>14.2</v>
      </c>
    </row>
    <row r="229" spans="1:7" x14ac:dyDescent="0.3">
      <c r="A229" s="18">
        <v>9067</v>
      </c>
      <c r="B229" s="18">
        <v>18</v>
      </c>
      <c r="C229" s="18" t="s">
        <v>83</v>
      </c>
      <c r="D229" s="18" t="s">
        <v>78</v>
      </c>
      <c r="E229" s="18" t="s">
        <v>81</v>
      </c>
      <c r="F229" s="18">
        <v>9999</v>
      </c>
      <c r="G229" s="18"/>
    </row>
    <row r="230" spans="1:7" x14ac:dyDescent="0.3">
      <c r="A230" s="18">
        <v>9079</v>
      </c>
      <c r="B230" s="18">
        <v>18</v>
      </c>
      <c r="C230" s="18" t="s">
        <v>83</v>
      </c>
      <c r="D230" s="18" t="s">
        <v>78</v>
      </c>
      <c r="E230" s="18" t="s">
        <v>81</v>
      </c>
      <c r="F230" s="18">
        <v>9999</v>
      </c>
      <c r="G230" s="18"/>
    </row>
    <row r="231" spans="1:7" x14ac:dyDescent="0.3">
      <c r="A231" s="18">
        <v>9088</v>
      </c>
      <c r="B231" s="18">
        <v>18</v>
      </c>
      <c r="C231" s="18" t="s">
        <v>77</v>
      </c>
      <c r="D231" s="18" t="s">
        <v>78</v>
      </c>
      <c r="E231" s="18" t="s">
        <v>79</v>
      </c>
      <c r="F231" s="18">
        <v>5</v>
      </c>
      <c r="G231" s="18">
        <v>14.8</v>
      </c>
    </row>
    <row r="232" spans="1:7" x14ac:dyDescent="0.3">
      <c r="A232" s="18">
        <v>9128</v>
      </c>
      <c r="B232" s="18">
        <v>18</v>
      </c>
      <c r="C232" s="18" t="s">
        <v>77</v>
      </c>
      <c r="D232" s="18" t="s">
        <v>85</v>
      </c>
      <c r="E232" s="18" t="s">
        <v>79</v>
      </c>
      <c r="F232" s="18">
        <v>0</v>
      </c>
      <c r="G232" s="18"/>
    </row>
    <row r="233" spans="1:7" x14ac:dyDescent="0.3">
      <c r="A233" s="18">
        <v>9163</v>
      </c>
      <c r="B233" s="18">
        <v>18</v>
      </c>
      <c r="C233" s="18" t="s">
        <v>77</v>
      </c>
      <c r="D233" s="18" t="s">
        <v>78</v>
      </c>
      <c r="E233" s="18" t="s">
        <v>81</v>
      </c>
      <c r="F233" s="18">
        <v>2</v>
      </c>
      <c r="G233" s="18"/>
    </row>
    <row r="234" spans="1:7" x14ac:dyDescent="0.3">
      <c r="A234" s="18">
        <v>9172</v>
      </c>
      <c r="B234" s="18">
        <v>18</v>
      </c>
      <c r="C234" s="18" t="s">
        <v>77</v>
      </c>
      <c r="D234" s="18" t="s">
        <v>78</v>
      </c>
      <c r="E234" s="18" t="s">
        <v>79</v>
      </c>
      <c r="F234" s="18">
        <v>17</v>
      </c>
      <c r="G234" s="18">
        <v>8.9</v>
      </c>
    </row>
    <row r="235" spans="1:7" x14ac:dyDescent="0.3">
      <c r="A235" s="18">
        <v>9188</v>
      </c>
      <c r="B235" s="18">
        <v>18</v>
      </c>
      <c r="C235" s="18" t="s">
        <v>77</v>
      </c>
      <c r="D235" s="18" t="s">
        <v>78</v>
      </c>
      <c r="E235" s="18" t="s">
        <v>81</v>
      </c>
      <c r="F235" s="18">
        <v>3</v>
      </c>
      <c r="G235" s="18">
        <v>14.8</v>
      </c>
    </row>
    <row r="236" spans="1:7" x14ac:dyDescent="0.3">
      <c r="A236" s="18">
        <v>9219</v>
      </c>
      <c r="B236" s="18">
        <v>18</v>
      </c>
      <c r="C236" s="18" t="s">
        <v>83</v>
      </c>
      <c r="D236" s="18" t="s">
        <v>78</v>
      </c>
      <c r="E236" s="18" t="s">
        <v>86</v>
      </c>
      <c r="F236" s="18">
        <v>9999</v>
      </c>
      <c r="G236" s="18"/>
    </row>
    <row r="237" spans="1:7" x14ac:dyDescent="0.3">
      <c r="A237" s="18">
        <v>9258</v>
      </c>
      <c r="B237" s="18">
        <v>18</v>
      </c>
      <c r="C237" s="18" t="s">
        <v>83</v>
      </c>
      <c r="D237" s="18" t="s">
        <v>78</v>
      </c>
      <c r="E237" s="18" t="s">
        <v>81</v>
      </c>
      <c r="F237" s="18">
        <v>9999</v>
      </c>
      <c r="G237" s="18"/>
    </row>
    <row r="238" spans="1:7" x14ac:dyDescent="0.3">
      <c r="A238" s="18">
        <v>9278</v>
      </c>
      <c r="B238" s="18">
        <v>18</v>
      </c>
      <c r="C238" s="18" t="s">
        <v>77</v>
      </c>
      <c r="D238" s="18" t="s">
        <v>85</v>
      </c>
      <c r="E238" s="18" t="s">
        <v>86</v>
      </c>
      <c r="F238" s="18">
        <v>0</v>
      </c>
      <c r="G238" s="18"/>
    </row>
    <row r="239" spans="1:7" x14ac:dyDescent="0.3">
      <c r="A239" s="18">
        <v>9279</v>
      </c>
      <c r="B239" s="18">
        <v>18</v>
      </c>
      <c r="C239" s="18" t="s">
        <v>77</v>
      </c>
      <c r="D239" s="18" t="s">
        <v>78</v>
      </c>
      <c r="E239" s="18" t="s">
        <v>79</v>
      </c>
      <c r="F239" s="18">
        <v>16</v>
      </c>
      <c r="G239" s="18">
        <v>11</v>
      </c>
    </row>
    <row r="240" spans="1:7" x14ac:dyDescent="0.3">
      <c r="A240" s="18">
        <v>9280</v>
      </c>
      <c r="B240" s="18">
        <v>18</v>
      </c>
      <c r="C240" s="18" t="s">
        <v>83</v>
      </c>
      <c r="D240" s="18" t="s">
        <v>78</v>
      </c>
      <c r="E240" s="18" t="s">
        <v>86</v>
      </c>
      <c r="F240" s="18">
        <v>9999</v>
      </c>
      <c r="G240" s="18"/>
    </row>
    <row r="241" spans="1:7" x14ac:dyDescent="0.3">
      <c r="A241" s="18">
        <v>9282</v>
      </c>
      <c r="B241" s="18">
        <v>18</v>
      </c>
      <c r="C241" s="18" t="s">
        <v>77</v>
      </c>
      <c r="D241" s="18" t="s">
        <v>78</v>
      </c>
      <c r="E241" s="18" t="s">
        <v>79</v>
      </c>
      <c r="F241" s="18">
        <v>16</v>
      </c>
      <c r="G241" s="18">
        <v>10.5</v>
      </c>
    </row>
    <row r="242" spans="1:7" x14ac:dyDescent="0.3">
      <c r="A242" s="18">
        <v>9283</v>
      </c>
      <c r="B242" s="18">
        <v>18</v>
      </c>
      <c r="C242" s="18" t="s">
        <v>77</v>
      </c>
      <c r="D242" s="18" t="s">
        <v>85</v>
      </c>
      <c r="E242" s="18" t="s">
        <v>86</v>
      </c>
      <c r="F242" s="18">
        <v>0</v>
      </c>
      <c r="G242" s="18"/>
    </row>
    <row r="243" spans="1:7" x14ac:dyDescent="0.3">
      <c r="A243" s="18">
        <v>9290</v>
      </c>
      <c r="B243" s="18">
        <v>18</v>
      </c>
      <c r="C243" s="18" t="s">
        <v>77</v>
      </c>
      <c r="D243" s="18" t="s">
        <v>80</v>
      </c>
      <c r="E243" s="18" t="s">
        <v>86</v>
      </c>
      <c r="F243" s="18">
        <v>0</v>
      </c>
      <c r="G243" s="18"/>
    </row>
    <row r="244" spans="1:7" x14ac:dyDescent="0.3">
      <c r="A244" s="18">
        <v>9299</v>
      </c>
      <c r="B244" s="18">
        <v>18</v>
      </c>
      <c r="C244" s="18" t="s">
        <v>77</v>
      </c>
      <c r="D244" s="18" t="s">
        <v>78</v>
      </c>
      <c r="E244" s="18" t="s">
        <v>79</v>
      </c>
      <c r="F244" s="18">
        <v>15</v>
      </c>
      <c r="G244" s="18">
        <v>10.1</v>
      </c>
    </row>
    <row r="245" spans="1:7" x14ac:dyDescent="0.3">
      <c r="A245" s="18">
        <v>9376</v>
      </c>
      <c r="B245" s="18">
        <v>18</v>
      </c>
      <c r="C245" s="18" t="s">
        <v>77</v>
      </c>
      <c r="D245" s="18" t="s">
        <v>78</v>
      </c>
      <c r="E245" s="18" t="s">
        <v>81</v>
      </c>
      <c r="F245" s="18">
        <v>1</v>
      </c>
      <c r="G245" s="18"/>
    </row>
    <row r="246" spans="1:7" x14ac:dyDescent="0.3">
      <c r="A246" s="18">
        <v>9393</v>
      </c>
      <c r="B246" s="18">
        <v>18</v>
      </c>
      <c r="C246" s="18" t="s">
        <v>77</v>
      </c>
      <c r="D246" s="18" t="s">
        <v>84</v>
      </c>
      <c r="E246" s="18" t="s">
        <v>82</v>
      </c>
      <c r="F246" s="18">
        <v>0</v>
      </c>
      <c r="G246" s="18"/>
    </row>
    <row r="247" spans="1:7" x14ac:dyDescent="0.3">
      <c r="A247" s="18">
        <v>9394</v>
      </c>
      <c r="B247" s="18">
        <v>18</v>
      </c>
      <c r="C247" s="18" t="s">
        <v>77</v>
      </c>
      <c r="D247" s="18" t="s">
        <v>78</v>
      </c>
      <c r="E247" s="18" t="s">
        <v>79</v>
      </c>
      <c r="F247" s="18">
        <v>10</v>
      </c>
      <c r="G247" s="18">
        <v>15.6</v>
      </c>
    </row>
    <row r="248" spans="1:7" x14ac:dyDescent="0.3">
      <c r="A248" s="18">
        <v>9395</v>
      </c>
      <c r="B248" s="18">
        <v>18</v>
      </c>
      <c r="C248" s="18" t="s">
        <v>77</v>
      </c>
      <c r="D248" s="18" t="s">
        <v>78</v>
      </c>
      <c r="E248" s="18" t="s">
        <v>79</v>
      </c>
      <c r="F248" s="18">
        <v>10</v>
      </c>
      <c r="G248" s="18">
        <v>17.5</v>
      </c>
    </row>
    <row r="249" spans="1:7" x14ac:dyDescent="0.3">
      <c r="A249" s="18">
        <v>9411</v>
      </c>
      <c r="B249" s="18">
        <v>18</v>
      </c>
      <c r="C249" s="18" t="s">
        <v>77</v>
      </c>
      <c r="D249" s="18" t="s">
        <v>78</v>
      </c>
      <c r="E249" s="18" t="s">
        <v>81</v>
      </c>
      <c r="F249" s="18">
        <v>10</v>
      </c>
      <c r="G249" s="18">
        <v>24.1</v>
      </c>
    </row>
    <row r="250" spans="1:7" x14ac:dyDescent="0.3">
      <c r="A250" s="18">
        <v>9418</v>
      </c>
      <c r="B250" s="18">
        <v>18</v>
      </c>
      <c r="C250" s="18" t="s">
        <v>77</v>
      </c>
      <c r="D250" s="18" t="s">
        <v>78</v>
      </c>
      <c r="E250" s="18" t="s">
        <v>79</v>
      </c>
      <c r="F250" s="18">
        <v>10</v>
      </c>
      <c r="G250" s="18">
        <v>9</v>
      </c>
    </row>
    <row r="251" spans="1:7" x14ac:dyDescent="0.3">
      <c r="A251" s="18">
        <v>9512</v>
      </c>
      <c r="B251" s="18">
        <v>18</v>
      </c>
      <c r="C251" s="18" t="s">
        <v>83</v>
      </c>
      <c r="D251" s="18" t="s">
        <v>78</v>
      </c>
      <c r="E251" s="18" t="s">
        <v>81</v>
      </c>
      <c r="F251" s="18">
        <v>9999</v>
      </c>
      <c r="G251" s="18"/>
    </row>
    <row r="252" spans="1:7" x14ac:dyDescent="0.3">
      <c r="A252" s="18">
        <v>9541</v>
      </c>
      <c r="B252" s="18">
        <v>18</v>
      </c>
      <c r="C252" s="18" t="s">
        <v>77</v>
      </c>
      <c r="D252" s="18" t="s">
        <v>78</v>
      </c>
      <c r="E252" s="18" t="s">
        <v>79</v>
      </c>
      <c r="F252" s="18">
        <v>10</v>
      </c>
      <c r="G252" s="18">
        <v>12.7</v>
      </c>
    </row>
    <row r="253" spans="1:7" x14ac:dyDescent="0.3">
      <c r="A253" s="18">
        <v>9549</v>
      </c>
      <c r="B253" s="18">
        <v>18</v>
      </c>
      <c r="C253" s="18" t="s">
        <v>77</v>
      </c>
      <c r="D253" s="18" t="s">
        <v>78</v>
      </c>
      <c r="E253" s="18" t="s">
        <v>79</v>
      </c>
      <c r="F253" s="18">
        <v>17</v>
      </c>
      <c r="G253" s="18"/>
    </row>
    <row r="254" spans="1:7" x14ac:dyDescent="0.3">
      <c r="A254" s="18">
        <v>9606</v>
      </c>
      <c r="B254" s="18">
        <v>18</v>
      </c>
      <c r="C254" s="18" t="s">
        <v>77</v>
      </c>
      <c r="D254" s="18" t="s">
        <v>85</v>
      </c>
      <c r="E254" s="18" t="s">
        <v>81</v>
      </c>
      <c r="F254" s="18">
        <v>0</v>
      </c>
      <c r="G254" s="18"/>
    </row>
    <row r="255" spans="1:7" x14ac:dyDescent="0.3">
      <c r="A255" s="18">
        <v>9616</v>
      </c>
      <c r="B255" s="18">
        <v>18</v>
      </c>
      <c r="C255" s="18" t="s">
        <v>77</v>
      </c>
      <c r="D255" s="18" t="s">
        <v>78</v>
      </c>
      <c r="E255" s="18" t="s">
        <v>81</v>
      </c>
      <c r="F255" s="18">
        <v>16</v>
      </c>
      <c r="G255" s="18">
        <v>9.6</v>
      </c>
    </row>
    <row r="256" spans="1:7" x14ac:dyDescent="0.3">
      <c r="A256" s="18">
        <v>9630</v>
      </c>
      <c r="B256" s="18">
        <v>18</v>
      </c>
      <c r="C256" s="18" t="s">
        <v>77</v>
      </c>
      <c r="D256" s="18" t="s">
        <v>78</v>
      </c>
      <c r="E256" s="18" t="s">
        <v>82</v>
      </c>
      <c r="F256" s="18">
        <v>0</v>
      </c>
      <c r="G256" s="18"/>
    </row>
    <row r="257" spans="1:7" x14ac:dyDescent="0.3">
      <c r="A257" s="18">
        <v>9690</v>
      </c>
      <c r="B257" s="18">
        <v>18</v>
      </c>
      <c r="C257" s="18" t="s">
        <v>83</v>
      </c>
      <c r="D257" s="18" t="s">
        <v>78</v>
      </c>
      <c r="E257" s="18" t="s">
        <v>81</v>
      </c>
      <c r="F257" s="18">
        <v>9999</v>
      </c>
      <c r="G257" s="18"/>
    </row>
    <row r="258" spans="1:7" x14ac:dyDescent="0.3">
      <c r="A258" s="18">
        <v>9728</v>
      </c>
      <c r="B258" s="18">
        <v>18</v>
      </c>
      <c r="C258" s="18" t="s">
        <v>77</v>
      </c>
      <c r="D258" s="18" t="s">
        <v>78</v>
      </c>
      <c r="E258" s="18" t="s">
        <v>81</v>
      </c>
      <c r="F258" s="18">
        <v>16</v>
      </c>
      <c r="G258" s="18">
        <v>8.5</v>
      </c>
    </row>
    <row r="259" spans="1:7" x14ac:dyDescent="0.3">
      <c r="A259" s="18">
        <v>9750</v>
      </c>
      <c r="B259" s="18">
        <v>18</v>
      </c>
      <c r="C259" s="18" t="s">
        <v>77</v>
      </c>
      <c r="D259" s="18" t="s">
        <v>87</v>
      </c>
      <c r="E259" s="18" t="s">
        <v>79</v>
      </c>
      <c r="F259" s="18">
        <v>15</v>
      </c>
      <c r="G259" s="18">
        <v>9.9</v>
      </c>
    </row>
    <row r="260" spans="1:7" x14ac:dyDescent="0.3">
      <c r="A260" s="18">
        <v>9756</v>
      </c>
      <c r="B260" s="18">
        <v>18</v>
      </c>
      <c r="C260" s="18" t="s">
        <v>77</v>
      </c>
      <c r="D260" s="18" t="s">
        <v>78</v>
      </c>
      <c r="E260" s="18" t="s">
        <v>79</v>
      </c>
      <c r="F260" s="18">
        <v>12</v>
      </c>
      <c r="G260" s="18">
        <v>6.5</v>
      </c>
    </row>
    <row r="261" spans="1:7" x14ac:dyDescent="0.3">
      <c r="A261" s="18">
        <v>9757</v>
      </c>
      <c r="B261" s="18">
        <v>18</v>
      </c>
      <c r="C261" s="18" t="s">
        <v>83</v>
      </c>
      <c r="D261" s="18" t="s">
        <v>78</v>
      </c>
      <c r="E261" s="18" t="s">
        <v>81</v>
      </c>
      <c r="F261" s="18">
        <v>9999</v>
      </c>
      <c r="G261" s="18"/>
    </row>
    <row r="262" spans="1:7" x14ac:dyDescent="0.3">
      <c r="A262" s="18">
        <v>9758</v>
      </c>
      <c r="B262" s="18">
        <v>18</v>
      </c>
      <c r="C262" s="18" t="s">
        <v>77</v>
      </c>
      <c r="D262" s="18" t="s">
        <v>78</v>
      </c>
      <c r="E262" s="18" t="s">
        <v>81</v>
      </c>
      <c r="F262" s="18">
        <v>3</v>
      </c>
      <c r="G262" s="18"/>
    </row>
    <row r="263" spans="1:7" x14ac:dyDescent="0.3">
      <c r="A263" s="18">
        <v>9775</v>
      </c>
      <c r="B263" s="18">
        <v>18</v>
      </c>
      <c r="C263" s="18" t="s">
        <v>77</v>
      </c>
      <c r="D263" s="18" t="s">
        <v>78</v>
      </c>
      <c r="E263" s="18" t="s">
        <v>79</v>
      </c>
      <c r="F263" s="18">
        <v>3</v>
      </c>
      <c r="G263" s="18">
        <v>20.399999999999999</v>
      </c>
    </row>
    <row r="264" spans="1:7" x14ac:dyDescent="0.3">
      <c r="A264" s="18">
        <v>9779</v>
      </c>
      <c r="B264" s="18">
        <v>18</v>
      </c>
      <c r="C264" s="18" t="s">
        <v>77</v>
      </c>
      <c r="D264" s="18" t="s">
        <v>78</v>
      </c>
      <c r="E264" s="18" t="s">
        <v>79</v>
      </c>
      <c r="F264" s="18">
        <v>8</v>
      </c>
      <c r="G264" s="18">
        <v>17.7</v>
      </c>
    </row>
    <row r="265" spans="1:7" x14ac:dyDescent="0.3">
      <c r="A265" s="18">
        <v>9797</v>
      </c>
      <c r="B265" s="18">
        <v>18</v>
      </c>
      <c r="C265" s="18" t="s">
        <v>77</v>
      </c>
      <c r="D265" s="18" t="s">
        <v>85</v>
      </c>
      <c r="E265" s="18" t="s">
        <v>81</v>
      </c>
      <c r="F265" s="18">
        <v>0</v>
      </c>
      <c r="G265" s="18"/>
    </row>
    <row r="266" spans="1:7" x14ac:dyDescent="0.3">
      <c r="A266" s="18">
        <v>9800</v>
      </c>
      <c r="B266" s="18">
        <v>18</v>
      </c>
      <c r="C266" s="18" t="s">
        <v>77</v>
      </c>
      <c r="D266" s="18" t="s">
        <v>78</v>
      </c>
      <c r="E266" s="18" t="s">
        <v>81</v>
      </c>
      <c r="F266" s="18">
        <v>6</v>
      </c>
      <c r="G266" s="18">
        <v>17.7</v>
      </c>
    </row>
    <row r="267" spans="1:7" x14ac:dyDescent="0.3">
      <c r="A267" s="18">
        <v>9811</v>
      </c>
      <c r="B267" s="18">
        <v>18</v>
      </c>
      <c r="C267" s="18" t="s">
        <v>77</v>
      </c>
      <c r="D267" s="18" t="s">
        <v>80</v>
      </c>
      <c r="E267" s="18" t="s">
        <v>81</v>
      </c>
      <c r="F267" s="18">
        <v>0</v>
      </c>
      <c r="G267" s="18"/>
    </row>
    <row r="268" spans="1:7" x14ac:dyDescent="0.3">
      <c r="A268" s="18">
        <v>9813</v>
      </c>
      <c r="B268" s="18">
        <v>18</v>
      </c>
      <c r="C268" s="18" t="s">
        <v>77</v>
      </c>
      <c r="D268" s="18" t="s">
        <v>85</v>
      </c>
      <c r="E268" s="18" t="s">
        <v>81</v>
      </c>
      <c r="F268" s="18">
        <v>0</v>
      </c>
      <c r="G268" s="18"/>
    </row>
    <row r="269" spans="1:7" x14ac:dyDescent="0.3">
      <c r="A269" s="18">
        <v>9821</v>
      </c>
      <c r="B269" s="18">
        <v>18</v>
      </c>
      <c r="C269" s="18" t="s">
        <v>77</v>
      </c>
      <c r="D269" s="18" t="s">
        <v>78</v>
      </c>
      <c r="E269" s="18" t="s">
        <v>81</v>
      </c>
      <c r="F269" s="18">
        <v>5</v>
      </c>
      <c r="G269" s="18">
        <v>12.2</v>
      </c>
    </row>
    <row r="270" spans="1:7" x14ac:dyDescent="0.3">
      <c r="A270" s="18">
        <v>9882</v>
      </c>
      <c r="B270" s="18">
        <v>18</v>
      </c>
      <c r="C270" s="18" t="s">
        <v>83</v>
      </c>
      <c r="D270" s="18" t="s">
        <v>78</v>
      </c>
      <c r="E270" s="18" t="s">
        <v>79</v>
      </c>
      <c r="F270" s="18">
        <v>9999</v>
      </c>
      <c r="G270" s="18"/>
    </row>
    <row r="271" spans="1:7" x14ac:dyDescent="0.3">
      <c r="A271" s="18">
        <v>9900</v>
      </c>
      <c r="B271" s="18">
        <v>18</v>
      </c>
      <c r="C271" s="18" t="s">
        <v>83</v>
      </c>
      <c r="D271" s="18" t="s">
        <v>78</v>
      </c>
      <c r="E271" s="18" t="s">
        <v>81</v>
      </c>
      <c r="F271" s="18">
        <v>9999</v>
      </c>
      <c r="G271" s="18"/>
    </row>
    <row r="272" spans="1:7" x14ac:dyDescent="0.3">
      <c r="A272" s="18">
        <v>9920</v>
      </c>
      <c r="B272" s="18">
        <v>18</v>
      </c>
      <c r="C272" s="18" t="s">
        <v>77</v>
      </c>
      <c r="D272" s="18" t="s">
        <v>78</v>
      </c>
      <c r="E272" s="18" t="s">
        <v>81</v>
      </c>
      <c r="F272" s="18">
        <v>12</v>
      </c>
      <c r="G272" s="18">
        <v>8</v>
      </c>
    </row>
    <row r="273" spans="1:7" x14ac:dyDescent="0.3">
      <c r="A273" s="18">
        <v>9925</v>
      </c>
      <c r="B273" s="18">
        <v>18</v>
      </c>
      <c r="C273" s="18" t="s">
        <v>83</v>
      </c>
      <c r="D273" s="18" t="s">
        <v>78</v>
      </c>
      <c r="E273" s="18" t="s">
        <v>81</v>
      </c>
      <c r="F273" s="18">
        <v>9999</v>
      </c>
      <c r="G273" s="18"/>
    </row>
    <row r="274" spans="1:7" x14ac:dyDescent="0.3">
      <c r="A274" s="18">
        <v>10045</v>
      </c>
      <c r="B274" s="18">
        <v>18</v>
      </c>
      <c r="C274" s="18" t="s">
        <v>77</v>
      </c>
      <c r="D274" s="18" t="s">
        <v>78</v>
      </c>
      <c r="E274" s="18" t="s">
        <v>81</v>
      </c>
      <c r="F274" s="18">
        <v>5</v>
      </c>
      <c r="G274" s="18">
        <v>8.6999999999999993</v>
      </c>
    </row>
    <row r="275" spans="1:7" x14ac:dyDescent="0.3">
      <c r="A275" s="18">
        <v>10054</v>
      </c>
      <c r="B275" s="18">
        <v>18</v>
      </c>
      <c r="C275" s="18" t="s">
        <v>77</v>
      </c>
      <c r="D275" s="18" t="s">
        <v>78</v>
      </c>
      <c r="E275" s="18" t="s">
        <v>81</v>
      </c>
      <c r="F275" s="18">
        <v>0</v>
      </c>
      <c r="G275" s="18"/>
    </row>
    <row r="276" spans="1:7" x14ac:dyDescent="0.3">
      <c r="A276" s="18">
        <v>10082</v>
      </c>
      <c r="B276" s="18">
        <v>18</v>
      </c>
      <c r="C276" s="18" t="s">
        <v>77</v>
      </c>
      <c r="D276" s="18" t="s">
        <v>78</v>
      </c>
      <c r="E276" s="18" t="s">
        <v>79</v>
      </c>
      <c r="F276" s="18">
        <v>0</v>
      </c>
      <c r="G276" s="18"/>
    </row>
    <row r="277" spans="1:7" x14ac:dyDescent="0.3">
      <c r="A277" s="18">
        <v>10119</v>
      </c>
      <c r="B277" s="18">
        <v>18</v>
      </c>
      <c r="C277" s="18" t="s">
        <v>77</v>
      </c>
      <c r="D277" s="18" t="s">
        <v>78</v>
      </c>
      <c r="E277" s="18" t="s">
        <v>81</v>
      </c>
      <c r="F277" s="18">
        <v>14</v>
      </c>
      <c r="G277" s="18">
        <v>10.4</v>
      </c>
    </row>
    <row r="278" spans="1:7" x14ac:dyDescent="0.3">
      <c r="A278" s="18">
        <v>10121</v>
      </c>
      <c r="B278" s="18">
        <v>18</v>
      </c>
      <c r="C278" s="18" t="s">
        <v>77</v>
      </c>
      <c r="D278" s="18" t="s">
        <v>78</v>
      </c>
      <c r="E278" s="18" t="s">
        <v>81</v>
      </c>
      <c r="F278" s="18">
        <v>4</v>
      </c>
      <c r="G278" s="18"/>
    </row>
    <row r="279" spans="1:7" x14ac:dyDescent="0.3">
      <c r="A279" s="18">
        <v>10191</v>
      </c>
      <c r="B279" s="18">
        <v>18</v>
      </c>
      <c r="C279" s="18" t="s">
        <v>77</v>
      </c>
      <c r="D279" s="18" t="s">
        <v>78</v>
      </c>
      <c r="E279" s="18" t="s">
        <v>79</v>
      </c>
      <c r="F279" s="18">
        <v>18</v>
      </c>
      <c r="G279" s="18">
        <v>9.6999999999999993</v>
      </c>
    </row>
    <row r="280" spans="1:7" x14ac:dyDescent="0.3">
      <c r="A280" s="18">
        <v>10231</v>
      </c>
      <c r="B280" s="18">
        <v>18</v>
      </c>
      <c r="C280" s="18" t="s">
        <v>77</v>
      </c>
      <c r="D280" s="18" t="s">
        <v>78</v>
      </c>
      <c r="E280" s="18" t="s">
        <v>81</v>
      </c>
      <c r="F280" s="18">
        <v>0</v>
      </c>
      <c r="G280" s="18"/>
    </row>
    <row r="281" spans="1:7" x14ac:dyDescent="0.3">
      <c r="A281" s="18">
        <v>10256</v>
      </c>
      <c r="B281" s="18">
        <v>18</v>
      </c>
      <c r="C281" s="18" t="s">
        <v>77</v>
      </c>
      <c r="D281" s="18" t="s">
        <v>78</v>
      </c>
      <c r="E281" s="18" t="s">
        <v>81</v>
      </c>
      <c r="F281" s="18">
        <v>15</v>
      </c>
      <c r="G281" s="18">
        <v>14.1</v>
      </c>
    </row>
    <row r="282" spans="1:7" x14ac:dyDescent="0.3">
      <c r="A282" s="18">
        <v>10268</v>
      </c>
      <c r="B282" s="18">
        <v>18</v>
      </c>
      <c r="C282" s="18" t="s">
        <v>77</v>
      </c>
      <c r="D282" s="18" t="s">
        <v>78</v>
      </c>
      <c r="E282" s="18" t="s">
        <v>81</v>
      </c>
      <c r="F282" s="18">
        <v>1</v>
      </c>
      <c r="G282" s="18"/>
    </row>
    <row r="283" spans="1:7" x14ac:dyDescent="0.3">
      <c r="A283" s="18">
        <v>10360</v>
      </c>
      <c r="B283" s="18">
        <v>18</v>
      </c>
      <c r="C283" s="18" t="s">
        <v>77</v>
      </c>
      <c r="D283" s="18" t="s">
        <v>78</v>
      </c>
      <c r="E283" s="18" t="s">
        <v>86</v>
      </c>
      <c r="F283" s="18">
        <v>2</v>
      </c>
      <c r="G283" s="18"/>
    </row>
    <row r="284" spans="1:7" x14ac:dyDescent="0.3">
      <c r="A284" s="18">
        <v>10417</v>
      </c>
      <c r="B284" s="18">
        <v>18</v>
      </c>
      <c r="C284" s="18" t="s">
        <v>77</v>
      </c>
      <c r="D284" s="18" t="s">
        <v>78</v>
      </c>
      <c r="E284" s="18" t="s">
        <v>81</v>
      </c>
      <c r="F284" s="18">
        <v>4</v>
      </c>
      <c r="G284" s="18">
        <v>12.4</v>
      </c>
    </row>
    <row r="285" spans="1:7" x14ac:dyDescent="0.3">
      <c r="A285" s="18">
        <v>10422</v>
      </c>
      <c r="B285" s="18">
        <v>18</v>
      </c>
      <c r="C285" s="18" t="s">
        <v>77</v>
      </c>
      <c r="D285" s="18" t="s">
        <v>78</v>
      </c>
      <c r="E285" s="18" t="s">
        <v>81</v>
      </c>
      <c r="F285" s="18">
        <v>0</v>
      </c>
      <c r="G285" s="18"/>
    </row>
    <row r="286" spans="1:7" x14ac:dyDescent="0.3">
      <c r="A286" s="18">
        <v>10443</v>
      </c>
      <c r="B286" s="18">
        <v>18</v>
      </c>
      <c r="C286" s="18" t="s">
        <v>83</v>
      </c>
      <c r="D286" s="18" t="s">
        <v>78</v>
      </c>
      <c r="E286" s="18" t="s">
        <v>81</v>
      </c>
      <c r="F286" s="18">
        <v>9999</v>
      </c>
      <c r="G286" s="18"/>
    </row>
    <row r="287" spans="1:7" x14ac:dyDescent="0.3">
      <c r="A287" s="18">
        <v>10533</v>
      </c>
      <c r="B287" s="18">
        <v>18</v>
      </c>
      <c r="C287" s="18" t="s">
        <v>77</v>
      </c>
      <c r="D287" s="18" t="s">
        <v>78</v>
      </c>
      <c r="E287" s="18" t="s">
        <v>81</v>
      </c>
      <c r="F287" s="18">
        <v>13</v>
      </c>
      <c r="G287" s="18">
        <v>7.7</v>
      </c>
    </row>
    <row r="288" spans="1:7" x14ac:dyDescent="0.3">
      <c r="A288" s="18">
        <v>10543</v>
      </c>
      <c r="B288" s="18">
        <v>18</v>
      </c>
      <c r="C288" s="18" t="s">
        <v>77</v>
      </c>
      <c r="D288" s="18" t="s">
        <v>78</v>
      </c>
      <c r="E288" s="18" t="s">
        <v>81</v>
      </c>
      <c r="F288" s="18">
        <v>9</v>
      </c>
      <c r="G288" s="18">
        <v>24.1</v>
      </c>
    </row>
    <row r="289" spans="1:7" x14ac:dyDescent="0.3">
      <c r="A289" s="18">
        <v>10552</v>
      </c>
      <c r="B289" s="18">
        <v>18</v>
      </c>
      <c r="C289" s="18" t="s">
        <v>77</v>
      </c>
      <c r="D289" s="18" t="s">
        <v>78</v>
      </c>
      <c r="E289" s="18" t="s">
        <v>81</v>
      </c>
      <c r="F289" s="18">
        <v>5</v>
      </c>
      <c r="G289" s="18">
        <v>15</v>
      </c>
    </row>
    <row r="290" spans="1:7" x14ac:dyDescent="0.3">
      <c r="A290" s="18">
        <v>10553</v>
      </c>
      <c r="B290" s="18">
        <v>18</v>
      </c>
      <c r="C290" s="18" t="s">
        <v>83</v>
      </c>
      <c r="D290" s="18" t="s">
        <v>87</v>
      </c>
      <c r="E290" s="18" t="s">
        <v>79</v>
      </c>
      <c r="F290" s="18">
        <v>9999</v>
      </c>
      <c r="G290" s="18"/>
    </row>
    <row r="291" spans="1:7" x14ac:dyDescent="0.3">
      <c r="A291" s="18">
        <v>10598</v>
      </c>
      <c r="B291" s="18">
        <v>18</v>
      </c>
      <c r="C291" s="18" t="s">
        <v>77</v>
      </c>
      <c r="D291" s="18" t="s">
        <v>78</v>
      </c>
      <c r="E291" s="18" t="s">
        <v>81</v>
      </c>
      <c r="F291" s="18">
        <v>3</v>
      </c>
      <c r="G291" s="18">
        <v>14.6</v>
      </c>
    </row>
    <row r="292" spans="1:7" x14ac:dyDescent="0.3">
      <c r="A292" s="18">
        <v>10604</v>
      </c>
      <c r="B292" s="18">
        <v>18</v>
      </c>
      <c r="C292" s="18" t="s">
        <v>83</v>
      </c>
      <c r="D292" s="18" t="s">
        <v>78</v>
      </c>
      <c r="E292" s="18" t="s">
        <v>81</v>
      </c>
      <c r="F292" s="18">
        <v>9999</v>
      </c>
      <c r="G292" s="18"/>
    </row>
    <row r="293" spans="1:7" x14ac:dyDescent="0.3">
      <c r="A293" s="18">
        <v>10616</v>
      </c>
      <c r="B293" s="18">
        <v>18</v>
      </c>
      <c r="C293" s="18" t="s">
        <v>83</v>
      </c>
      <c r="D293" s="18" t="s">
        <v>78</v>
      </c>
      <c r="E293" s="18" t="s">
        <v>81</v>
      </c>
      <c r="F293" s="18">
        <v>9999</v>
      </c>
      <c r="G293" s="18"/>
    </row>
    <row r="294" spans="1:7" x14ac:dyDescent="0.3">
      <c r="A294" s="18">
        <v>10685</v>
      </c>
      <c r="B294" s="18">
        <v>18</v>
      </c>
      <c r="C294" s="18" t="s">
        <v>77</v>
      </c>
      <c r="D294" s="18" t="s">
        <v>85</v>
      </c>
      <c r="E294" s="18" t="s">
        <v>82</v>
      </c>
      <c r="F294" s="18">
        <v>0</v>
      </c>
      <c r="G294" s="18"/>
    </row>
    <row r="295" spans="1:7" x14ac:dyDescent="0.3">
      <c r="A295" s="18">
        <v>10689</v>
      </c>
      <c r="B295" s="18">
        <v>18</v>
      </c>
      <c r="C295" s="18" t="s">
        <v>77</v>
      </c>
      <c r="D295" s="18" t="s">
        <v>78</v>
      </c>
      <c r="E295" s="18" t="s">
        <v>79</v>
      </c>
      <c r="F295" s="18">
        <v>3</v>
      </c>
      <c r="G295" s="18">
        <v>20.399999999999999</v>
      </c>
    </row>
    <row r="296" spans="1:7" x14ac:dyDescent="0.3">
      <c r="A296" s="18">
        <v>10691</v>
      </c>
      <c r="B296" s="18">
        <v>18</v>
      </c>
      <c r="C296" s="18" t="s">
        <v>77</v>
      </c>
      <c r="D296" s="18" t="s">
        <v>78</v>
      </c>
      <c r="E296" s="18" t="s">
        <v>81</v>
      </c>
      <c r="F296" s="18">
        <v>2</v>
      </c>
      <c r="G296" s="18"/>
    </row>
    <row r="297" spans="1:7" x14ac:dyDescent="0.3">
      <c r="A297" s="18">
        <v>10700</v>
      </c>
      <c r="B297" s="18">
        <v>18</v>
      </c>
      <c r="C297" s="18" t="s">
        <v>77</v>
      </c>
      <c r="D297" s="18" t="s">
        <v>78</v>
      </c>
      <c r="E297" s="18" t="s">
        <v>79</v>
      </c>
      <c r="F297" s="18">
        <v>15</v>
      </c>
      <c r="G297" s="18">
        <v>7.9</v>
      </c>
    </row>
    <row r="298" spans="1:7" x14ac:dyDescent="0.3">
      <c r="A298" s="18">
        <v>10704</v>
      </c>
      <c r="B298" s="18">
        <v>18</v>
      </c>
      <c r="C298" s="18" t="s">
        <v>83</v>
      </c>
      <c r="D298" s="18" t="s">
        <v>78</v>
      </c>
      <c r="E298" s="18" t="s">
        <v>81</v>
      </c>
      <c r="F298" s="18">
        <v>9999</v>
      </c>
      <c r="G298" s="18"/>
    </row>
    <row r="299" spans="1:7" x14ac:dyDescent="0.3">
      <c r="A299" s="18">
        <v>10715</v>
      </c>
      <c r="B299" s="18">
        <v>18</v>
      </c>
      <c r="C299" s="18" t="s">
        <v>77</v>
      </c>
      <c r="D299" s="18" t="s">
        <v>78</v>
      </c>
      <c r="E299" s="18" t="s">
        <v>81</v>
      </c>
      <c r="F299" s="18">
        <v>4</v>
      </c>
      <c r="G299" s="18">
        <v>18.7</v>
      </c>
    </row>
    <row r="300" spans="1:7" x14ac:dyDescent="0.3">
      <c r="A300" s="18">
        <v>10718</v>
      </c>
      <c r="B300" s="18">
        <v>18</v>
      </c>
      <c r="C300" s="18" t="s">
        <v>83</v>
      </c>
      <c r="D300" s="18" t="s">
        <v>78</v>
      </c>
      <c r="E300" s="18" t="s">
        <v>81</v>
      </c>
      <c r="F300" s="18">
        <v>9999</v>
      </c>
      <c r="G300" s="18"/>
    </row>
    <row r="301" spans="1:7" x14ac:dyDescent="0.3">
      <c r="A301" s="18">
        <v>10720</v>
      </c>
      <c r="B301" s="18">
        <v>18</v>
      </c>
      <c r="C301" s="18" t="s">
        <v>83</v>
      </c>
      <c r="D301" s="18" t="s">
        <v>78</v>
      </c>
      <c r="E301" s="18" t="s">
        <v>81</v>
      </c>
      <c r="F301" s="18">
        <v>9999</v>
      </c>
      <c r="G301" s="18"/>
    </row>
    <row r="302" spans="1:7" x14ac:dyDescent="0.3">
      <c r="A302" s="18">
        <v>10722</v>
      </c>
      <c r="B302" s="18">
        <v>18</v>
      </c>
      <c r="C302" s="18" t="s">
        <v>77</v>
      </c>
      <c r="D302" s="18" t="s">
        <v>78</v>
      </c>
      <c r="E302" s="18" t="s">
        <v>81</v>
      </c>
      <c r="F302" s="18">
        <v>1</v>
      </c>
      <c r="G302" s="18"/>
    </row>
    <row r="303" spans="1:7" x14ac:dyDescent="0.3">
      <c r="A303" s="18">
        <v>10738</v>
      </c>
      <c r="B303" s="18">
        <v>18</v>
      </c>
      <c r="C303" s="18" t="s">
        <v>77</v>
      </c>
      <c r="D303" s="18" t="s">
        <v>78</v>
      </c>
      <c r="E303" s="18" t="s">
        <v>81</v>
      </c>
      <c r="F303" s="18">
        <v>7</v>
      </c>
      <c r="G303" s="18">
        <v>14.5</v>
      </c>
    </row>
    <row r="304" spans="1:7" x14ac:dyDescent="0.3">
      <c r="A304" s="18">
        <v>10739</v>
      </c>
      <c r="B304" s="18">
        <v>18</v>
      </c>
      <c r="C304" s="18" t="s">
        <v>77</v>
      </c>
      <c r="D304" s="18" t="s">
        <v>78</v>
      </c>
      <c r="E304" s="18" t="s">
        <v>81</v>
      </c>
      <c r="F304" s="18">
        <v>2</v>
      </c>
      <c r="G304" s="18"/>
    </row>
    <row r="305" spans="1:7" x14ac:dyDescent="0.3">
      <c r="A305" s="18">
        <v>10846</v>
      </c>
      <c r="B305" s="18">
        <v>18</v>
      </c>
      <c r="C305" s="18" t="s">
        <v>83</v>
      </c>
      <c r="D305" s="18" t="s">
        <v>78</v>
      </c>
      <c r="E305" s="18" t="s">
        <v>81</v>
      </c>
      <c r="F305" s="18">
        <v>9999</v>
      </c>
      <c r="G305" s="18"/>
    </row>
    <row r="306" spans="1:7" x14ac:dyDescent="0.3">
      <c r="A306" s="18">
        <v>10849</v>
      </c>
      <c r="B306" s="18">
        <v>18</v>
      </c>
      <c r="C306" s="18" t="s">
        <v>77</v>
      </c>
      <c r="D306" s="18" t="s">
        <v>78</v>
      </c>
      <c r="E306" s="18" t="s">
        <v>81</v>
      </c>
      <c r="F306" s="18">
        <v>11</v>
      </c>
      <c r="G306" s="18">
        <v>15.8</v>
      </c>
    </row>
    <row r="307" spans="1:7" x14ac:dyDescent="0.3">
      <c r="A307" s="18">
        <v>10861</v>
      </c>
      <c r="B307" s="18">
        <v>18</v>
      </c>
      <c r="C307" s="18" t="s">
        <v>83</v>
      </c>
      <c r="D307" s="18" t="s">
        <v>78</v>
      </c>
      <c r="E307" s="18" t="s">
        <v>81</v>
      </c>
      <c r="F307" s="18">
        <v>9999</v>
      </c>
      <c r="G307" s="18"/>
    </row>
    <row r="308" spans="1:7" x14ac:dyDescent="0.3">
      <c r="A308" s="18">
        <v>11001</v>
      </c>
      <c r="B308" s="18">
        <v>18</v>
      </c>
      <c r="C308" s="18" t="s">
        <v>77</v>
      </c>
      <c r="D308" s="18" t="s">
        <v>85</v>
      </c>
      <c r="E308" s="18" t="s">
        <v>86</v>
      </c>
      <c r="F308" s="18">
        <v>0</v>
      </c>
      <c r="G308" s="18"/>
    </row>
    <row r="309" spans="1:7" x14ac:dyDescent="0.3">
      <c r="A309" s="18">
        <v>11008</v>
      </c>
      <c r="B309" s="18">
        <v>18</v>
      </c>
      <c r="C309" s="18" t="s">
        <v>77</v>
      </c>
      <c r="D309" s="18" t="s">
        <v>78</v>
      </c>
      <c r="E309" s="18" t="s">
        <v>81</v>
      </c>
      <c r="F309" s="18">
        <v>2</v>
      </c>
      <c r="G309" s="18"/>
    </row>
    <row r="310" spans="1:7" x14ac:dyDescent="0.3">
      <c r="A310" s="18">
        <v>11010</v>
      </c>
      <c r="B310" s="18">
        <v>18</v>
      </c>
      <c r="C310" s="18" t="s">
        <v>77</v>
      </c>
      <c r="D310" s="18" t="s">
        <v>78</v>
      </c>
      <c r="E310" s="18" t="s">
        <v>81</v>
      </c>
      <c r="F310" s="18">
        <v>4</v>
      </c>
      <c r="G310" s="18">
        <v>19.600000000000001</v>
      </c>
    </row>
    <row r="311" spans="1:7" x14ac:dyDescent="0.3">
      <c r="A311" s="18">
        <v>11011</v>
      </c>
      <c r="B311" s="18">
        <v>18</v>
      </c>
      <c r="C311" s="18" t="s">
        <v>77</v>
      </c>
      <c r="D311" s="18" t="s">
        <v>78</v>
      </c>
      <c r="E311" s="18" t="s">
        <v>86</v>
      </c>
      <c r="F311" s="18">
        <v>3</v>
      </c>
      <c r="G311" s="18"/>
    </row>
    <row r="312" spans="1:7" x14ac:dyDescent="0.3">
      <c r="A312" s="18">
        <v>11013</v>
      </c>
      <c r="B312" s="18">
        <v>18</v>
      </c>
      <c r="C312" s="18" t="s">
        <v>77</v>
      </c>
      <c r="D312" s="18" t="s">
        <v>78</v>
      </c>
      <c r="E312" s="18" t="s">
        <v>86</v>
      </c>
      <c r="F312" s="18">
        <v>0</v>
      </c>
      <c r="G312" s="18"/>
    </row>
    <row r="313" spans="1:7" x14ac:dyDescent="0.3">
      <c r="A313" s="18">
        <v>11017</v>
      </c>
      <c r="B313" s="18">
        <v>18</v>
      </c>
      <c r="C313" s="18" t="s">
        <v>77</v>
      </c>
      <c r="D313" s="18" t="s">
        <v>78</v>
      </c>
      <c r="E313" s="18" t="s">
        <v>81</v>
      </c>
      <c r="F313" s="18">
        <v>2</v>
      </c>
      <c r="G313" s="18"/>
    </row>
    <row r="314" spans="1:7" x14ac:dyDescent="0.3">
      <c r="A314" s="18">
        <v>11025</v>
      </c>
      <c r="B314" s="18">
        <v>18</v>
      </c>
      <c r="C314" s="18" t="s">
        <v>77</v>
      </c>
      <c r="D314" s="18" t="s">
        <v>78</v>
      </c>
      <c r="E314" s="18" t="s">
        <v>81</v>
      </c>
      <c r="F314" s="18">
        <v>3</v>
      </c>
      <c r="G314" s="18"/>
    </row>
    <row r="315" spans="1:7" x14ac:dyDescent="0.3">
      <c r="A315" s="18">
        <v>11032</v>
      </c>
      <c r="B315" s="18">
        <v>18</v>
      </c>
      <c r="C315" s="18" t="s">
        <v>83</v>
      </c>
      <c r="D315" s="18" t="s">
        <v>78</v>
      </c>
      <c r="E315" s="18" t="s">
        <v>81</v>
      </c>
      <c r="F315" s="18">
        <v>9999</v>
      </c>
      <c r="G315" s="18"/>
    </row>
    <row r="316" spans="1:7" x14ac:dyDescent="0.3">
      <c r="A316" s="18">
        <v>11042</v>
      </c>
      <c r="B316" s="18">
        <v>18</v>
      </c>
      <c r="C316" s="18" t="s">
        <v>77</v>
      </c>
      <c r="D316" s="18" t="s">
        <v>78</v>
      </c>
      <c r="E316" s="18" t="s">
        <v>79</v>
      </c>
      <c r="F316" s="18">
        <v>11</v>
      </c>
      <c r="G316" s="18">
        <v>17.3</v>
      </c>
    </row>
    <row r="317" spans="1:7" x14ac:dyDescent="0.3">
      <c r="A317" s="18">
        <v>11051</v>
      </c>
      <c r="B317" s="18">
        <v>18</v>
      </c>
      <c r="C317" s="18" t="s">
        <v>77</v>
      </c>
      <c r="D317" s="18" t="s">
        <v>78</v>
      </c>
      <c r="E317" s="18" t="s">
        <v>79</v>
      </c>
      <c r="F317" s="18">
        <v>6</v>
      </c>
      <c r="G317" s="18"/>
    </row>
    <row r="318" spans="1:7" x14ac:dyDescent="0.3">
      <c r="A318" s="18">
        <v>11067</v>
      </c>
      <c r="B318" s="18">
        <v>18</v>
      </c>
      <c r="C318" s="18" t="s">
        <v>83</v>
      </c>
      <c r="D318" s="18" t="s">
        <v>78</v>
      </c>
      <c r="E318" s="18" t="s">
        <v>81</v>
      </c>
      <c r="F318" s="18">
        <v>9999</v>
      </c>
      <c r="G318" s="18"/>
    </row>
    <row r="319" spans="1:7" x14ac:dyDescent="0.3">
      <c r="A319" s="18">
        <v>11069</v>
      </c>
      <c r="B319" s="18">
        <v>18</v>
      </c>
      <c r="C319" s="18" t="s">
        <v>77</v>
      </c>
      <c r="D319" s="18" t="s">
        <v>78</v>
      </c>
      <c r="E319" s="18" t="s">
        <v>79</v>
      </c>
      <c r="F319" s="18">
        <v>5</v>
      </c>
      <c r="G319" s="18">
        <v>15.5</v>
      </c>
    </row>
    <row r="320" spans="1:7" x14ac:dyDescent="0.3">
      <c r="A320" s="18">
        <v>11086</v>
      </c>
      <c r="B320" s="18">
        <v>18</v>
      </c>
      <c r="C320" s="18" t="s">
        <v>77</v>
      </c>
      <c r="D320" s="18" t="s">
        <v>85</v>
      </c>
      <c r="E320" s="18" t="s">
        <v>81</v>
      </c>
      <c r="F320" s="18">
        <v>0</v>
      </c>
      <c r="G320" s="18"/>
    </row>
    <row r="321" spans="1:7" x14ac:dyDescent="0.3">
      <c r="A321" s="18">
        <v>11155</v>
      </c>
      <c r="B321" s="18">
        <v>18</v>
      </c>
      <c r="C321" s="18" t="s">
        <v>77</v>
      </c>
      <c r="D321" s="18" t="s">
        <v>78</v>
      </c>
      <c r="E321" s="18" t="s">
        <v>81</v>
      </c>
      <c r="F321" s="18">
        <v>1</v>
      </c>
      <c r="G321" s="18"/>
    </row>
    <row r="322" spans="1:7" x14ac:dyDescent="0.3">
      <c r="A322" s="18">
        <v>11182</v>
      </c>
      <c r="B322" s="18">
        <v>18</v>
      </c>
      <c r="C322" s="18" t="s">
        <v>77</v>
      </c>
      <c r="D322" s="18" t="s">
        <v>78</v>
      </c>
      <c r="E322" s="18" t="s">
        <v>81</v>
      </c>
      <c r="F322" s="18">
        <v>0</v>
      </c>
      <c r="G322" s="18"/>
    </row>
    <row r="323" spans="1:7" x14ac:dyDescent="0.3">
      <c r="A323" s="18">
        <v>11184</v>
      </c>
      <c r="B323" s="18">
        <v>18</v>
      </c>
      <c r="C323" s="18" t="s">
        <v>77</v>
      </c>
      <c r="D323" s="18" t="s">
        <v>78</v>
      </c>
      <c r="E323" s="18" t="s">
        <v>81</v>
      </c>
      <c r="F323" s="18">
        <v>0</v>
      </c>
      <c r="G323" s="18"/>
    </row>
    <row r="324" spans="1:7" x14ac:dyDescent="0.3">
      <c r="A324" s="18">
        <v>11191</v>
      </c>
      <c r="B324" s="18">
        <v>18</v>
      </c>
      <c r="C324" s="18" t="s">
        <v>83</v>
      </c>
      <c r="D324" s="18" t="s">
        <v>78</v>
      </c>
      <c r="E324" s="18" t="s">
        <v>81</v>
      </c>
      <c r="F324" s="18">
        <v>9999</v>
      </c>
      <c r="G324" s="18"/>
    </row>
    <row r="325" spans="1:7" x14ac:dyDescent="0.3">
      <c r="A325" s="18">
        <v>11194</v>
      </c>
      <c r="B325" s="18">
        <v>18</v>
      </c>
      <c r="C325" s="18" t="s">
        <v>77</v>
      </c>
      <c r="D325" s="18" t="s">
        <v>78</v>
      </c>
      <c r="E325" s="18" t="s">
        <v>79</v>
      </c>
      <c r="F325" s="18">
        <v>0</v>
      </c>
      <c r="G325" s="18"/>
    </row>
    <row r="326" spans="1:7" x14ac:dyDescent="0.3">
      <c r="A326" s="18">
        <v>11248</v>
      </c>
      <c r="B326" s="18">
        <v>18</v>
      </c>
      <c r="C326" s="18" t="s">
        <v>83</v>
      </c>
      <c r="D326" s="18" t="s">
        <v>78</v>
      </c>
      <c r="E326" s="18" t="s">
        <v>81</v>
      </c>
      <c r="F326" s="18">
        <v>9999</v>
      </c>
      <c r="G326" s="18"/>
    </row>
    <row r="327" spans="1:7" x14ac:dyDescent="0.3">
      <c r="A327" s="18">
        <v>11287</v>
      </c>
      <c r="B327" s="18">
        <v>18</v>
      </c>
      <c r="C327" s="18" t="s">
        <v>83</v>
      </c>
      <c r="D327" s="18" t="s">
        <v>78</v>
      </c>
      <c r="E327" s="18" t="s">
        <v>79</v>
      </c>
      <c r="F327" s="18">
        <v>9999</v>
      </c>
      <c r="G327" s="18"/>
    </row>
    <row r="328" spans="1:7" x14ac:dyDescent="0.3">
      <c r="A328" s="18">
        <v>11298</v>
      </c>
      <c r="B328" s="18">
        <v>18</v>
      </c>
      <c r="C328" s="18" t="s">
        <v>77</v>
      </c>
      <c r="D328" s="18" t="s">
        <v>78</v>
      </c>
      <c r="E328" s="18" t="s">
        <v>81</v>
      </c>
      <c r="F328" s="18">
        <v>0</v>
      </c>
      <c r="G328" s="18"/>
    </row>
    <row r="329" spans="1:7" x14ac:dyDescent="0.3">
      <c r="A329" s="18">
        <v>11299</v>
      </c>
      <c r="B329" s="18">
        <v>18</v>
      </c>
      <c r="C329" s="18" t="s">
        <v>77</v>
      </c>
      <c r="D329" s="18" t="s">
        <v>78</v>
      </c>
      <c r="E329" s="18" t="s">
        <v>81</v>
      </c>
      <c r="F329" s="18">
        <v>1</v>
      </c>
      <c r="G329" s="18"/>
    </row>
    <row r="330" spans="1:7" x14ac:dyDescent="0.3">
      <c r="A330" s="18">
        <v>11306</v>
      </c>
      <c r="B330" s="18">
        <v>18</v>
      </c>
      <c r="C330" s="18" t="s">
        <v>77</v>
      </c>
      <c r="D330" s="18" t="s">
        <v>78</v>
      </c>
      <c r="E330" s="18" t="s">
        <v>81</v>
      </c>
      <c r="F330" s="18">
        <v>14</v>
      </c>
      <c r="G330" s="18">
        <v>22.4</v>
      </c>
    </row>
    <row r="331" spans="1:7" x14ac:dyDescent="0.3">
      <c r="A331" s="18">
        <v>11307</v>
      </c>
      <c r="B331" s="18">
        <v>18</v>
      </c>
      <c r="C331" s="18" t="s">
        <v>77</v>
      </c>
      <c r="D331" s="18" t="s">
        <v>78</v>
      </c>
      <c r="E331" s="18" t="s">
        <v>81</v>
      </c>
      <c r="F331" s="18">
        <v>1</v>
      </c>
      <c r="G331" s="18"/>
    </row>
    <row r="332" spans="1:7" x14ac:dyDescent="0.3">
      <c r="A332" s="18">
        <v>11320</v>
      </c>
      <c r="B332" s="18">
        <v>18</v>
      </c>
      <c r="C332" s="18" t="s">
        <v>77</v>
      </c>
      <c r="D332" s="18" t="s">
        <v>78</v>
      </c>
      <c r="E332" s="18" t="s">
        <v>81</v>
      </c>
      <c r="F332" s="18">
        <v>3</v>
      </c>
      <c r="G332" s="18"/>
    </row>
    <row r="333" spans="1:7" x14ac:dyDescent="0.3">
      <c r="A333" s="18">
        <v>11323</v>
      </c>
      <c r="B333" s="18">
        <v>18</v>
      </c>
      <c r="C333" s="18" t="s">
        <v>77</v>
      </c>
      <c r="D333" s="18" t="s">
        <v>78</v>
      </c>
      <c r="E333" s="18" t="s">
        <v>79</v>
      </c>
      <c r="F333" s="18">
        <v>5</v>
      </c>
      <c r="G333" s="18">
        <v>16.399999999999999</v>
      </c>
    </row>
    <row r="334" spans="1:7" x14ac:dyDescent="0.3">
      <c r="A334" s="18">
        <v>11331</v>
      </c>
      <c r="B334" s="18">
        <v>18</v>
      </c>
      <c r="C334" s="18" t="s">
        <v>83</v>
      </c>
      <c r="D334" s="18" t="s">
        <v>78</v>
      </c>
      <c r="E334" s="18" t="s">
        <v>81</v>
      </c>
      <c r="F334" s="18">
        <v>9999</v>
      </c>
      <c r="G334" s="18"/>
    </row>
    <row r="335" spans="1:7" x14ac:dyDescent="0.3">
      <c r="A335" s="18">
        <v>11343</v>
      </c>
      <c r="B335" s="18">
        <v>18</v>
      </c>
      <c r="C335" s="18" t="s">
        <v>77</v>
      </c>
      <c r="D335" s="18" t="s">
        <v>78</v>
      </c>
      <c r="E335" s="18" t="s">
        <v>81</v>
      </c>
      <c r="F335" s="18">
        <v>0</v>
      </c>
      <c r="G335" s="18"/>
    </row>
    <row r="336" spans="1:7" x14ac:dyDescent="0.3">
      <c r="A336" s="18">
        <v>11397</v>
      </c>
      <c r="B336" s="18">
        <v>18</v>
      </c>
      <c r="C336" s="18" t="s">
        <v>77</v>
      </c>
      <c r="D336" s="18" t="s">
        <v>78</v>
      </c>
      <c r="E336" s="18" t="s">
        <v>81</v>
      </c>
      <c r="F336" s="18">
        <v>0</v>
      </c>
      <c r="G336" s="18"/>
    </row>
    <row r="337" spans="1:7" x14ac:dyDescent="0.3">
      <c r="A337" s="18">
        <v>11442</v>
      </c>
      <c r="B337" s="18">
        <v>18</v>
      </c>
      <c r="C337" s="18" t="s">
        <v>77</v>
      </c>
      <c r="D337" s="18" t="s">
        <v>78</v>
      </c>
      <c r="E337" s="18" t="s">
        <v>81</v>
      </c>
      <c r="F337" s="18">
        <v>2</v>
      </c>
      <c r="G337" s="18"/>
    </row>
    <row r="338" spans="1:7" x14ac:dyDescent="0.3">
      <c r="A338" s="18">
        <v>11446</v>
      </c>
      <c r="B338" s="18">
        <v>18</v>
      </c>
      <c r="C338" s="18" t="s">
        <v>77</v>
      </c>
      <c r="D338" s="18" t="s">
        <v>84</v>
      </c>
      <c r="E338" s="18" t="s">
        <v>81</v>
      </c>
      <c r="F338" s="18">
        <v>0</v>
      </c>
      <c r="G338" s="18"/>
    </row>
    <row r="339" spans="1:7" x14ac:dyDescent="0.3">
      <c r="A339" s="18">
        <v>11457</v>
      </c>
      <c r="B339" s="18">
        <v>18</v>
      </c>
      <c r="C339" s="18" t="s">
        <v>77</v>
      </c>
      <c r="D339" s="18" t="s">
        <v>78</v>
      </c>
      <c r="E339" s="18" t="s">
        <v>81</v>
      </c>
      <c r="F339" s="18">
        <v>2</v>
      </c>
      <c r="G339" s="18"/>
    </row>
    <row r="340" spans="1:7" x14ac:dyDescent="0.3">
      <c r="A340" s="18">
        <v>11458</v>
      </c>
      <c r="B340" s="18">
        <v>18</v>
      </c>
      <c r="C340" s="18" t="s">
        <v>77</v>
      </c>
      <c r="D340" s="18" t="s">
        <v>78</v>
      </c>
      <c r="E340" s="18" t="s">
        <v>81</v>
      </c>
      <c r="F340" s="18">
        <v>0</v>
      </c>
      <c r="G340" s="18"/>
    </row>
    <row r="341" spans="1:7" x14ac:dyDescent="0.3">
      <c r="A341" s="18">
        <v>11461</v>
      </c>
      <c r="B341" s="18">
        <v>18</v>
      </c>
      <c r="C341" s="18" t="s">
        <v>77</v>
      </c>
      <c r="D341" s="18" t="s">
        <v>78</v>
      </c>
      <c r="E341" s="18" t="s">
        <v>81</v>
      </c>
      <c r="F341" s="18">
        <v>8</v>
      </c>
      <c r="G341" s="18">
        <v>23.3</v>
      </c>
    </row>
    <row r="342" spans="1:7" x14ac:dyDescent="0.3">
      <c r="A342" s="18">
        <v>11462</v>
      </c>
      <c r="B342" s="18">
        <v>18</v>
      </c>
      <c r="C342" s="18" t="s">
        <v>77</v>
      </c>
      <c r="D342" s="18" t="s">
        <v>78</v>
      </c>
      <c r="E342" s="18" t="s">
        <v>81</v>
      </c>
      <c r="F342" s="18">
        <v>0</v>
      </c>
      <c r="G342" s="18"/>
    </row>
    <row r="343" spans="1:7" x14ac:dyDescent="0.3">
      <c r="A343" s="18">
        <v>11465</v>
      </c>
      <c r="B343" s="18">
        <v>18</v>
      </c>
      <c r="C343" s="18" t="s">
        <v>77</v>
      </c>
      <c r="D343" s="18" t="s">
        <v>78</v>
      </c>
      <c r="E343" s="18" t="s">
        <v>81</v>
      </c>
      <c r="F343" s="18">
        <v>0</v>
      </c>
      <c r="G343" s="18"/>
    </row>
    <row r="344" spans="1:7" x14ac:dyDescent="0.3">
      <c r="A344" s="18">
        <v>11466</v>
      </c>
      <c r="B344" s="18">
        <v>18</v>
      </c>
      <c r="C344" s="18" t="s">
        <v>77</v>
      </c>
      <c r="D344" s="18" t="s">
        <v>78</v>
      </c>
      <c r="E344" s="18" t="s">
        <v>81</v>
      </c>
      <c r="F344" s="18">
        <v>1</v>
      </c>
      <c r="G344" s="18"/>
    </row>
    <row r="345" spans="1:7" x14ac:dyDescent="0.3">
      <c r="A345" s="18">
        <v>11472</v>
      </c>
      <c r="B345" s="18">
        <v>18</v>
      </c>
      <c r="C345" s="18" t="s">
        <v>77</v>
      </c>
      <c r="D345" s="18" t="s">
        <v>84</v>
      </c>
      <c r="E345" s="18" t="s">
        <v>82</v>
      </c>
      <c r="F345" s="18">
        <v>1</v>
      </c>
      <c r="G345" s="18"/>
    </row>
    <row r="346" spans="1:7" x14ac:dyDescent="0.3">
      <c r="A346" s="18">
        <v>11473</v>
      </c>
      <c r="B346" s="18">
        <v>18</v>
      </c>
      <c r="C346" s="18" t="s">
        <v>77</v>
      </c>
      <c r="D346" s="18" t="s">
        <v>78</v>
      </c>
      <c r="E346" s="18" t="s">
        <v>79</v>
      </c>
      <c r="F346" s="18">
        <v>0</v>
      </c>
      <c r="G346" s="18"/>
    </row>
    <row r="347" spans="1:7" x14ac:dyDescent="0.3">
      <c r="A347" s="18">
        <v>11474</v>
      </c>
      <c r="B347" s="18">
        <v>18</v>
      </c>
      <c r="C347" s="18" t="s">
        <v>77</v>
      </c>
      <c r="D347" s="18" t="s">
        <v>78</v>
      </c>
      <c r="E347" s="18" t="s">
        <v>81</v>
      </c>
      <c r="F347" s="18">
        <v>1</v>
      </c>
      <c r="G347" s="18"/>
    </row>
    <row r="348" spans="1:7" x14ac:dyDescent="0.3">
      <c r="A348" s="18">
        <v>11475</v>
      </c>
      <c r="B348" s="18">
        <v>18</v>
      </c>
      <c r="C348" s="18" t="s">
        <v>77</v>
      </c>
      <c r="D348" s="18" t="s">
        <v>78</v>
      </c>
      <c r="E348" s="18" t="s">
        <v>81</v>
      </c>
      <c r="F348" s="18">
        <v>3</v>
      </c>
      <c r="G348" s="18"/>
    </row>
    <row r="349" spans="1:7" x14ac:dyDescent="0.3">
      <c r="A349" s="18">
        <v>11488</v>
      </c>
      <c r="B349" s="18">
        <v>18</v>
      </c>
      <c r="C349" s="18" t="s">
        <v>77</v>
      </c>
      <c r="D349" s="18" t="s">
        <v>78</v>
      </c>
      <c r="E349" s="18" t="s">
        <v>81</v>
      </c>
      <c r="F349" s="18">
        <v>0</v>
      </c>
      <c r="G349" s="18"/>
    </row>
    <row r="350" spans="1:7" x14ac:dyDescent="0.3">
      <c r="A350" s="18">
        <v>11489</v>
      </c>
      <c r="B350" s="18">
        <v>18</v>
      </c>
      <c r="C350" s="18" t="s">
        <v>77</v>
      </c>
      <c r="D350" s="18" t="s">
        <v>78</v>
      </c>
      <c r="E350" s="18" t="s">
        <v>81</v>
      </c>
      <c r="F350" s="18">
        <v>0</v>
      </c>
      <c r="G350" s="18"/>
    </row>
    <row r="351" spans="1:7" x14ac:dyDescent="0.3">
      <c r="A351" s="18">
        <v>11617</v>
      </c>
      <c r="B351" s="18">
        <v>18</v>
      </c>
      <c r="C351" s="18" t="s">
        <v>77</v>
      </c>
      <c r="D351" s="18" t="s">
        <v>78</v>
      </c>
      <c r="E351" s="18" t="s">
        <v>81</v>
      </c>
      <c r="F351" s="18">
        <v>0</v>
      </c>
      <c r="G351" s="18"/>
    </row>
    <row r="352" spans="1:7" x14ac:dyDescent="0.3">
      <c r="A352" s="18">
        <v>11618</v>
      </c>
      <c r="B352" s="18">
        <v>18</v>
      </c>
      <c r="C352" s="18" t="s">
        <v>77</v>
      </c>
      <c r="D352" s="18" t="s">
        <v>78</v>
      </c>
      <c r="E352" s="18" t="s">
        <v>86</v>
      </c>
      <c r="F352" s="18">
        <v>2</v>
      </c>
      <c r="G352" s="18"/>
    </row>
    <row r="353" spans="1:7" x14ac:dyDescent="0.3">
      <c r="A353" s="18">
        <v>11643</v>
      </c>
      <c r="B353" s="18">
        <v>18</v>
      </c>
      <c r="C353" s="18" t="s">
        <v>77</v>
      </c>
      <c r="D353" s="18" t="s">
        <v>78</v>
      </c>
      <c r="E353" s="18" t="s">
        <v>81</v>
      </c>
      <c r="F353" s="18">
        <v>3</v>
      </c>
      <c r="G353" s="18"/>
    </row>
    <row r="354" spans="1:7" x14ac:dyDescent="0.3">
      <c r="A354" s="18">
        <v>11647</v>
      </c>
      <c r="B354" s="18">
        <v>18</v>
      </c>
      <c r="C354" s="18" t="s">
        <v>77</v>
      </c>
      <c r="D354" s="18" t="s">
        <v>78</v>
      </c>
      <c r="E354" s="18" t="s">
        <v>81</v>
      </c>
      <c r="F354" s="18">
        <v>0</v>
      </c>
      <c r="G354" s="18"/>
    </row>
    <row r="355" spans="1:7" x14ac:dyDescent="0.3">
      <c r="A355" s="18">
        <v>11648</v>
      </c>
      <c r="B355" s="18">
        <v>18</v>
      </c>
      <c r="C355" s="18" t="s">
        <v>77</v>
      </c>
      <c r="D355" s="18" t="s">
        <v>78</v>
      </c>
      <c r="E355" s="18" t="s">
        <v>81</v>
      </c>
      <c r="F355" s="18">
        <v>0</v>
      </c>
      <c r="G355" s="18"/>
    </row>
    <row r="356" spans="1:7" x14ac:dyDescent="0.3">
      <c r="A356" s="18">
        <v>11649</v>
      </c>
      <c r="B356" s="18">
        <v>18</v>
      </c>
      <c r="C356" s="18" t="s">
        <v>77</v>
      </c>
      <c r="D356" s="18" t="s">
        <v>78</v>
      </c>
      <c r="E356" s="18" t="s">
        <v>81</v>
      </c>
      <c r="F356" s="18">
        <v>2</v>
      </c>
      <c r="G356" s="18"/>
    </row>
  </sheetData>
  <autoFilter ref="A8:G356"/>
  <sortState ref="AA22:AA37">
    <sortCondition ref="AA21"/>
  </sortState>
  <mergeCells count="8">
    <mergeCell ref="T3:U3"/>
    <mergeCell ref="V3:W3"/>
    <mergeCell ref="I17:N19"/>
    <mergeCell ref="A6:N6"/>
    <mergeCell ref="A1:N4"/>
    <mergeCell ref="I11:N12"/>
    <mergeCell ref="I8:N9"/>
    <mergeCell ref="I14:N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7"/>
  <sheetViews>
    <sheetView topLeftCell="I22" zoomScale="95" zoomScaleNormal="95" workbookViewId="0">
      <selection activeCell="O29" sqref="O29"/>
    </sheetView>
  </sheetViews>
  <sheetFormatPr defaultColWidth="9.109375" defaultRowHeight="13.2" x14ac:dyDescent="0.25"/>
  <cols>
    <col min="1" max="1" width="2.88671875" style="144" customWidth="1"/>
    <col min="2" max="6" width="9.109375" style="144"/>
    <col min="7" max="7" width="17.77734375" style="146" bestFit="1" customWidth="1"/>
    <col min="8" max="8" width="11" style="144" customWidth="1"/>
    <col min="9" max="11" width="9.109375" style="144"/>
    <col min="12" max="12" width="10.77734375" style="144" customWidth="1"/>
    <col min="13" max="13" width="1.33203125" style="144" customWidth="1"/>
    <col min="14" max="15" width="9.109375" style="144"/>
    <col min="16" max="16" width="3.6640625" style="150" customWidth="1"/>
    <col min="17" max="17" width="9.109375" style="144"/>
    <col min="18" max="18" width="9.21875" style="144" customWidth="1"/>
    <col min="19" max="19" width="9.21875" style="145" customWidth="1"/>
    <col min="20" max="21" width="9.21875" style="248" customWidth="1"/>
    <col min="22" max="22" width="16.5546875" style="145" customWidth="1"/>
    <col min="23" max="23" width="6" style="145" customWidth="1"/>
    <col min="24" max="24" width="9.21875" style="145" customWidth="1"/>
    <col min="25" max="25" width="7.6640625" style="145" customWidth="1"/>
    <col min="26" max="26" width="9.33203125" style="145" customWidth="1"/>
    <col min="27" max="27" width="4" style="145" customWidth="1"/>
    <col min="28" max="33" width="3.33203125" style="145" customWidth="1"/>
    <col min="34" max="34" width="3.109375" style="145" customWidth="1"/>
    <col min="35" max="35" width="9.109375" style="145"/>
    <col min="36" max="16384" width="9.109375" style="144"/>
  </cols>
  <sheetData>
    <row r="1" spans="1:41" ht="12.75" customHeight="1" x14ac:dyDescent="0.25">
      <c r="A1" s="150"/>
      <c r="B1" s="264" t="s">
        <v>182</v>
      </c>
      <c r="C1" s="264"/>
      <c r="D1" s="264"/>
      <c r="E1" s="264"/>
      <c r="F1" s="264"/>
      <c r="G1" s="264"/>
      <c r="H1" s="264"/>
      <c r="I1" s="264"/>
      <c r="J1" s="264"/>
      <c r="K1" s="264"/>
      <c r="L1" s="264"/>
      <c r="M1" s="264"/>
      <c r="N1" s="264"/>
      <c r="O1" s="264"/>
      <c r="P1" s="264"/>
      <c r="Q1" s="264"/>
      <c r="R1" s="197"/>
      <c r="S1" s="201"/>
      <c r="T1" s="247"/>
      <c r="U1" s="247"/>
      <c r="AJ1" s="150"/>
      <c r="AK1" s="150"/>
      <c r="AL1" s="150"/>
      <c r="AM1" s="150"/>
      <c r="AN1" s="150"/>
      <c r="AO1" s="150"/>
    </row>
    <row r="2" spans="1:41" x14ac:dyDescent="0.25">
      <c r="A2" s="150"/>
      <c r="B2" s="264"/>
      <c r="C2" s="264"/>
      <c r="D2" s="264"/>
      <c r="E2" s="264"/>
      <c r="F2" s="264"/>
      <c r="G2" s="264"/>
      <c r="H2" s="264"/>
      <c r="I2" s="264"/>
      <c r="J2" s="264"/>
      <c r="K2" s="264"/>
      <c r="L2" s="264"/>
      <c r="M2" s="264"/>
      <c r="N2" s="264"/>
      <c r="O2" s="264"/>
      <c r="P2" s="264"/>
      <c r="Q2" s="264"/>
      <c r="R2" s="150"/>
      <c r="AJ2" s="150"/>
      <c r="AK2" s="150"/>
      <c r="AL2" s="150"/>
      <c r="AM2" s="150"/>
      <c r="AN2" s="150"/>
      <c r="AO2" s="150"/>
    </row>
    <row r="3" spans="1:41" x14ac:dyDescent="0.25">
      <c r="A3" s="150"/>
      <c r="B3" s="264"/>
      <c r="C3" s="264"/>
      <c r="D3" s="264"/>
      <c r="E3" s="264"/>
      <c r="F3" s="264"/>
      <c r="G3" s="264"/>
      <c r="H3" s="264"/>
      <c r="I3" s="264"/>
      <c r="J3" s="264"/>
      <c r="K3" s="264"/>
      <c r="L3" s="264"/>
      <c r="M3" s="264"/>
      <c r="N3" s="264"/>
      <c r="O3" s="264"/>
      <c r="P3" s="264"/>
      <c r="Q3" s="264"/>
      <c r="R3" s="150"/>
      <c r="AJ3" s="150"/>
      <c r="AK3" s="150"/>
      <c r="AL3" s="150"/>
      <c r="AM3" s="150"/>
      <c r="AN3" s="150"/>
      <c r="AO3" s="150"/>
    </row>
    <row r="4" spans="1:41" x14ac:dyDescent="0.25">
      <c r="A4" s="150"/>
      <c r="B4" s="264"/>
      <c r="C4" s="264"/>
      <c r="D4" s="264"/>
      <c r="E4" s="264"/>
      <c r="F4" s="264"/>
      <c r="G4" s="264"/>
      <c r="H4" s="264"/>
      <c r="I4" s="264"/>
      <c r="J4" s="264"/>
      <c r="K4" s="264"/>
      <c r="L4" s="264"/>
      <c r="M4" s="264"/>
      <c r="N4" s="264"/>
      <c r="O4" s="264"/>
      <c r="P4" s="264"/>
      <c r="Q4" s="264"/>
      <c r="R4" s="150"/>
      <c r="AJ4" s="150"/>
      <c r="AK4" s="150"/>
      <c r="AL4" s="150"/>
      <c r="AM4" s="150"/>
      <c r="AN4" s="150"/>
      <c r="AO4" s="150"/>
    </row>
    <row r="5" spans="1:41" x14ac:dyDescent="0.25">
      <c r="A5" s="150"/>
      <c r="B5" s="264"/>
      <c r="C5" s="264"/>
      <c r="D5" s="264"/>
      <c r="E5" s="264"/>
      <c r="F5" s="264"/>
      <c r="G5" s="264"/>
      <c r="H5" s="264"/>
      <c r="I5" s="264"/>
      <c r="J5" s="264"/>
      <c r="K5" s="264"/>
      <c r="L5" s="264"/>
      <c r="M5" s="264"/>
      <c r="N5" s="264"/>
      <c r="O5" s="264"/>
      <c r="P5" s="264"/>
      <c r="Q5" s="264"/>
      <c r="R5" s="150"/>
      <c r="AJ5" s="150"/>
      <c r="AK5" s="150"/>
      <c r="AL5" s="150"/>
      <c r="AM5" s="150"/>
      <c r="AN5" s="150"/>
      <c r="AO5" s="150"/>
    </row>
    <row r="6" spans="1:41" x14ac:dyDescent="0.25">
      <c r="A6" s="150"/>
      <c r="B6" s="264"/>
      <c r="C6" s="264"/>
      <c r="D6" s="264"/>
      <c r="E6" s="264"/>
      <c r="F6" s="264"/>
      <c r="G6" s="264"/>
      <c r="H6" s="264"/>
      <c r="I6" s="264"/>
      <c r="J6" s="264"/>
      <c r="K6" s="264"/>
      <c r="L6" s="264"/>
      <c r="M6" s="264"/>
      <c r="N6" s="264"/>
      <c r="O6" s="264"/>
      <c r="P6" s="264"/>
      <c r="Q6" s="264"/>
      <c r="R6" s="150"/>
      <c r="AJ6" s="150"/>
      <c r="AK6" s="150"/>
      <c r="AL6" s="150"/>
      <c r="AM6" s="150"/>
      <c r="AN6" s="150"/>
      <c r="AO6" s="150"/>
    </row>
    <row r="7" spans="1:41" x14ac:dyDescent="0.25">
      <c r="A7" s="150"/>
      <c r="B7" s="197"/>
      <c r="C7" s="197"/>
      <c r="D7" s="197"/>
      <c r="E7" s="197"/>
      <c r="F7" s="197"/>
      <c r="G7" s="197"/>
      <c r="H7" s="197"/>
      <c r="I7" s="227">
        <f>-LN(1-0.95)</f>
        <v>2.99573227355399</v>
      </c>
      <c r="J7" s="228" t="s">
        <v>180</v>
      </c>
      <c r="K7" s="197"/>
      <c r="L7" s="197"/>
      <c r="M7" s="197"/>
      <c r="N7" s="197"/>
      <c r="O7" s="197"/>
      <c r="P7" s="197"/>
      <c r="Q7" s="150"/>
      <c r="R7" s="150"/>
      <c r="AJ7" s="150"/>
      <c r="AK7" s="150"/>
      <c r="AL7" s="150"/>
      <c r="AM7" s="150"/>
      <c r="AN7" s="150"/>
      <c r="AO7" s="150"/>
    </row>
    <row r="8" spans="1:41" x14ac:dyDescent="0.25">
      <c r="A8" s="150"/>
      <c r="B8" s="200" t="s">
        <v>142</v>
      </c>
      <c r="C8" s="197"/>
      <c r="D8" s="197"/>
      <c r="E8" s="197"/>
      <c r="F8" s="200" t="s">
        <v>179</v>
      </c>
      <c r="G8" s="197"/>
      <c r="H8" s="197"/>
      <c r="I8" s="197"/>
      <c r="J8" s="197"/>
      <c r="K8" s="197"/>
      <c r="L8" s="197"/>
      <c r="M8" s="197"/>
      <c r="N8" s="197"/>
      <c r="O8" s="197"/>
      <c r="P8" s="197"/>
      <c r="Q8" s="150"/>
      <c r="R8" s="150"/>
      <c r="AJ8" s="150"/>
      <c r="AK8" s="150"/>
      <c r="AL8" s="150"/>
      <c r="AM8" s="150"/>
      <c r="AN8" s="150"/>
      <c r="AO8" s="150"/>
    </row>
    <row r="9" spans="1:41" ht="52.8" customHeight="1" x14ac:dyDescent="0.25">
      <c r="A9" s="150"/>
      <c r="B9" s="197"/>
      <c r="C9" s="197"/>
      <c r="D9" s="197"/>
      <c r="E9" s="197"/>
      <c r="F9" s="199" t="s">
        <v>183</v>
      </c>
      <c r="G9" s="198"/>
      <c r="H9" s="265" t="s">
        <v>184</v>
      </c>
      <c r="I9" s="265"/>
      <c r="J9" s="265"/>
      <c r="K9" s="265"/>
      <c r="L9" s="265"/>
      <c r="M9" s="265"/>
      <c r="N9" s="265"/>
      <c r="O9" s="265"/>
      <c r="P9" s="265"/>
      <c r="Q9" s="265"/>
      <c r="R9" s="265"/>
      <c r="AJ9" s="150"/>
      <c r="AK9" s="150"/>
      <c r="AL9" s="150"/>
      <c r="AM9" s="150"/>
      <c r="AN9" s="150"/>
      <c r="AO9" s="150"/>
    </row>
    <row r="10" spans="1:41" x14ac:dyDescent="0.25">
      <c r="A10" s="150"/>
      <c r="B10" s="150"/>
      <c r="C10" s="150"/>
      <c r="D10" s="150"/>
      <c r="E10" s="150"/>
      <c r="F10" s="150"/>
      <c r="G10" s="167"/>
      <c r="H10" s="150"/>
      <c r="I10" s="145"/>
      <c r="J10" s="150"/>
      <c r="K10" s="150"/>
      <c r="L10" s="150"/>
      <c r="M10" s="150"/>
      <c r="N10" s="150"/>
      <c r="O10" s="150"/>
      <c r="Q10" s="150"/>
      <c r="R10" s="150"/>
      <c r="AJ10" s="150"/>
      <c r="AK10" s="150"/>
      <c r="AL10" s="150"/>
      <c r="AM10" s="150"/>
      <c r="AN10" s="150"/>
      <c r="AO10" s="150"/>
    </row>
    <row r="11" spans="1:41" x14ac:dyDescent="0.25">
      <c r="A11" s="150"/>
      <c r="B11" s="196" t="s">
        <v>141</v>
      </c>
      <c r="C11" s="150"/>
      <c r="D11" s="150"/>
      <c r="E11" s="150"/>
      <c r="F11" s="195" t="s">
        <v>140</v>
      </c>
      <c r="G11" s="194"/>
      <c r="H11" s="150"/>
      <c r="I11" s="150"/>
      <c r="J11" s="150"/>
      <c r="K11" s="150"/>
      <c r="L11" s="150"/>
      <c r="M11" s="150"/>
      <c r="N11" s="150"/>
      <c r="O11" s="150"/>
      <c r="Q11" s="150"/>
      <c r="R11" s="150"/>
      <c r="AJ11" s="150"/>
      <c r="AK11" s="150"/>
      <c r="AL11" s="150"/>
      <c r="AM11" s="150"/>
      <c r="AN11" s="150"/>
      <c r="AO11" s="150"/>
    </row>
    <row r="12" spans="1:41" x14ac:dyDescent="0.25">
      <c r="A12" s="150"/>
      <c r="B12" s="166" t="s">
        <v>139</v>
      </c>
      <c r="C12" s="150">
        <v>32</v>
      </c>
      <c r="D12" s="164" t="s">
        <v>138</v>
      </c>
      <c r="E12" s="150"/>
      <c r="F12" s="191" t="s">
        <v>137</v>
      </c>
      <c r="G12" s="229">
        <f>0.9*C16</f>
        <v>3.42</v>
      </c>
      <c r="H12" s="150"/>
      <c r="I12" s="150"/>
      <c r="J12" s="150"/>
      <c r="K12" s="150"/>
      <c r="L12" s="150"/>
      <c r="M12" s="150"/>
      <c r="N12" s="150"/>
      <c r="O12" s="150"/>
      <c r="Q12" s="150"/>
      <c r="R12" s="150"/>
      <c r="AJ12" s="150"/>
      <c r="AK12" s="150"/>
      <c r="AL12" s="150"/>
      <c r="AM12" s="150"/>
      <c r="AN12" s="150"/>
      <c r="AO12" s="150"/>
    </row>
    <row r="13" spans="1:41" ht="15.6" x14ac:dyDescent="0.25">
      <c r="A13" s="150"/>
      <c r="B13" s="193" t="s">
        <v>136</v>
      </c>
      <c r="C13" s="192">
        <v>708</v>
      </c>
      <c r="D13" s="164" t="s">
        <v>135</v>
      </c>
      <c r="E13" s="150"/>
      <c r="F13" s="191" t="s">
        <v>134</v>
      </c>
      <c r="G13" s="225">
        <f>($C$17-G12)/((-LN(1-0.9))^(1/$G$14))</f>
        <v>18.862375280300903</v>
      </c>
      <c r="H13" s="231"/>
      <c r="I13" s="145"/>
      <c r="J13" s="150"/>
      <c r="K13" s="150"/>
      <c r="L13" s="150"/>
      <c r="M13" s="150"/>
      <c r="N13" s="150"/>
      <c r="O13" s="150"/>
      <c r="Q13" s="150"/>
      <c r="R13" s="150"/>
      <c r="AJ13" s="150"/>
      <c r="AK13" s="150"/>
      <c r="AL13" s="150"/>
      <c r="AM13" s="150"/>
      <c r="AN13" s="150"/>
      <c r="AO13" s="150"/>
    </row>
    <row r="14" spans="1:41" x14ac:dyDescent="0.25">
      <c r="A14" s="150"/>
      <c r="B14" s="166" t="s">
        <v>133</v>
      </c>
      <c r="C14" s="190">
        <v>10.5</v>
      </c>
      <c r="D14" s="164" t="s">
        <v>132</v>
      </c>
      <c r="E14" s="150"/>
      <c r="F14" s="189" t="s">
        <v>131</v>
      </c>
      <c r="G14" s="230">
        <v>3.6</v>
      </c>
      <c r="H14" s="150"/>
      <c r="I14" s="145"/>
      <c r="J14" s="150"/>
      <c r="K14" s="150"/>
      <c r="L14" s="150"/>
      <c r="M14" s="150"/>
      <c r="N14" s="150"/>
      <c r="O14" s="150"/>
      <c r="Q14" s="150"/>
      <c r="R14" s="150"/>
      <c r="AJ14" s="150"/>
      <c r="AK14" s="150"/>
      <c r="AL14" s="150"/>
      <c r="AM14" s="150"/>
      <c r="AN14" s="150"/>
      <c r="AO14" s="150"/>
    </row>
    <row r="15" spans="1:41" ht="15.6" x14ac:dyDescent="0.25">
      <c r="A15" s="150"/>
      <c r="B15" s="166" t="s">
        <v>130</v>
      </c>
      <c r="C15" s="165">
        <v>21.8</v>
      </c>
      <c r="D15" s="164" t="s">
        <v>129</v>
      </c>
      <c r="E15" s="150"/>
      <c r="F15" s="150"/>
      <c r="G15" s="150"/>
      <c r="H15" s="150"/>
      <c r="I15" s="145"/>
      <c r="J15" s="150"/>
      <c r="K15" s="150"/>
      <c r="L15" s="150"/>
      <c r="M15" s="150"/>
      <c r="N15" s="150"/>
      <c r="O15" s="150"/>
      <c r="Q15" s="150"/>
      <c r="R15" s="150"/>
      <c r="AJ15" s="150"/>
      <c r="AK15" s="150"/>
      <c r="AL15" s="150"/>
      <c r="AM15" s="150"/>
      <c r="AN15" s="150"/>
      <c r="AO15" s="150"/>
    </row>
    <row r="16" spans="1:41" x14ac:dyDescent="0.25">
      <c r="A16" s="150"/>
      <c r="B16" s="166" t="s">
        <v>128</v>
      </c>
      <c r="C16" s="150">
        <v>3.8</v>
      </c>
      <c r="D16" s="150"/>
      <c r="E16" s="150"/>
      <c r="F16" s="150"/>
      <c r="G16" s="150"/>
      <c r="H16" s="150"/>
      <c r="K16" s="145"/>
      <c r="L16" s="145"/>
      <c r="M16" s="145"/>
      <c r="N16" s="145"/>
      <c r="O16" s="145"/>
      <c r="P16" s="145"/>
      <c r="Q16" s="145"/>
      <c r="R16" s="150"/>
      <c r="AJ16" s="150"/>
      <c r="AK16" s="150"/>
      <c r="AL16" s="150"/>
      <c r="AM16" s="150"/>
      <c r="AN16" s="150"/>
      <c r="AO16" s="150"/>
    </row>
    <row r="17" spans="1:41" x14ac:dyDescent="0.25">
      <c r="A17" s="150"/>
      <c r="B17" s="188" t="s">
        <v>127</v>
      </c>
      <c r="C17" s="226">
        <v>27.2</v>
      </c>
      <c r="D17" s="193" t="s">
        <v>181</v>
      </c>
      <c r="E17" s="177">
        <v>0.9</v>
      </c>
      <c r="F17" s="150"/>
      <c r="G17" s="150"/>
      <c r="H17" s="150"/>
      <c r="I17" s="145"/>
      <c r="J17" s="145"/>
      <c r="K17" s="145"/>
      <c r="L17" s="145"/>
      <c r="M17" s="145"/>
      <c r="N17" s="145"/>
      <c r="O17" s="145"/>
      <c r="P17" s="145"/>
      <c r="Q17" s="145"/>
      <c r="R17" s="150"/>
      <c r="AJ17" s="150"/>
      <c r="AK17" s="150"/>
      <c r="AL17" s="150"/>
      <c r="AM17" s="150"/>
      <c r="AN17" s="150"/>
      <c r="AO17" s="150"/>
    </row>
    <row r="18" spans="1:41" x14ac:dyDescent="0.25">
      <c r="A18" s="150"/>
      <c r="B18" s="184"/>
      <c r="C18" s="184"/>
      <c r="D18" s="184"/>
      <c r="E18" s="184"/>
      <c r="F18" s="186"/>
      <c r="G18" s="187"/>
      <c r="H18" s="150"/>
      <c r="I18" s="157"/>
      <c r="J18" s="145"/>
      <c r="K18" s="145"/>
      <c r="L18" s="145"/>
      <c r="M18" s="145"/>
      <c r="N18" s="145"/>
      <c r="O18" s="145"/>
      <c r="P18" s="145"/>
      <c r="Q18" s="145"/>
      <c r="R18" s="150"/>
      <c r="AJ18" s="150"/>
      <c r="AK18" s="150"/>
      <c r="AL18" s="150"/>
      <c r="AM18" s="150"/>
      <c r="AN18" s="150"/>
      <c r="AO18" s="150"/>
    </row>
    <row r="19" spans="1:41" x14ac:dyDescent="0.25">
      <c r="A19" s="150"/>
      <c r="B19" s="184" t="s">
        <v>126</v>
      </c>
      <c r="C19" s="184"/>
      <c r="D19" s="184"/>
      <c r="E19" s="184"/>
      <c r="F19" s="186"/>
      <c r="G19" s="185"/>
      <c r="H19" s="165"/>
      <c r="I19" s="145"/>
      <c r="J19" s="145"/>
      <c r="K19" s="145"/>
      <c r="L19" s="145"/>
      <c r="M19" s="145"/>
      <c r="N19" s="145"/>
      <c r="O19" s="145"/>
      <c r="P19" s="145"/>
      <c r="Q19" s="145"/>
      <c r="R19" s="150"/>
      <c r="AJ19" s="150"/>
      <c r="AK19" s="150"/>
      <c r="AL19" s="150"/>
      <c r="AM19" s="150"/>
      <c r="AN19" s="150"/>
      <c r="AO19" s="150"/>
    </row>
    <row r="20" spans="1:41" x14ac:dyDescent="0.25">
      <c r="A20" s="150"/>
      <c r="B20" s="184"/>
      <c r="C20" s="184"/>
      <c r="D20" s="184"/>
      <c r="E20" s="184"/>
      <c r="F20" s="186"/>
      <c r="G20" s="185"/>
      <c r="H20" s="165"/>
      <c r="I20" s="145"/>
      <c r="J20" s="145"/>
      <c r="K20" s="145"/>
      <c r="L20" s="145"/>
      <c r="M20" s="145"/>
      <c r="N20" s="145"/>
      <c r="O20" s="145"/>
      <c r="P20" s="145"/>
      <c r="Q20" s="145"/>
      <c r="R20" s="150"/>
      <c r="AJ20" s="150"/>
      <c r="AK20" s="150"/>
      <c r="AL20" s="150"/>
      <c r="AM20" s="150"/>
      <c r="AN20" s="150"/>
      <c r="AO20" s="150"/>
    </row>
    <row r="21" spans="1:41" x14ac:dyDescent="0.25">
      <c r="A21" s="150"/>
      <c r="B21" s="184"/>
      <c r="C21" s="184"/>
      <c r="D21" s="184"/>
      <c r="E21" s="184"/>
      <c r="F21" s="186"/>
      <c r="G21" s="185"/>
      <c r="H21" s="165"/>
      <c r="I21" s="145"/>
      <c r="J21" s="145"/>
      <c r="K21" s="145"/>
      <c r="L21" s="145"/>
      <c r="M21" s="145"/>
      <c r="N21" s="145"/>
      <c r="O21" s="145"/>
      <c r="P21" s="145"/>
      <c r="Q21" s="145"/>
      <c r="R21" s="150"/>
      <c r="AJ21" s="150"/>
      <c r="AK21" s="150"/>
      <c r="AL21" s="150"/>
      <c r="AM21" s="150"/>
      <c r="AN21" s="150"/>
      <c r="AO21" s="150"/>
    </row>
    <row r="22" spans="1:41" x14ac:dyDescent="0.25">
      <c r="A22" s="150"/>
      <c r="B22" s="184"/>
      <c r="C22" s="184"/>
      <c r="D22" s="184"/>
      <c r="E22" s="184"/>
      <c r="F22" s="186"/>
      <c r="G22" s="185"/>
      <c r="H22" s="165"/>
      <c r="I22" s="150"/>
      <c r="J22" s="150"/>
      <c r="K22" s="150"/>
      <c r="L22" s="150"/>
      <c r="M22" s="150"/>
      <c r="N22" s="150"/>
      <c r="O22" s="150"/>
      <c r="Q22" s="150"/>
      <c r="R22" s="150"/>
      <c r="AJ22" s="150"/>
      <c r="AK22" s="150"/>
      <c r="AL22" s="150"/>
      <c r="AM22" s="150"/>
      <c r="AN22" s="150"/>
      <c r="AO22" s="150"/>
    </row>
    <row r="23" spans="1:41" x14ac:dyDescent="0.25">
      <c r="A23" s="150"/>
      <c r="B23" s="184"/>
      <c r="C23" s="184"/>
      <c r="D23" s="184"/>
      <c r="E23" s="184"/>
      <c r="F23" s="186"/>
      <c r="G23" s="185"/>
      <c r="H23" s="165"/>
      <c r="I23" s="150"/>
      <c r="J23" s="150"/>
      <c r="K23" s="150"/>
      <c r="L23" s="150"/>
      <c r="M23" s="150"/>
      <c r="N23" s="150"/>
      <c r="O23" s="150"/>
      <c r="Q23" s="150"/>
      <c r="R23" s="150"/>
      <c r="AJ23" s="150"/>
      <c r="AK23" s="150"/>
      <c r="AL23" s="150"/>
      <c r="AM23" s="150"/>
      <c r="AN23" s="150"/>
      <c r="AO23" s="150"/>
    </row>
    <row r="24" spans="1:41" x14ac:dyDescent="0.25">
      <c r="A24" s="150"/>
      <c r="B24" s="184"/>
      <c r="C24" s="184"/>
      <c r="D24" s="184"/>
      <c r="E24" s="184"/>
      <c r="F24" s="186"/>
      <c r="G24" s="185"/>
      <c r="H24" s="165"/>
      <c r="I24" s="150"/>
      <c r="J24" s="150"/>
      <c r="K24" s="150"/>
      <c r="L24" s="150"/>
      <c r="M24" s="150"/>
      <c r="N24" s="150"/>
      <c r="O24" s="150"/>
      <c r="Q24" s="150"/>
      <c r="R24" s="150"/>
      <c r="AJ24" s="150"/>
      <c r="AK24" s="150"/>
      <c r="AL24" s="150"/>
      <c r="AM24" s="150"/>
      <c r="AN24" s="150"/>
      <c r="AO24" s="150"/>
    </row>
    <row r="25" spans="1:41" x14ac:dyDescent="0.25">
      <c r="A25" s="150"/>
      <c r="B25" s="184"/>
      <c r="C25" s="184"/>
      <c r="D25" s="184"/>
      <c r="E25" s="184"/>
      <c r="F25" s="186"/>
      <c r="G25" s="185"/>
      <c r="H25" s="165" t="s">
        <v>187</v>
      </c>
      <c r="I25" s="150"/>
      <c r="J25" s="150"/>
      <c r="K25" s="150"/>
      <c r="L25" s="150"/>
      <c r="M25" s="150"/>
      <c r="N25" s="150"/>
      <c r="O25" s="150"/>
      <c r="Q25" s="150"/>
      <c r="R25" s="150"/>
      <c r="AJ25" s="150"/>
      <c r="AK25" s="150"/>
      <c r="AL25" s="150"/>
      <c r="AM25" s="150"/>
      <c r="AN25" s="150"/>
      <c r="AO25" s="150"/>
    </row>
    <row r="26" spans="1:41" x14ac:dyDescent="0.25">
      <c r="A26" s="150"/>
      <c r="B26" s="184"/>
      <c r="C26" s="184"/>
      <c r="D26" s="184"/>
      <c r="E26" s="184"/>
      <c r="F26" s="186"/>
      <c r="G26" s="185"/>
      <c r="H26" s="240" t="s">
        <v>188</v>
      </c>
      <c r="I26" s="150">
        <v>708</v>
      </c>
      <c r="J26" s="150">
        <v>10000</v>
      </c>
      <c r="K26" s="150"/>
      <c r="L26" s="150"/>
      <c r="M26" s="150"/>
      <c r="N26" s="150"/>
      <c r="O26" s="150"/>
      <c r="Q26" s="150"/>
      <c r="R26" s="150"/>
      <c r="AJ26" s="150"/>
      <c r="AK26" s="150"/>
      <c r="AL26" s="150"/>
      <c r="AM26" s="150"/>
      <c r="AN26" s="150"/>
      <c r="AO26" s="150"/>
    </row>
    <row r="27" spans="1:41" ht="15.6" x14ac:dyDescent="0.25">
      <c r="A27" s="150"/>
      <c r="B27" s="150"/>
      <c r="C27" s="150"/>
      <c r="D27" s="150"/>
      <c r="E27" s="150"/>
      <c r="F27" s="150"/>
      <c r="G27" s="150"/>
      <c r="H27" s="240" t="s">
        <v>189</v>
      </c>
      <c r="I27" s="241">
        <f>J27*I26/J26</f>
        <v>35.4</v>
      </c>
      <c r="J27" s="150">
        <v>500</v>
      </c>
      <c r="K27" s="150"/>
      <c r="L27" s="150"/>
      <c r="M27" s="150"/>
      <c r="N27" s="150"/>
      <c r="O27" s="150"/>
      <c r="Q27" s="150"/>
      <c r="R27" s="150"/>
      <c r="AJ27" s="150"/>
      <c r="AK27" s="150"/>
      <c r="AL27" s="150"/>
      <c r="AM27" s="150"/>
      <c r="AN27" s="150"/>
      <c r="AO27" s="150"/>
    </row>
    <row r="28" spans="1:41" x14ac:dyDescent="0.25">
      <c r="A28" s="150"/>
      <c r="B28" s="150"/>
      <c r="C28" s="150"/>
      <c r="D28" s="150"/>
      <c r="E28" s="150"/>
      <c r="F28" s="150" t="s">
        <v>185</v>
      </c>
      <c r="G28" s="150"/>
      <c r="H28" s="150"/>
      <c r="I28" s="150"/>
      <c r="J28" s="150"/>
      <c r="K28" s="150"/>
      <c r="L28" s="150"/>
      <c r="M28" s="150"/>
      <c r="N28" s="150"/>
      <c r="O28" s="150"/>
      <c r="Q28" s="150"/>
      <c r="R28" s="150"/>
      <c r="AJ28" s="150"/>
      <c r="AK28" s="150"/>
      <c r="AL28" s="150"/>
      <c r="AM28" s="150"/>
      <c r="AN28" s="150"/>
      <c r="AO28" s="150"/>
    </row>
    <row r="29" spans="1:41" ht="13.2" customHeight="1" x14ac:dyDescent="0.25">
      <c r="A29" s="150"/>
      <c r="B29" s="150"/>
      <c r="C29" s="150"/>
      <c r="D29" s="150"/>
      <c r="E29" s="150"/>
      <c r="F29" s="238" t="s">
        <v>186</v>
      </c>
      <c r="G29" s="177"/>
      <c r="H29" s="183" t="s">
        <v>125</v>
      </c>
      <c r="I29" s="182" t="s">
        <v>124</v>
      </c>
      <c r="J29" s="181" t="s">
        <v>123</v>
      </c>
      <c r="K29" s="172" t="s">
        <v>122</v>
      </c>
      <c r="L29" s="181" t="s">
        <v>121</v>
      </c>
      <c r="M29" s="150"/>
      <c r="N29" s="243" t="s">
        <v>122</v>
      </c>
      <c r="O29" s="244" t="s">
        <v>121</v>
      </c>
      <c r="P29" s="242"/>
      <c r="Q29" s="150" t="s">
        <v>190</v>
      </c>
      <c r="R29" s="150"/>
      <c r="S29" s="180"/>
      <c r="T29" s="242"/>
      <c r="U29" s="242"/>
      <c r="V29" s="179"/>
      <c r="W29" s="150" t="s">
        <v>191</v>
      </c>
      <c r="AJ29" s="150"/>
      <c r="AK29" s="150"/>
      <c r="AL29" s="150"/>
      <c r="AM29" s="150"/>
      <c r="AN29" s="150"/>
      <c r="AO29" s="150"/>
    </row>
    <row r="30" spans="1:41" ht="13.8" thickBot="1" x14ac:dyDescent="0.3">
      <c r="A30" s="150"/>
      <c r="B30" s="178" t="s">
        <v>120</v>
      </c>
      <c r="C30" s="178"/>
      <c r="D30" s="177">
        <v>5</v>
      </c>
      <c r="E30" s="150"/>
      <c r="F30" s="176" t="s">
        <v>119</v>
      </c>
      <c r="G30" s="167"/>
      <c r="H30" s="155">
        <v>1</v>
      </c>
      <c r="I30" s="239">
        <v>0.55249265158228278</v>
      </c>
      <c r="J30" s="153">
        <v>0.17475618654891989</v>
      </c>
      <c r="K30" s="232">
        <f ca="1">LOOKUP(I30,$E$32:$E$39,$B$33:$B$39)</f>
        <v>17.5</v>
      </c>
      <c r="L30" s="235">
        <f ca="1">K30+J30</f>
        <v>17.674756186548919</v>
      </c>
      <c r="M30" s="150"/>
      <c r="N30" s="245">
        <f ca="1">LOOKUP(I30,$F$32:$F$39,$B$33:$B$39)</f>
        <v>17.5</v>
      </c>
      <c r="O30" s="246">
        <f ca="1">N30+J30</f>
        <v>17.674756186548919</v>
      </c>
      <c r="P30" s="237"/>
      <c r="Q30" s="179"/>
      <c r="R30" s="174"/>
      <c r="S30" s="152"/>
      <c r="T30" s="242"/>
      <c r="U30" s="242"/>
      <c r="V30" s="151"/>
      <c r="AJ30" s="150"/>
      <c r="AK30" s="150"/>
      <c r="AL30" s="150"/>
      <c r="AM30" s="150"/>
      <c r="AN30" s="150"/>
      <c r="AO30" s="150"/>
    </row>
    <row r="31" spans="1:41" ht="14.4" x14ac:dyDescent="0.3">
      <c r="A31" s="150"/>
      <c r="B31" s="150"/>
      <c r="C31" s="150"/>
      <c r="D31" s="150"/>
      <c r="E31" s="150"/>
      <c r="F31" s="175" t="s">
        <v>115</v>
      </c>
      <c r="G31" s="150"/>
      <c r="H31" s="155">
        <f>H30+1</f>
        <v>2</v>
      </c>
      <c r="I31" s="154">
        <v>0.7718338307875402</v>
      </c>
      <c r="J31" s="153">
        <v>0.48138168327266451</v>
      </c>
      <c r="K31" s="232">
        <f t="shared" ref="K31:K64" ca="1" si="0">LOOKUP(I31,$E$32:$E$39,$B$33:$B$39)</f>
        <v>22.5</v>
      </c>
      <c r="L31" s="235">
        <f t="shared" ref="L31:L64" ca="1" si="1">K31+J31</f>
        <v>22.981381683272666</v>
      </c>
      <c r="M31" s="150"/>
      <c r="N31" s="245">
        <f t="shared" ref="N31:N64" ca="1" si="2">LOOKUP(I31,$F$32:$F$39,$B$33:$B$39)</f>
        <v>17.5</v>
      </c>
      <c r="O31" s="246">
        <f t="shared" ref="O31:O64" ca="1" si="3">N31+J31</f>
        <v>17.981381683272666</v>
      </c>
      <c r="P31" s="237"/>
      <c r="Q31" s="254" t="s">
        <v>116</v>
      </c>
      <c r="R31" s="123" t="s">
        <v>100</v>
      </c>
      <c r="S31" s="123" t="s">
        <v>102</v>
      </c>
      <c r="T31" s="123" t="s">
        <v>102</v>
      </c>
      <c r="U31" s="123" t="s">
        <v>192</v>
      </c>
      <c r="V31" s="151"/>
      <c r="W31" s="123" t="s">
        <v>100</v>
      </c>
      <c r="X31" s="123" t="s">
        <v>102</v>
      </c>
      <c r="Y31" s="123" t="s">
        <v>102</v>
      </c>
      <c r="Z31" s="123" t="s">
        <v>192</v>
      </c>
      <c r="AA31" s="123"/>
      <c r="AJ31" s="150"/>
      <c r="AK31" s="150"/>
      <c r="AL31" s="150"/>
      <c r="AM31" s="150"/>
      <c r="AN31" s="150"/>
      <c r="AO31" s="150"/>
    </row>
    <row r="32" spans="1:41" ht="14.25" customHeight="1" x14ac:dyDescent="0.3">
      <c r="A32" s="150"/>
      <c r="B32" s="173" t="s">
        <v>118</v>
      </c>
      <c r="C32" s="173" t="s">
        <v>117</v>
      </c>
      <c r="D32" s="173" t="s">
        <v>116</v>
      </c>
      <c r="E32" s="172">
        <v>0</v>
      </c>
      <c r="F32" s="171">
        <v>0</v>
      </c>
      <c r="G32" s="167"/>
      <c r="H32" s="155">
        <f t="shared" ref="H32:H64" si="4">H31+1</f>
        <v>3</v>
      </c>
      <c r="I32" s="154">
        <v>0.33423897693080529</v>
      </c>
      <c r="J32" s="153">
        <v>0.46671549143468249</v>
      </c>
      <c r="K32" s="232">
        <f t="shared" ca="1" si="0"/>
        <v>17.5</v>
      </c>
      <c r="L32" s="235">
        <f t="shared" ca="1" si="1"/>
        <v>17.966715491434684</v>
      </c>
      <c r="M32" s="150"/>
      <c r="N32" s="245">
        <f t="shared" ca="1" si="2"/>
        <v>12.5</v>
      </c>
      <c r="O32" s="246">
        <f t="shared" ca="1" si="3"/>
        <v>12.966715491434682</v>
      </c>
      <c r="P32" s="237"/>
      <c r="Q32" s="168">
        <v>7.4</v>
      </c>
      <c r="R32" s="127">
        <v>7.4</v>
      </c>
      <c r="S32" s="128">
        <v>0</v>
      </c>
      <c r="T32" s="253">
        <f>S32/$S$41</f>
        <v>0</v>
      </c>
      <c r="U32" s="253">
        <f>SUM($T$32:T32)</f>
        <v>0</v>
      </c>
      <c r="V32" s="151"/>
      <c r="W32" s="250">
        <v>7.4</v>
      </c>
      <c r="X32" s="251">
        <v>0</v>
      </c>
      <c r="Y32" s="252">
        <f>X32/$S$41</f>
        <v>0</v>
      </c>
      <c r="Z32" s="262">
        <f>SUM($Y$32:Y32)</f>
        <v>0</v>
      </c>
      <c r="AA32" s="262"/>
      <c r="AD32" s="266"/>
      <c r="AE32" s="266"/>
      <c r="AF32" s="266"/>
      <c r="AG32" s="266"/>
      <c r="AJ32" s="150"/>
      <c r="AK32" s="150"/>
      <c r="AL32" s="150"/>
      <c r="AM32" s="150"/>
      <c r="AN32" s="150"/>
      <c r="AO32" s="150"/>
    </row>
    <row r="33" spans="1:41" ht="14.4" x14ac:dyDescent="0.3">
      <c r="A33" s="150"/>
      <c r="B33" s="168">
        <v>2.5</v>
      </c>
      <c r="C33" s="168">
        <v>5</v>
      </c>
      <c r="D33" s="168">
        <v>7.4</v>
      </c>
      <c r="E33" s="154">
        <f>1-1/EXP(((D33-G$12)/G$13)^G$14)</f>
        <v>3.6866364424146258E-3</v>
      </c>
      <c r="F33" s="170">
        <f>_xlfn.WEIBULL.DIST(D33,$G$14,$G$13,TRUE)</f>
        <v>3.3855537934667473E-2</v>
      </c>
      <c r="G33" s="236"/>
      <c r="H33" s="155">
        <f t="shared" si="4"/>
        <v>4</v>
      </c>
      <c r="I33" s="154">
        <v>0.69907756994072123</v>
      </c>
      <c r="J33" s="153">
        <v>0.27383034213607138</v>
      </c>
      <c r="K33" s="232">
        <f t="shared" ca="1" si="0"/>
        <v>22.5</v>
      </c>
      <c r="L33" s="235">
        <f t="shared" ca="1" si="1"/>
        <v>22.773830342136073</v>
      </c>
      <c r="M33" s="150"/>
      <c r="N33" s="245">
        <f t="shared" ca="1" si="2"/>
        <v>17.5</v>
      </c>
      <c r="O33" s="246">
        <f t="shared" ca="1" si="3"/>
        <v>17.773830342136073</v>
      </c>
      <c r="P33" s="237"/>
      <c r="Q33" s="168">
        <v>12.4</v>
      </c>
      <c r="R33" s="127">
        <v>12.4</v>
      </c>
      <c r="S33" s="128">
        <v>2</v>
      </c>
      <c r="T33" s="253">
        <f t="shared" ref="T33:T40" si="5">S33/$S$41</f>
        <v>5.7142857142857141E-2</v>
      </c>
      <c r="U33" s="253">
        <f>SUM($T$32:T33)</f>
        <v>5.7142857142857141E-2</v>
      </c>
      <c r="V33" s="151"/>
      <c r="W33" s="250">
        <v>12.4</v>
      </c>
      <c r="X33" s="251">
        <v>6</v>
      </c>
      <c r="Y33" s="252">
        <f t="shared" ref="Y33:Y40" si="6">X33/$S$41</f>
        <v>0.17142857142857143</v>
      </c>
      <c r="Z33" s="262">
        <f>SUM($Y$32:Y33)</f>
        <v>0.17142857142857143</v>
      </c>
      <c r="AA33" s="262"/>
      <c r="AJ33" s="150"/>
      <c r="AK33" s="150"/>
      <c r="AL33" s="150"/>
      <c r="AM33" s="150"/>
      <c r="AN33" s="150"/>
      <c r="AO33" s="150"/>
    </row>
    <row r="34" spans="1:41" ht="14.25" customHeight="1" x14ac:dyDescent="0.3">
      <c r="A34" s="150"/>
      <c r="B34" s="169">
        <f t="shared" ref="B34:B40" si="7">D33+0.1</f>
        <v>7.5</v>
      </c>
      <c r="C34" s="168">
        <f t="shared" ref="C34:C40" si="8">C33+5</f>
        <v>10</v>
      </c>
      <c r="D34" s="168">
        <f t="shared" ref="D34:D40" si="9">C34+2.4</f>
        <v>12.4</v>
      </c>
      <c r="E34" s="154">
        <f t="shared" ref="E34:E40" si="10">1-1/EXP(((D34-G$12)/G$13)^G$14)</f>
        <v>6.6791864204335361E-2</v>
      </c>
      <c r="F34" s="170">
        <f t="shared" ref="F34:F40" si="11">_xlfn.WEIBULL.DIST(D34,$G$14,$G$13,TRUE)</f>
        <v>0.19819310290440617</v>
      </c>
      <c r="G34" s="236"/>
      <c r="H34" s="155">
        <f t="shared" si="4"/>
        <v>5</v>
      </c>
      <c r="I34" s="154">
        <v>0.85940087263474563</v>
      </c>
      <c r="J34" s="153">
        <v>0.79256728956343092</v>
      </c>
      <c r="K34" s="232">
        <f t="shared" ca="1" si="0"/>
        <v>22.5</v>
      </c>
      <c r="L34" s="235">
        <f t="shared" ca="1" si="1"/>
        <v>23.292567289563429</v>
      </c>
      <c r="M34" s="150"/>
      <c r="N34" s="245">
        <f t="shared" ca="1" si="2"/>
        <v>22.5</v>
      </c>
      <c r="O34" s="246">
        <f t="shared" ca="1" si="3"/>
        <v>23.292567289563429</v>
      </c>
      <c r="P34" s="237"/>
      <c r="Q34" s="168">
        <v>17.399999999999999</v>
      </c>
      <c r="R34" s="127">
        <v>17.399999999999999</v>
      </c>
      <c r="S34" s="128">
        <v>5</v>
      </c>
      <c r="T34" s="253">
        <f t="shared" si="5"/>
        <v>0.14285714285714285</v>
      </c>
      <c r="U34" s="253">
        <f>SUM($T$32:T34)</f>
        <v>0.19999999999999998</v>
      </c>
      <c r="V34" s="151"/>
      <c r="W34" s="250">
        <v>17.399999999999999</v>
      </c>
      <c r="X34" s="251">
        <v>13</v>
      </c>
      <c r="Y34" s="252">
        <f t="shared" si="6"/>
        <v>0.37142857142857144</v>
      </c>
      <c r="Z34" s="262">
        <f>SUM($Y$32:Y34)</f>
        <v>0.54285714285714293</v>
      </c>
      <c r="AA34" s="262"/>
      <c r="AJ34" s="150"/>
      <c r="AK34" s="150"/>
      <c r="AL34" s="150"/>
      <c r="AM34" s="150"/>
      <c r="AN34" s="150"/>
      <c r="AO34" s="150"/>
    </row>
    <row r="35" spans="1:41" ht="14.25" customHeight="1" x14ac:dyDescent="0.3">
      <c r="A35" s="150"/>
      <c r="B35" s="169">
        <f t="shared" si="7"/>
        <v>12.5</v>
      </c>
      <c r="C35" s="168">
        <f t="shared" si="8"/>
        <v>15</v>
      </c>
      <c r="D35" s="168">
        <f t="shared" si="9"/>
        <v>17.399999999999999</v>
      </c>
      <c r="E35" s="154">
        <f t="shared" si="10"/>
        <v>0.28834109988029077</v>
      </c>
      <c r="F35" s="170">
        <f t="shared" si="11"/>
        <v>0.52662966538623035</v>
      </c>
      <c r="G35" s="236"/>
      <c r="H35" s="155">
        <f t="shared" si="4"/>
        <v>6</v>
      </c>
      <c r="I35" s="154">
        <v>0.45440128292088056</v>
      </c>
      <c r="J35" s="153">
        <v>0.90885477943102544</v>
      </c>
      <c r="K35" s="232">
        <f t="shared" ca="1" si="0"/>
        <v>17.5</v>
      </c>
      <c r="L35" s="235">
        <f t="shared" ca="1" si="1"/>
        <v>18.408854779431024</v>
      </c>
      <c r="M35" s="150"/>
      <c r="N35" s="245">
        <f t="shared" ca="1" si="2"/>
        <v>12.5</v>
      </c>
      <c r="O35" s="246">
        <f t="shared" ca="1" si="3"/>
        <v>13.408854779431026</v>
      </c>
      <c r="P35" s="237"/>
      <c r="Q35" s="234">
        <v>22.4</v>
      </c>
      <c r="R35" s="127">
        <v>22.4</v>
      </c>
      <c r="S35" s="128">
        <v>18</v>
      </c>
      <c r="T35" s="253">
        <f t="shared" si="5"/>
        <v>0.51428571428571423</v>
      </c>
      <c r="U35" s="253">
        <f>SUM($T$32:T35)</f>
        <v>0.71428571428571419</v>
      </c>
      <c r="V35" s="151"/>
      <c r="W35" s="250">
        <v>22.4</v>
      </c>
      <c r="X35" s="251">
        <v>13</v>
      </c>
      <c r="Y35" s="252">
        <f t="shared" si="6"/>
        <v>0.37142857142857144</v>
      </c>
      <c r="Z35" s="262">
        <f>SUM($Y$32:Y35)</f>
        <v>0.91428571428571437</v>
      </c>
      <c r="AA35" s="262"/>
      <c r="AB35" s="266"/>
      <c r="AC35" s="266"/>
      <c r="AD35" s="152"/>
      <c r="AE35" s="152"/>
      <c r="AF35" s="152"/>
      <c r="AG35" s="266"/>
      <c r="AH35" s="266"/>
      <c r="AJ35" s="150"/>
      <c r="AK35" s="150"/>
      <c r="AL35" s="150"/>
      <c r="AM35" s="150"/>
      <c r="AN35" s="150"/>
      <c r="AO35" s="150"/>
    </row>
    <row r="36" spans="1:41" ht="14.4" x14ac:dyDescent="0.3">
      <c r="A36" s="150"/>
      <c r="B36" s="233">
        <f t="shared" si="7"/>
        <v>17.5</v>
      </c>
      <c r="C36" s="234">
        <f t="shared" si="8"/>
        <v>20</v>
      </c>
      <c r="D36" s="234">
        <f t="shared" si="9"/>
        <v>22.4</v>
      </c>
      <c r="E36" s="239">
        <f t="shared" si="10"/>
        <v>0.64035289640977511</v>
      </c>
      <c r="F36" s="170">
        <f t="shared" si="11"/>
        <v>0.8438155766501112</v>
      </c>
      <c r="G36" s="236"/>
      <c r="H36" s="155">
        <f t="shared" si="4"/>
        <v>7</v>
      </c>
      <c r="I36" s="154">
        <v>0.16139024555598591</v>
      </c>
      <c r="J36" s="153">
        <v>0.17082164356076945</v>
      </c>
      <c r="K36" s="232">
        <f t="shared" ca="1" si="0"/>
        <v>12.5</v>
      </c>
      <c r="L36" s="235">
        <f t="shared" ca="1" si="1"/>
        <v>12.670821643560769</v>
      </c>
      <c r="M36" s="150"/>
      <c r="N36" s="245">
        <f t="shared" ca="1" si="2"/>
        <v>7.5</v>
      </c>
      <c r="O36" s="246">
        <f t="shared" ca="1" si="3"/>
        <v>7.6708216435607692</v>
      </c>
      <c r="P36" s="237"/>
      <c r="Q36" s="168">
        <v>27.4</v>
      </c>
      <c r="R36" s="127">
        <v>27.4</v>
      </c>
      <c r="S36" s="128">
        <v>9</v>
      </c>
      <c r="T36" s="253">
        <f t="shared" si="5"/>
        <v>0.25714285714285712</v>
      </c>
      <c r="U36" s="253">
        <f>SUM($T$32:T36)</f>
        <v>0.97142857142857131</v>
      </c>
      <c r="V36" s="151"/>
      <c r="W36" s="250">
        <v>27.4</v>
      </c>
      <c r="X36" s="251">
        <v>3</v>
      </c>
      <c r="Y36" s="252">
        <f t="shared" si="6"/>
        <v>8.5714285714285715E-2</v>
      </c>
      <c r="Z36" s="262">
        <f>SUM($Y$32:Y36)</f>
        <v>1</v>
      </c>
      <c r="AA36" s="262"/>
      <c r="AJ36" s="150"/>
      <c r="AK36" s="150"/>
      <c r="AL36" s="150"/>
      <c r="AM36" s="150"/>
      <c r="AN36" s="150"/>
      <c r="AO36" s="150"/>
    </row>
    <row r="37" spans="1:41" ht="14.25" customHeight="1" x14ac:dyDescent="0.3">
      <c r="A37" s="150"/>
      <c r="B37" s="169">
        <f t="shared" si="7"/>
        <v>22.5</v>
      </c>
      <c r="C37" s="168">
        <f t="shared" si="8"/>
        <v>25</v>
      </c>
      <c r="D37" s="168">
        <f t="shared" si="9"/>
        <v>27.4</v>
      </c>
      <c r="E37" s="154">
        <f t="shared" si="10"/>
        <v>0.90680557614401025</v>
      </c>
      <c r="F37" s="170">
        <f t="shared" si="11"/>
        <v>0.97839669399510598</v>
      </c>
      <c r="G37" s="236"/>
      <c r="H37" s="155">
        <f t="shared" si="4"/>
        <v>8</v>
      </c>
      <c r="I37" s="154">
        <v>0.42536424221045255</v>
      </c>
      <c r="J37" s="153">
        <v>0.56495571618623164</v>
      </c>
      <c r="K37" s="232">
        <f t="shared" ca="1" si="0"/>
        <v>17.5</v>
      </c>
      <c r="L37" s="235">
        <f t="shared" ca="1" si="1"/>
        <v>18.064955716186233</v>
      </c>
      <c r="M37" s="150"/>
      <c r="N37" s="245">
        <f t="shared" ca="1" si="2"/>
        <v>12.5</v>
      </c>
      <c r="O37" s="246">
        <f t="shared" ca="1" si="3"/>
        <v>13.064955716186232</v>
      </c>
      <c r="P37" s="237"/>
      <c r="Q37" s="168">
        <v>32.4</v>
      </c>
      <c r="R37" s="127">
        <v>32.4</v>
      </c>
      <c r="S37" s="128">
        <v>1</v>
      </c>
      <c r="T37" s="253">
        <f t="shared" si="5"/>
        <v>2.8571428571428571E-2</v>
      </c>
      <c r="U37" s="253">
        <f>SUM($T$32:T37)</f>
        <v>0.99999999999999989</v>
      </c>
      <c r="V37" s="151"/>
      <c r="W37" s="250">
        <v>32.4</v>
      </c>
      <c r="X37" s="251">
        <v>0</v>
      </c>
      <c r="Y37" s="252">
        <f t="shared" si="6"/>
        <v>0</v>
      </c>
      <c r="Z37" s="262">
        <f>SUM($Y$32:Y37)</f>
        <v>1</v>
      </c>
      <c r="AA37" s="262"/>
      <c r="AI37" s="156"/>
      <c r="AJ37" s="150"/>
      <c r="AK37" s="150"/>
      <c r="AL37" s="150"/>
      <c r="AM37" s="150"/>
      <c r="AN37" s="150"/>
      <c r="AO37" s="150"/>
    </row>
    <row r="38" spans="1:41" ht="14.4" x14ac:dyDescent="0.3">
      <c r="A38" s="150"/>
      <c r="B38" s="169">
        <f t="shared" si="7"/>
        <v>27.5</v>
      </c>
      <c r="C38" s="168">
        <f t="shared" si="8"/>
        <v>30</v>
      </c>
      <c r="D38" s="168">
        <f t="shared" si="9"/>
        <v>32.4</v>
      </c>
      <c r="E38" s="154">
        <f t="shared" si="10"/>
        <v>0.99083654083863726</v>
      </c>
      <c r="F38" s="170">
        <f t="shared" si="11"/>
        <v>0.99909860465662714</v>
      </c>
      <c r="G38" s="236"/>
      <c r="H38" s="155">
        <f t="shared" si="4"/>
        <v>9</v>
      </c>
      <c r="I38" s="154">
        <v>0.65355482809859311</v>
      </c>
      <c r="J38" s="153">
        <v>0.89368689078361163</v>
      </c>
      <c r="K38" s="232">
        <f t="shared" ca="1" si="0"/>
        <v>22.5</v>
      </c>
      <c r="L38" s="235">
        <f t="shared" ca="1" si="1"/>
        <v>23.393686890783613</v>
      </c>
      <c r="M38" s="150"/>
      <c r="N38" s="245">
        <f t="shared" ca="1" si="2"/>
        <v>17.5</v>
      </c>
      <c r="O38" s="246">
        <f t="shared" ca="1" si="3"/>
        <v>18.393686890783613</v>
      </c>
      <c r="P38" s="237"/>
      <c r="Q38" s="168">
        <v>37.4</v>
      </c>
      <c r="R38" s="127">
        <v>37.4</v>
      </c>
      <c r="S38" s="128">
        <v>0</v>
      </c>
      <c r="T38" s="253">
        <f t="shared" si="5"/>
        <v>0</v>
      </c>
      <c r="U38" s="253">
        <f>SUM($T$32:T38)</f>
        <v>0.99999999999999989</v>
      </c>
      <c r="V38" s="151"/>
      <c r="W38" s="250">
        <v>37.4</v>
      </c>
      <c r="X38" s="251">
        <v>0</v>
      </c>
      <c r="Y38" s="252">
        <f t="shared" si="6"/>
        <v>0</v>
      </c>
      <c r="Z38" s="262">
        <f>SUM($Y$32:Y38)</f>
        <v>1</v>
      </c>
      <c r="AA38" s="262"/>
      <c r="AJ38" s="150"/>
      <c r="AK38" s="150"/>
      <c r="AL38" s="150"/>
      <c r="AM38" s="150"/>
      <c r="AN38" s="150"/>
      <c r="AO38" s="150"/>
    </row>
    <row r="39" spans="1:41" ht="14.4" x14ac:dyDescent="0.3">
      <c r="A39" s="150"/>
      <c r="B39" s="169">
        <f t="shared" si="7"/>
        <v>32.5</v>
      </c>
      <c r="C39" s="168">
        <f t="shared" si="8"/>
        <v>35</v>
      </c>
      <c r="D39" s="168">
        <f t="shared" si="9"/>
        <v>37.4</v>
      </c>
      <c r="E39" s="154">
        <f t="shared" si="10"/>
        <v>0.99975702806668976</v>
      </c>
      <c r="F39" s="170">
        <f t="shared" si="11"/>
        <v>0.99999214325594632</v>
      </c>
      <c r="G39" s="236"/>
      <c r="H39" s="155">
        <f t="shared" si="4"/>
        <v>10</v>
      </c>
      <c r="I39" s="154">
        <v>0.31093059792404276</v>
      </c>
      <c r="J39" s="153">
        <v>0.47127422821955778</v>
      </c>
      <c r="K39" s="232">
        <f t="shared" ca="1" si="0"/>
        <v>17.5</v>
      </c>
      <c r="L39" s="235">
        <f t="shared" ca="1" si="1"/>
        <v>17.971274228219556</v>
      </c>
      <c r="M39" s="150"/>
      <c r="N39" s="245">
        <f t="shared" ca="1" si="2"/>
        <v>12.5</v>
      </c>
      <c r="O39" s="246">
        <f t="shared" ca="1" si="3"/>
        <v>12.971274228219558</v>
      </c>
      <c r="P39" s="237"/>
      <c r="Q39" s="168">
        <v>42.4</v>
      </c>
      <c r="R39" s="127">
        <v>42.4</v>
      </c>
      <c r="S39" s="128">
        <v>0</v>
      </c>
      <c r="T39" s="253">
        <f t="shared" si="5"/>
        <v>0</v>
      </c>
      <c r="U39" s="253">
        <f>SUM($T$32:T39)</f>
        <v>0.99999999999999989</v>
      </c>
      <c r="V39" s="151"/>
      <c r="W39" s="250">
        <v>42.4</v>
      </c>
      <c r="X39" s="251">
        <v>0</v>
      </c>
      <c r="Y39" s="252">
        <f t="shared" si="6"/>
        <v>0</v>
      </c>
      <c r="Z39" s="262">
        <f>SUM($Y$32:Y39)</f>
        <v>1</v>
      </c>
      <c r="AA39" s="262"/>
      <c r="AJ39" s="150"/>
      <c r="AK39" s="150"/>
      <c r="AL39" s="150"/>
      <c r="AM39" s="150"/>
      <c r="AN39" s="150"/>
      <c r="AO39" s="150"/>
    </row>
    <row r="40" spans="1:41" ht="15" thickBot="1" x14ac:dyDescent="0.35">
      <c r="A40" s="150"/>
      <c r="B40" s="169">
        <f t="shared" si="7"/>
        <v>37.5</v>
      </c>
      <c r="C40" s="168">
        <f t="shared" si="8"/>
        <v>40</v>
      </c>
      <c r="D40" s="168">
        <f t="shared" si="9"/>
        <v>42.4</v>
      </c>
      <c r="E40" s="154">
        <f t="shared" si="10"/>
        <v>0.99999881073551433</v>
      </c>
      <c r="F40" s="170">
        <f t="shared" si="11"/>
        <v>0.99999999044197152</v>
      </c>
      <c r="G40" s="236"/>
      <c r="H40" s="155">
        <f t="shared" si="4"/>
        <v>11</v>
      </c>
      <c r="I40" s="154">
        <v>0.90081683825633985</v>
      </c>
      <c r="J40" s="153">
        <v>0.51649831915474376</v>
      </c>
      <c r="K40" s="232">
        <f t="shared" ca="1" si="0"/>
        <v>22.5</v>
      </c>
      <c r="L40" s="235">
        <f t="shared" ca="1" si="1"/>
        <v>23.016498319154742</v>
      </c>
      <c r="M40" s="150"/>
      <c r="N40" s="245">
        <f t="shared" ca="1" si="2"/>
        <v>22.5</v>
      </c>
      <c r="O40" s="246">
        <f t="shared" ca="1" si="3"/>
        <v>23.016498319154742</v>
      </c>
      <c r="P40" s="237"/>
      <c r="Q40" s="162"/>
      <c r="R40" s="122" t="s">
        <v>101</v>
      </c>
      <c r="S40" s="122">
        <v>0</v>
      </c>
      <c r="T40" s="249">
        <f t="shared" si="5"/>
        <v>0</v>
      </c>
      <c r="U40" s="249">
        <f>SUM($T$32:T40)</f>
        <v>0.99999999999999989</v>
      </c>
      <c r="V40" s="151"/>
      <c r="W40" s="122" t="s">
        <v>101</v>
      </c>
      <c r="X40" s="122">
        <v>0</v>
      </c>
      <c r="Y40" s="249">
        <f t="shared" si="6"/>
        <v>0</v>
      </c>
      <c r="Z40" s="263">
        <f>SUM($Y$32:Y40)</f>
        <v>1</v>
      </c>
      <c r="AA40" s="263"/>
      <c r="AJ40" s="150"/>
      <c r="AK40" s="150"/>
      <c r="AL40" s="150"/>
      <c r="AM40" s="150"/>
      <c r="AN40" s="150"/>
      <c r="AO40" s="150"/>
    </row>
    <row r="41" spans="1:41" x14ac:dyDescent="0.25">
      <c r="A41" s="150"/>
      <c r="B41" s="166"/>
      <c r="C41" s="165"/>
      <c r="D41" s="164"/>
      <c r="E41" s="163"/>
      <c r="F41" s="161"/>
      <c r="G41" s="236"/>
      <c r="H41" s="155">
        <f t="shared" si="4"/>
        <v>12</v>
      </c>
      <c r="I41" s="154">
        <v>0.45929290845424398</v>
      </c>
      <c r="J41" s="153">
        <v>0.24782302731203609</v>
      </c>
      <c r="K41" s="232">
        <f t="shared" ca="1" si="0"/>
        <v>17.5</v>
      </c>
      <c r="L41" s="235">
        <f t="shared" ca="1" si="1"/>
        <v>17.747823027312037</v>
      </c>
      <c r="M41" s="150"/>
      <c r="N41" s="245">
        <f t="shared" ca="1" si="2"/>
        <v>12.5</v>
      </c>
      <c r="O41" s="246">
        <f t="shared" ca="1" si="3"/>
        <v>12.747823027312036</v>
      </c>
      <c r="P41" s="237"/>
      <c r="Q41" s="162"/>
      <c r="R41" s="150"/>
      <c r="S41" s="152">
        <f>SUM(S32:S40)</f>
        <v>35</v>
      </c>
      <c r="T41" s="242"/>
      <c r="U41" s="242"/>
      <c r="V41" s="151"/>
      <c r="X41" s="145">
        <f>SUM(X32:X40)</f>
        <v>35</v>
      </c>
      <c r="AJ41" s="150"/>
      <c r="AK41" s="150"/>
      <c r="AL41" s="150"/>
      <c r="AM41" s="150"/>
      <c r="AN41" s="150"/>
      <c r="AO41" s="150"/>
    </row>
    <row r="42" spans="1:41" ht="12.75" customHeight="1" x14ac:dyDescent="0.25">
      <c r="A42" s="145"/>
      <c r="B42" s="145"/>
      <c r="C42" s="145"/>
      <c r="D42" s="145"/>
      <c r="E42" s="145"/>
      <c r="F42" s="145"/>
      <c r="G42" s="236"/>
      <c r="H42" s="155">
        <f t="shared" si="4"/>
        <v>13</v>
      </c>
      <c r="I42" s="154">
        <v>0.62153326274898157</v>
      </c>
      <c r="J42" s="153">
        <v>0.29356588462589273</v>
      </c>
      <c r="K42" s="232">
        <f t="shared" ca="1" si="0"/>
        <v>17.5</v>
      </c>
      <c r="L42" s="235">
        <f t="shared" ca="1" si="1"/>
        <v>17.793565884625892</v>
      </c>
      <c r="M42" s="150"/>
      <c r="N42" s="245">
        <f t="shared" ca="1" si="2"/>
        <v>17.5</v>
      </c>
      <c r="O42" s="246">
        <f t="shared" ca="1" si="3"/>
        <v>17.793565884625892</v>
      </c>
      <c r="P42" s="237"/>
      <c r="Q42" s="162"/>
      <c r="R42" s="150"/>
      <c r="S42" s="152"/>
      <c r="T42" s="242"/>
      <c r="U42" s="242"/>
      <c r="V42" s="151"/>
      <c r="AJ42" s="150"/>
      <c r="AK42" s="150"/>
      <c r="AL42" s="150"/>
      <c r="AM42" s="150"/>
      <c r="AN42" s="150"/>
      <c r="AO42" s="150"/>
    </row>
    <row r="43" spans="1:41" x14ac:dyDescent="0.25">
      <c r="A43" s="145"/>
      <c r="B43" s="145"/>
      <c r="C43" s="145"/>
      <c r="D43" s="145"/>
      <c r="E43" s="161">
        <f>1-1/(EXP(((D33-$G$12)/$G$13))^$G$14)</f>
        <v>0.53214993496138174</v>
      </c>
      <c r="G43" s="236"/>
      <c r="H43" s="155">
        <f t="shared" si="4"/>
        <v>14</v>
      </c>
      <c r="I43" s="154">
        <v>0.3954821174973947</v>
      </c>
      <c r="J43" s="153">
        <v>0.8683217200579596</v>
      </c>
      <c r="K43" s="232">
        <f t="shared" ca="1" si="0"/>
        <v>17.5</v>
      </c>
      <c r="L43" s="235">
        <f t="shared" ca="1" si="1"/>
        <v>18.36832172005796</v>
      </c>
      <c r="M43" s="150"/>
      <c r="N43" s="245">
        <f t="shared" ca="1" si="2"/>
        <v>12.5</v>
      </c>
      <c r="O43" s="246">
        <f t="shared" ca="1" si="3"/>
        <v>13.36832172005796</v>
      </c>
      <c r="P43" s="237"/>
      <c r="Q43" s="162"/>
      <c r="R43" s="150"/>
      <c r="S43" s="152"/>
      <c r="T43" s="242"/>
      <c r="U43" s="242"/>
      <c r="V43" s="151"/>
      <c r="AJ43" s="150"/>
      <c r="AK43" s="150"/>
      <c r="AL43" s="150"/>
      <c r="AM43" s="150"/>
      <c r="AN43" s="150"/>
      <c r="AO43" s="150"/>
    </row>
    <row r="44" spans="1:41" x14ac:dyDescent="0.25">
      <c r="A44" s="145"/>
      <c r="B44" s="145"/>
      <c r="C44" s="145"/>
      <c r="D44" s="145"/>
      <c r="E44" s="145"/>
      <c r="F44" s="152"/>
      <c r="G44" s="236"/>
      <c r="H44" s="155">
        <f t="shared" si="4"/>
        <v>15</v>
      </c>
      <c r="I44" s="154">
        <v>0.62672699955218814</v>
      </c>
      <c r="J44" s="153">
        <v>0.6645284943646913</v>
      </c>
      <c r="K44" s="232">
        <f t="shared" ca="1" si="0"/>
        <v>17.5</v>
      </c>
      <c r="L44" s="235">
        <f t="shared" ca="1" si="1"/>
        <v>18.164528494364692</v>
      </c>
      <c r="M44" s="150"/>
      <c r="N44" s="245">
        <f t="shared" ca="1" si="2"/>
        <v>17.5</v>
      </c>
      <c r="O44" s="246">
        <f t="shared" ca="1" si="3"/>
        <v>18.164528494364692</v>
      </c>
      <c r="P44" s="237"/>
      <c r="Q44" s="150"/>
      <c r="R44" s="150"/>
      <c r="S44" s="152"/>
      <c r="T44" s="242"/>
      <c r="U44" s="242"/>
      <c r="V44" s="151"/>
      <c r="AJ44" s="150"/>
      <c r="AK44" s="150"/>
      <c r="AL44" s="150"/>
      <c r="AM44" s="150"/>
      <c r="AN44" s="150"/>
      <c r="AO44" s="150"/>
    </row>
    <row r="45" spans="1:41" x14ac:dyDescent="0.25">
      <c r="A45" s="145"/>
      <c r="B45" s="145"/>
      <c r="C45" s="145"/>
      <c r="D45" s="145"/>
      <c r="E45" s="145"/>
      <c r="F45" s="145"/>
      <c r="G45" s="236"/>
      <c r="H45" s="155">
        <f t="shared" si="4"/>
        <v>16</v>
      </c>
      <c r="I45" s="154">
        <v>0.71367009110841473</v>
      </c>
      <c r="J45" s="153">
        <v>0.73086800361419313</v>
      </c>
      <c r="K45" s="232">
        <f t="shared" ca="1" si="0"/>
        <v>22.5</v>
      </c>
      <c r="L45" s="235">
        <f t="shared" ca="1" si="1"/>
        <v>23.230868003614194</v>
      </c>
      <c r="M45" s="150"/>
      <c r="N45" s="245">
        <f t="shared" ca="1" si="2"/>
        <v>17.5</v>
      </c>
      <c r="O45" s="246">
        <f t="shared" ca="1" si="3"/>
        <v>18.230868003614194</v>
      </c>
      <c r="P45" s="237"/>
      <c r="Q45" s="150"/>
      <c r="R45" s="150"/>
      <c r="S45" s="152"/>
      <c r="T45" s="242"/>
      <c r="U45" s="242"/>
      <c r="V45" s="151"/>
      <c r="AJ45" s="150"/>
      <c r="AK45" s="150"/>
      <c r="AL45" s="150"/>
      <c r="AM45" s="150"/>
      <c r="AN45" s="150"/>
      <c r="AO45" s="150"/>
    </row>
    <row r="46" spans="1:41" x14ac:dyDescent="0.25">
      <c r="A46" s="145"/>
      <c r="B46" s="161"/>
      <c r="C46" s="160"/>
      <c r="D46" s="145"/>
      <c r="E46" s="145"/>
      <c r="F46" s="145"/>
      <c r="G46" s="236"/>
      <c r="H46" s="155">
        <f t="shared" si="4"/>
        <v>17</v>
      </c>
      <c r="I46" s="154">
        <v>5.1858619703973541E-2</v>
      </c>
      <c r="J46" s="153">
        <v>0.55102894910666533</v>
      </c>
      <c r="K46" s="232">
        <f t="shared" ca="1" si="0"/>
        <v>7.5</v>
      </c>
      <c r="L46" s="235">
        <f t="shared" ca="1" si="1"/>
        <v>8.0510289491066658</v>
      </c>
      <c r="M46" s="150"/>
      <c r="N46" s="245">
        <f t="shared" ca="1" si="2"/>
        <v>7.5</v>
      </c>
      <c r="O46" s="246">
        <f t="shared" ca="1" si="3"/>
        <v>8.0510289491066658</v>
      </c>
      <c r="P46" s="237"/>
      <c r="Q46" s="150"/>
      <c r="R46" s="150"/>
      <c r="S46" s="152"/>
      <c r="T46" s="242"/>
      <c r="U46" s="242"/>
      <c r="V46" s="151"/>
      <c r="AJ46" s="150"/>
      <c r="AK46" s="150"/>
      <c r="AL46" s="150"/>
      <c r="AM46" s="150"/>
      <c r="AN46" s="150"/>
      <c r="AO46" s="150"/>
    </row>
    <row r="47" spans="1:41" x14ac:dyDescent="0.25">
      <c r="A47" s="145"/>
      <c r="B47" s="145"/>
      <c r="C47" s="145"/>
      <c r="D47" s="145"/>
      <c r="E47" s="145"/>
      <c r="F47" s="152"/>
      <c r="G47" s="236"/>
      <c r="H47" s="155">
        <f t="shared" si="4"/>
        <v>18</v>
      </c>
      <c r="I47" s="154">
        <v>0.38092922823765596</v>
      </c>
      <c r="J47" s="153">
        <v>0.6367622659915092</v>
      </c>
      <c r="K47" s="232">
        <f t="shared" ca="1" si="0"/>
        <v>17.5</v>
      </c>
      <c r="L47" s="235">
        <f t="shared" ca="1" si="1"/>
        <v>18.136762265991511</v>
      </c>
      <c r="M47" s="150"/>
      <c r="N47" s="245">
        <f t="shared" ca="1" si="2"/>
        <v>12.5</v>
      </c>
      <c r="O47" s="246">
        <f t="shared" ca="1" si="3"/>
        <v>13.136762265991509</v>
      </c>
      <c r="P47" s="237"/>
      <c r="Q47" s="150"/>
      <c r="R47" s="150"/>
      <c r="S47" s="152"/>
      <c r="T47" s="242"/>
      <c r="U47" s="242"/>
      <c r="V47" s="151"/>
      <c r="AJ47" s="150"/>
      <c r="AK47" s="150"/>
      <c r="AL47" s="150"/>
      <c r="AM47" s="150"/>
      <c r="AN47" s="150"/>
      <c r="AO47" s="150"/>
    </row>
    <row r="48" spans="1:41" x14ac:dyDescent="0.25">
      <c r="A48" s="145"/>
      <c r="B48" s="145"/>
      <c r="C48" s="145"/>
      <c r="D48" s="145"/>
      <c r="E48" s="145"/>
      <c r="F48" s="145"/>
      <c r="G48" s="236"/>
      <c r="H48" s="155">
        <f t="shared" si="4"/>
        <v>19</v>
      </c>
      <c r="I48" s="154">
        <v>0.12096591020071401</v>
      </c>
      <c r="J48" s="153">
        <v>0.53909951008718693</v>
      </c>
      <c r="K48" s="232">
        <f t="shared" ca="1" si="0"/>
        <v>12.5</v>
      </c>
      <c r="L48" s="235">
        <f t="shared" ca="1" si="1"/>
        <v>13.039099510087187</v>
      </c>
      <c r="M48" s="150"/>
      <c r="N48" s="245">
        <f t="shared" ca="1" si="2"/>
        <v>7.5</v>
      </c>
      <c r="O48" s="246">
        <f t="shared" ca="1" si="3"/>
        <v>8.0390995100871869</v>
      </c>
      <c r="P48" s="237"/>
      <c r="Q48" s="150"/>
      <c r="R48" s="150"/>
      <c r="S48" s="152"/>
      <c r="T48" s="242"/>
      <c r="U48" s="242"/>
      <c r="V48" s="151"/>
      <c r="AJ48" s="150"/>
      <c r="AK48" s="150"/>
      <c r="AL48" s="150"/>
      <c r="AM48" s="150"/>
      <c r="AN48" s="150"/>
      <c r="AO48" s="150"/>
    </row>
    <row r="49" spans="1:41" x14ac:dyDescent="0.25">
      <c r="A49" s="145"/>
      <c r="B49" s="145"/>
      <c r="C49" s="145"/>
      <c r="D49" s="145"/>
      <c r="E49" s="159"/>
      <c r="F49" s="158"/>
      <c r="G49" s="236"/>
      <c r="H49" s="155">
        <f t="shared" si="4"/>
        <v>20</v>
      </c>
      <c r="I49" s="154">
        <v>0.60521631263023745</v>
      </c>
      <c r="J49" s="153">
        <v>0.85986031125257467</v>
      </c>
      <c r="K49" s="232">
        <f t="shared" ca="1" si="0"/>
        <v>17.5</v>
      </c>
      <c r="L49" s="235">
        <f t="shared" ca="1" si="1"/>
        <v>18.359860311252575</v>
      </c>
      <c r="M49" s="150"/>
      <c r="N49" s="245">
        <f t="shared" ca="1" si="2"/>
        <v>17.5</v>
      </c>
      <c r="O49" s="246">
        <f t="shared" ca="1" si="3"/>
        <v>18.359860311252575</v>
      </c>
      <c r="P49" s="237"/>
      <c r="Q49" s="150"/>
      <c r="R49" s="150"/>
      <c r="S49" s="152"/>
      <c r="T49" s="242"/>
      <c r="U49" s="242"/>
      <c r="V49" s="151"/>
      <c r="AJ49" s="150"/>
      <c r="AK49" s="150"/>
      <c r="AL49" s="150"/>
      <c r="AM49" s="150"/>
      <c r="AN49" s="150"/>
      <c r="AO49" s="150"/>
    </row>
    <row r="50" spans="1:41" x14ac:dyDescent="0.25">
      <c r="A50" s="145"/>
      <c r="B50" s="145"/>
      <c r="C50" s="145"/>
      <c r="D50" s="145"/>
      <c r="E50" s="145"/>
      <c r="F50" s="145"/>
      <c r="G50" s="236"/>
      <c r="H50" s="155">
        <f t="shared" si="4"/>
        <v>21</v>
      </c>
      <c r="I50" s="154">
        <v>0.80063272873012381</v>
      </c>
      <c r="J50" s="153">
        <v>0.38299781709357894</v>
      </c>
      <c r="K50" s="232">
        <f t="shared" ca="1" si="0"/>
        <v>22.5</v>
      </c>
      <c r="L50" s="235">
        <f t="shared" ca="1" si="1"/>
        <v>22.882997817093578</v>
      </c>
      <c r="M50" s="150"/>
      <c r="N50" s="245">
        <f t="shared" ca="1" si="2"/>
        <v>17.5</v>
      </c>
      <c r="O50" s="246">
        <f t="shared" ca="1" si="3"/>
        <v>17.882997817093578</v>
      </c>
      <c r="P50" s="237"/>
      <c r="Q50" s="150"/>
      <c r="R50" s="150"/>
      <c r="S50" s="152"/>
      <c r="T50" s="242"/>
      <c r="U50" s="242"/>
      <c r="V50" s="151"/>
      <c r="AJ50" s="150"/>
      <c r="AK50" s="150"/>
      <c r="AL50" s="150"/>
      <c r="AM50" s="150"/>
      <c r="AN50" s="150"/>
      <c r="AO50" s="150"/>
    </row>
    <row r="51" spans="1:41" x14ac:dyDescent="0.25">
      <c r="A51" s="145"/>
      <c r="B51" s="157"/>
      <c r="C51" s="145"/>
      <c r="D51" s="145"/>
      <c r="E51" s="145"/>
      <c r="F51" s="145"/>
      <c r="G51" s="236"/>
      <c r="H51" s="155">
        <f t="shared" si="4"/>
        <v>22</v>
      </c>
      <c r="I51" s="154">
        <v>0.56477429180834715</v>
      </c>
      <c r="J51" s="153">
        <v>0.23052707533178407</v>
      </c>
      <c r="K51" s="232">
        <f t="shared" ca="1" si="0"/>
        <v>17.5</v>
      </c>
      <c r="L51" s="235">
        <f t="shared" ca="1" si="1"/>
        <v>17.730527075331786</v>
      </c>
      <c r="M51" s="150"/>
      <c r="N51" s="245">
        <f t="shared" ca="1" si="2"/>
        <v>17.5</v>
      </c>
      <c r="O51" s="246">
        <f t="shared" ca="1" si="3"/>
        <v>17.730527075331786</v>
      </c>
      <c r="P51" s="237"/>
      <c r="Q51" s="150"/>
      <c r="R51" s="150"/>
      <c r="S51" s="152"/>
      <c r="T51" s="242"/>
      <c r="U51" s="242"/>
      <c r="V51" s="151"/>
      <c r="W51" s="156"/>
      <c r="AJ51" s="150"/>
      <c r="AK51" s="150"/>
      <c r="AL51" s="150"/>
      <c r="AM51" s="150"/>
      <c r="AN51" s="150"/>
      <c r="AO51" s="150"/>
    </row>
    <row r="52" spans="1:41" x14ac:dyDescent="0.25">
      <c r="A52" s="145"/>
      <c r="B52" s="145"/>
      <c r="C52" s="145"/>
      <c r="D52" s="145"/>
      <c r="E52" s="145"/>
      <c r="F52" s="145"/>
      <c r="G52" s="236"/>
      <c r="H52" s="155">
        <f t="shared" si="4"/>
        <v>23</v>
      </c>
      <c r="I52" s="154">
        <v>4.6406419971926849E-2</v>
      </c>
      <c r="J52" s="153">
        <v>0.9236046344067117</v>
      </c>
      <c r="K52" s="232">
        <f t="shared" ca="1" si="0"/>
        <v>7.5</v>
      </c>
      <c r="L52" s="235">
        <f t="shared" ca="1" si="1"/>
        <v>8.4236046344067113</v>
      </c>
      <c r="M52" s="150"/>
      <c r="N52" s="245">
        <f t="shared" ca="1" si="2"/>
        <v>7.5</v>
      </c>
      <c r="O52" s="246">
        <f t="shared" ca="1" si="3"/>
        <v>8.4236046344067113</v>
      </c>
      <c r="P52" s="237"/>
      <c r="Q52" s="150"/>
      <c r="R52" s="150"/>
      <c r="S52" s="152"/>
      <c r="T52" s="242"/>
      <c r="U52" s="242"/>
      <c r="V52" s="151"/>
      <c r="AJ52" s="150"/>
      <c r="AK52" s="150"/>
      <c r="AL52" s="150"/>
      <c r="AM52" s="150"/>
      <c r="AN52" s="150"/>
      <c r="AO52" s="150"/>
    </row>
    <row r="53" spans="1:41" x14ac:dyDescent="0.25">
      <c r="A53" s="145"/>
      <c r="B53" s="145"/>
      <c r="C53" s="145"/>
      <c r="D53" s="145"/>
      <c r="E53" s="145"/>
      <c r="F53" s="145"/>
      <c r="G53" s="236"/>
      <c r="H53" s="155">
        <f t="shared" si="4"/>
        <v>24</v>
      </c>
      <c r="I53" s="154">
        <v>0.72196227853071904</v>
      </c>
      <c r="J53" s="153">
        <v>0.55461580581795378</v>
      </c>
      <c r="K53" s="232">
        <f t="shared" ca="1" si="0"/>
        <v>22.5</v>
      </c>
      <c r="L53" s="235">
        <f t="shared" ca="1" si="1"/>
        <v>23.054615805817953</v>
      </c>
      <c r="M53" s="150"/>
      <c r="N53" s="245">
        <f t="shared" ca="1" si="2"/>
        <v>17.5</v>
      </c>
      <c r="O53" s="246">
        <f t="shared" ca="1" si="3"/>
        <v>18.054615805817953</v>
      </c>
      <c r="P53" s="237"/>
      <c r="Q53" s="150"/>
      <c r="R53" s="150"/>
      <c r="S53" s="152"/>
      <c r="T53" s="242"/>
      <c r="U53" s="242"/>
      <c r="V53" s="151"/>
      <c r="AJ53" s="150"/>
      <c r="AK53" s="150"/>
      <c r="AL53" s="150"/>
      <c r="AM53" s="150"/>
      <c r="AN53" s="150"/>
      <c r="AO53" s="150"/>
    </row>
    <row r="54" spans="1:41" x14ac:dyDescent="0.25">
      <c r="A54" s="145"/>
      <c r="B54" s="145"/>
      <c r="C54" s="145"/>
      <c r="D54" s="145"/>
      <c r="E54" s="145"/>
      <c r="F54" s="145"/>
      <c r="G54" s="236"/>
      <c r="H54" s="155">
        <f t="shared" si="4"/>
        <v>25</v>
      </c>
      <c r="I54" s="154">
        <v>8.6054513925651333E-2</v>
      </c>
      <c r="J54" s="153">
        <v>0.62518347281933095</v>
      </c>
      <c r="K54" s="232">
        <f t="shared" ca="1" si="0"/>
        <v>12.5</v>
      </c>
      <c r="L54" s="235">
        <f t="shared" ca="1" si="1"/>
        <v>13.12518347281933</v>
      </c>
      <c r="M54" s="150"/>
      <c r="N54" s="245">
        <f t="shared" ca="1" si="2"/>
        <v>7.5</v>
      </c>
      <c r="O54" s="246">
        <f t="shared" ca="1" si="3"/>
        <v>8.1251834728193302</v>
      </c>
      <c r="P54" s="237"/>
      <c r="Q54" s="150"/>
      <c r="R54" s="150"/>
      <c r="S54" s="152"/>
      <c r="T54" s="242"/>
      <c r="U54" s="242"/>
      <c r="V54" s="151"/>
      <c r="AJ54" s="150"/>
      <c r="AK54" s="150"/>
      <c r="AL54" s="150"/>
      <c r="AM54" s="150"/>
      <c r="AN54" s="150"/>
      <c r="AO54" s="150"/>
    </row>
    <row r="55" spans="1:41" x14ac:dyDescent="0.25">
      <c r="A55" s="145"/>
      <c r="B55" s="145"/>
      <c r="C55" s="145"/>
      <c r="D55" s="145"/>
      <c r="E55" s="145"/>
      <c r="F55" s="145"/>
      <c r="G55" s="236"/>
      <c r="H55" s="155">
        <f t="shared" si="4"/>
        <v>26</v>
      </c>
      <c r="I55" s="154">
        <v>0.22775480014343885</v>
      </c>
      <c r="J55" s="153">
        <v>0.8024947967926721</v>
      </c>
      <c r="K55" s="232">
        <f t="shared" ca="1" si="0"/>
        <v>12.5</v>
      </c>
      <c r="L55" s="235">
        <f t="shared" ca="1" si="1"/>
        <v>13.302494796792672</v>
      </c>
      <c r="M55" s="150"/>
      <c r="N55" s="245">
        <f t="shared" ca="1" si="2"/>
        <v>12.5</v>
      </c>
      <c r="O55" s="246">
        <f t="shared" ca="1" si="3"/>
        <v>13.302494796792672</v>
      </c>
      <c r="P55" s="237"/>
      <c r="Q55" s="150"/>
      <c r="R55" s="150"/>
      <c r="S55" s="152"/>
      <c r="T55" s="242"/>
      <c r="U55" s="242"/>
      <c r="V55" s="151"/>
      <c r="AJ55" s="150"/>
      <c r="AK55" s="150"/>
      <c r="AL55" s="150"/>
      <c r="AM55" s="150"/>
      <c r="AN55" s="150"/>
      <c r="AO55" s="150"/>
    </row>
    <row r="56" spans="1:41" x14ac:dyDescent="0.25">
      <c r="A56" s="145"/>
      <c r="B56" s="145"/>
      <c r="C56" s="145"/>
      <c r="D56" s="145"/>
      <c r="E56" s="145"/>
      <c r="F56" s="145"/>
      <c r="G56" s="236"/>
      <c r="H56" s="155">
        <f t="shared" si="4"/>
        <v>27</v>
      </c>
      <c r="I56" s="154">
        <v>0.51058854772343965</v>
      </c>
      <c r="J56" s="153">
        <v>0.27666978039637624</v>
      </c>
      <c r="K56" s="232">
        <f t="shared" ca="1" si="0"/>
        <v>17.5</v>
      </c>
      <c r="L56" s="235">
        <f t="shared" ca="1" si="1"/>
        <v>17.776669780396375</v>
      </c>
      <c r="M56" s="150"/>
      <c r="N56" s="245">
        <f t="shared" ca="1" si="2"/>
        <v>12.5</v>
      </c>
      <c r="O56" s="246">
        <f t="shared" ca="1" si="3"/>
        <v>12.776669780396377</v>
      </c>
      <c r="P56" s="237"/>
      <c r="Q56" s="150"/>
      <c r="R56" s="150"/>
      <c r="S56" s="152"/>
      <c r="T56" s="242"/>
      <c r="U56" s="242"/>
      <c r="V56" s="151"/>
      <c r="AJ56" s="150"/>
      <c r="AK56" s="150"/>
      <c r="AL56" s="150"/>
      <c r="AM56" s="150"/>
      <c r="AN56" s="150"/>
      <c r="AO56" s="150"/>
    </row>
    <row r="57" spans="1:41" x14ac:dyDescent="0.25">
      <c r="A57" s="145"/>
      <c r="B57" s="145"/>
      <c r="C57" s="145"/>
      <c r="D57" s="145"/>
      <c r="E57" s="145"/>
      <c r="F57" s="145"/>
      <c r="G57" s="236"/>
      <c r="H57" s="155">
        <f t="shared" si="4"/>
        <v>28</v>
      </c>
      <c r="I57" s="154">
        <v>0.33789940861064138</v>
      </c>
      <c r="J57" s="153">
        <v>0.18161405268687303</v>
      </c>
      <c r="K57" s="232">
        <f t="shared" ca="1" si="0"/>
        <v>17.5</v>
      </c>
      <c r="L57" s="235">
        <f t="shared" ca="1" si="1"/>
        <v>17.681614052686871</v>
      </c>
      <c r="M57" s="150"/>
      <c r="N57" s="245">
        <f t="shared" ca="1" si="2"/>
        <v>12.5</v>
      </c>
      <c r="O57" s="246">
        <f t="shared" ca="1" si="3"/>
        <v>12.681614052686873</v>
      </c>
      <c r="P57" s="237"/>
      <c r="Q57" s="150"/>
      <c r="R57" s="150"/>
      <c r="S57" s="152"/>
      <c r="T57" s="242"/>
      <c r="U57" s="242"/>
      <c r="V57" s="151"/>
      <c r="AJ57" s="150"/>
      <c r="AK57" s="150"/>
      <c r="AL57" s="150"/>
      <c r="AM57" s="150"/>
      <c r="AN57" s="150"/>
      <c r="AO57" s="150"/>
    </row>
    <row r="58" spans="1:41" x14ac:dyDescent="0.25">
      <c r="A58" s="145"/>
      <c r="B58" s="145"/>
      <c r="C58" s="145"/>
      <c r="D58" s="145"/>
      <c r="E58" s="145"/>
      <c r="F58" s="145"/>
      <c r="G58" s="236"/>
      <c r="H58" s="155">
        <f t="shared" si="4"/>
        <v>29</v>
      </c>
      <c r="I58" s="154">
        <v>0.90935550342818539</v>
      </c>
      <c r="J58" s="153">
        <v>0.96408104112418092</v>
      </c>
      <c r="K58" s="232">
        <f t="shared" ca="1" si="0"/>
        <v>27.5</v>
      </c>
      <c r="L58" s="235">
        <f t="shared" ca="1" si="1"/>
        <v>28.464081041124182</v>
      </c>
      <c r="M58" s="150"/>
      <c r="N58" s="245">
        <f t="shared" ca="1" si="2"/>
        <v>22.5</v>
      </c>
      <c r="O58" s="246">
        <f t="shared" ca="1" si="3"/>
        <v>23.464081041124182</v>
      </c>
      <c r="P58" s="237"/>
      <c r="Q58" s="150"/>
      <c r="R58" s="150"/>
      <c r="S58" s="152"/>
      <c r="T58" s="242"/>
      <c r="U58" s="242"/>
      <c r="V58" s="151"/>
      <c r="AJ58" s="150"/>
      <c r="AK58" s="150"/>
      <c r="AL58" s="150"/>
      <c r="AM58" s="150"/>
      <c r="AN58" s="150"/>
      <c r="AO58" s="150"/>
    </row>
    <row r="59" spans="1:41" x14ac:dyDescent="0.25">
      <c r="A59" s="145"/>
      <c r="B59" s="145"/>
      <c r="C59" s="145"/>
      <c r="D59" s="145"/>
      <c r="E59" s="145"/>
      <c r="F59" s="145"/>
      <c r="G59" s="236"/>
      <c r="H59" s="155">
        <f t="shared" si="4"/>
        <v>30</v>
      </c>
      <c r="I59" s="154">
        <v>0.54514748125557777</v>
      </c>
      <c r="J59" s="153">
        <v>0.53647849007273807</v>
      </c>
      <c r="K59" s="232">
        <f t="shared" ca="1" si="0"/>
        <v>17.5</v>
      </c>
      <c r="L59" s="235">
        <f t="shared" ca="1" si="1"/>
        <v>18.036478490072739</v>
      </c>
      <c r="M59" s="150"/>
      <c r="N59" s="245">
        <f t="shared" ca="1" si="2"/>
        <v>17.5</v>
      </c>
      <c r="O59" s="246">
        <f t="shared" ca="1" si="3"/>
        <v>18.036478490072739</v>
      </c>
      <c r="P59" s="237"/>
      <c r="Q59" s="150"/>
      <c r="R59" s="150"/>
      <c r="S59" s="152"/>
      <c r="T59" s="242"/>
      <c r="U59" s="242"/>
      <c r="V59" s="151"/>
      <c r="AJ59" s="150"/>
      <c r="AK59" s="150"/>
      <c r="AL59" s="150"/>
      <c r="AM59" s="150"/>
      <c r="AN59" s="150"/>
      <c r="AO59" s="150"/>
    </row>
    <row r="60" spans="1:41" x14ac:dyDescent="0.25">
      <c r="A60" s="145"/>
      <c r="B60" s="145"/>
      <c r="C60" s="145"/>
      <c r="D60" s="145"/>
      <c r="E60" s="145"/>
      <c r="F60" s="145"/>
      <c r="G60" s="236"/>
      <c r="H60" s="155">
        <f t="shared" si="4"/>
        <v>31</v>
      </c>
      <c r="I60" s="154">
        <v>8.0849415561498716E-2</v>
      </c>
      <c r="J60" s="153">
        <v>0.91591272507732335</v>
      </c>
      <c r="K60" s="232">
        <f t="shared" ca="1" si="0"/>
        <v>12.5</v>
      </c>
      <c r="L60" s="235">
        <f t="shared" ca="1" si="1"/>
        <v>13.415912725077323</v>
      </c>
      <c r="M60" s="150"/>
      <c r="N60" s="245">
        <f t="shared" ca="1" si="2"/>
        <v>7.5</v>
      </c>
      <c r="O60" s="246">
        <f t="shared" ca="1" si="3"/>
        <v>8.4159127250773231</v>
      </c>
      <c r="P60" s="237"/>
      <c r="Q60" s="150"/>
      <c r="R60" s="150"/>
      <c r="S60" s="152"/>
      <c r="T60" s="242"/>
      <c r="U60" s="242"/>
      <c r="V60" s="151"/>
      <c r="AJ60" s="150"/>
      <c r="AK60" s="150"/>
      <c r="AL60" s="150"/>
      <c r="AM60" s="150"/>
      <c r="AN60" s="150"/>
      <c r="AO60" s="150"/>
    </row>
    <row r="61" spans="1:41" x14ac:dyDescent="0.25">
      <c r="A61" s="145"/>
      <c r="B61" s="145"/>
      <c r="C61" s="145"/>
      <c r="D61" s="145"/>
      <c r="E61" s="145"/>
      <c r="F61" s="145"/>
      <c r="G61" s="236"/>
      <c r="H61" s="155">
        <f t="shared" si="4"/>
        <v>32</v>
      </c>
      <c r="I61" s="154">
        <v>0.39490958290995404</v>
      </c>
      <c r="J61" s="153">
        <v>0.65444400891195897</v>
      </c>
      <c r="K61" s="232">
        <f t="shared" ca="1" si="0"/>
        <v>17.5</v>
      </c>
      <c r="L61" s="235">
        <f t="shared" ca="1" si="1"/>
        <v>18.154444008911959</v>
      </c>
      <c r="M61" s="150"/>
      <c r="N61" s="245">
        <f t="shared" ca="1" si="2"/>
        <v>12.5</v>
      </c>
      <c r="O61" s="246">
        <f t="shared" ca="1" si="3"/>
        <v>13.154444008911959</v>
      </c>
      <c r="P61" s="237"/>
      <c r="Q61" s="150"/>
      <c r="R61" s="150"/>
      <c r="S61" s="152"/>
      <c r="T61" s="242"/>
      <c r="U61" s="242"/>
      <c r="V61" s="151"/>
      <c r="AJ61" s="150"/>
      <c r="AK61" s="150"/>
      <c r="AL61" s="150"/>
      <c r="AM61" s="150"/>
      <c r="AN61" s="150"/>
      <c r="AO61" s="150"/>
    </row>
    <row r="62" spans="1:41" x14ac:dyDescent="0.25">
      <c r="A62" s="145"/>
      <c r="B62" s="145"/>
      <c r="C62" s="145"/>
      <c r="D62" s="145"/>
      <c r="E62" s="145"/>
      <c r="F62" s="145"/>
      <c r="G62" s="236"/>
      <c r="H62" s="155">
        <f t="shared" si="4"/>
        <v>33</v>
      </c>
      <c r="I62" s="154">
        <v>0.52219143527839773</v>
      </c>
      <c r="J62" s="153">
        <v>0.97766832410246085</v>
      </c>
      <c r="K62" s="232">
        <f t="shared" ca="1" si="0"/>
        <v>17.5</v>
      </c>
      <c r="L62" s="235">
        <f t="shared" ca="1" si="1"/>
        <v>18.47766832410246</v>
      </c>
      <c r="M62" s="150"/>
      <c r="N62" s="245">
        <f t="shared" ca="1" si="2"/>
        <v>12.5</v>
      </c>
      <c r="O62" s="246">
        <f t="shared" ca="1" si="3"/>
        <v>13.47766832410246</v>
      </c>
      <c r="P62" s="237"/>
      <c r="Q62" s="150"/>
      <c r="R62" s="150"/>
      <c r="S62" s="152"/>
      <c r="T62" s="242"/>
      <c r="U62" s="242"/>
      <c r="V62" s="151"/>
      <c r="AJ62" s="150"/>
      <c r="AK62" s="150"/>
      <c r="AL62" s="150"/>
      <c r="AM62" s="150"/>
      <c r="AN62" s="150"/>
      <c r="AO62" s="150"/>
    </row>
    <row r="63" spans="1:41" x14ac:dyDescent="0.25">
      <c r="A63" s="145"/>
      <c r="B63" s="145"/>
      <c r="C63" s="145"/>
      <c r="D63" s="145"/>
      <c r="E63" s="145"/>
      <c r="F63" s="145"/>
      <c r="G63" s="236"/>
      <c r="H63" s="155">
        <f t="shared" si="4"/>
        <v>34</v>
      </c>
      <c r="I63" s="154">
        <v>0.40977459383981074</v>
      </c>
      <c r="J63" s="153">
        <v>3.7019962068379653E-2</v>
      </c>
      <c r="K63" s="232">
        <f t="shared" ca="1" si="0"/>
        <v>17.5</v>
      </c>
      <c r="L63" s="235">
        <f t="shared" ca="1" si="1"/>
        <v>17.537019962068381</v>
      </c>
      <c r="M63" s="150"/>
      <c r="N63" s="245">
        <f t="shared" ca="1" si="2"/>
        <v>12.5</v>
      </c>
      <c r="O63" s="246">
        <f t="shared" ca="1" si="3"/>
        <v>12.53701996206838</v>
      </c>
      <c r="P63" s="237"/>
      <c r="Q63" s="150"/>
      <c r="R63" s="150"/>
      <c r="S63" s="152"/>
      <c r="T63" s="242"/>
      <c r="U63" s="242"/>
      <c r="V63" s="151"/>
      <c r="AJ63" s="150"/>
      <c r="AK63" s="150"/>
      <c r="AL63" s="150"/>
      <c r="AM63" s="150"/>
      <c r="AN63" s="150"/>
      <c r="AO63" s="150"/>
    </row>
    <row r="64" spans="1:41" x14ac:dyDescent="0.25">
      <c r="A64" s="145"/>
      <c r="B64" s="145"/>
      <c r="C64" s="145"/>
      <c r="D64" s="145"/>
      <c r="E64" s="145"/>
      <c r="F64" s="145"/>
      <c r="G64" s="236"/>
      <c r="H64" s="155">
        <f t="shared" si="4"/>
        <v>35</v>
      </c>
      <c r="I64" s="154">
        <v>0.71731202967795848</v>
      </c>
      <c r="J64" s="153">
        <v>0.85724058787334312</v>
      </c>
      <c r="K64" s="232">
        <f t="shared" ca="1" si="0"/>
        <v>22.5</v>
      </c>
      <c r="L64" s="235">
        <f t="shared" ca="1" si="1"/>
        <v>23.357240587873342</v>
      </c>
      <c r="M64" s="150"/>
      <c r="N64" s="245">
        <f t="shared" ca="1" si="2"/>
        <v>17.5</v>
      </c>
      <c r="O64" s="246">
        <f t="shared" ca="1" si="3"/>
        <v>18.357240587873342</v>
      </c>
      <c r="P64" s="237"/>
      <c r="Q64" s="150"/>
      <c r="R64" s="150"/>
      <c r="S64" s="152"/>
      <c r="T64" s="242"/>
      <c r="U64" s="242"/>
      <c r="V64" s="151"/>
      <c r="AJ64" s="150"/>
      <c r="AK64" s="150"/>
      <c r="AL64" s="150"/>
      <c r="AM64" s="150"/>
      <c r="AN64" s="150"/>
      <c r="AO64" s="150"/>
    </row>
    <row r="65" spans="2:16" x14ac:dyDescent="0.25">
      <c r="G65" s="144"/>
      <c r="N65" s="149"/>
      <c r="O65" s="149"/>
      <c r="P65" s="192"/>
    </row>
    <row r="66" spans="2:16" x14ac:dyDescent="0.25">
      <c r="B66" s="148"/>
      <c r="G66" s="144"/>
    </row>
    <row r="67" spans="2:16" x14ac:dyDescent="0.25">
      <c r="B67" s="147"/>
      <c r="G67" s="144"/>
    </row>
    <row r="68" spans="2:16" x14ac:dyDescent="0.25">
      <c r="G68" s="144"/>
    </row>
    <row r="69" spans="2:16" x14ac:dyDescent="0.25">
      <c r="G69" s="144"/>
    </row>
    <row r="70" spans="2:16" x14ac:dyDescent="0.25">
      <c r="G70" s="144"/>
    </row>
    <row r="71" spans="2:16" x14ac:dyDescent="0.25">
      <c r="G71" s="144"/>
    </row>
    <row r="72" spans="2:16" x14ac:dyDescent="0.25">
      <c r="G72" s="144"/>
    </row>
    <row r="73" spans="2:16" x14ac:dyDescent="0.25">
      <c r="G73" s="144"/>
    </row>
    <row r="74" spans="2:16" x14ac:dyDescent="0.25">
      <c r="G74" s="144"/>
    </row>
    <row r="75" spans="2:16" x14ac:dyDescent="0.25">
      <c r="G75" s="144"/>
    </row>
    <row r="76" spans="2:16" x14ac:dyDescent="0.25">
      <c r="G76" s="144"/>
    </row>
    <row r="77" spans="2:16" x14ac:dyDescent="0.25">
      <c r="G77" s="144"/>
    </row>
    <row r="78" spans="2:16" x14ac:dyDescent="0.25">
      <c r="G78" s="144"/>
    </row>
    <row r="79" spans="2:16" x14ac:dyDescent="0.25">
      <c r="G79" s="144"/>
    </row>
    <row r="80" spans="2:16" x14ac:dyDescent="0.25">
      <c r="G80" s="144"/>
    </row>
    <row r="81" spans="7:7" x14ac:dyDescent="0.25">
      <c r="G81" s="144"/>
    </row>
    <row r="82" spans="7:7" ht="12.75" customHeight="1" x14ac:dyDescent="0.25">
      <c r="G82" s="144"/>
    </row>
    <row r="83" spans="7:7" x14ac:dyDescent="0.25">
      <c r="G83" s="144"/>
    </row>
    <row r="84" spans="7:7" x14ac:dyDescent="0.25">
      <c r="G84" s="144"/>
    </row>
    <row r="85" spans="7:7" x14ac:dyDescent="0.25">
      <c r="G85" s="144"/>
    </row>
    <row r="86" spans="7:7" x14ac:dyDescent="0.25">
      <c r="G86" s="144"/>
    </row>
    <row r="87" spans="7:7" x14ac:dyDescent="0.25">
      <c r="G87" s="144"/>
    </row>
  </sheetData>
  <sortState ref="W32:W39">
    <sortCondition ref="W32"/>
  </sortState>
  <mergeCells count="15">
    <mergeCell ref="AF32:AG32"/>
    <mergeCell ref="Z32:AA32"/>
    <mergeCell ref="AG35:AH35"/>
    <mergeCell ref="AB35:AC35"/>
    <mergeCell ref="AD32:AE32"/>
    <mergeCell ref="B1:Q6"/>
    <mergeCell ref="H9:R9"/>
    <mergeCell ref="Z33:AA33"/>
    <mergeCell ref="Z34:AA34"/>
    <mergeCell ref="Z35:AA35"/>
    <mergeCell ref="Z36:AA36"/>
    <mergeCell ref="Z37:AA37"/>
    <mergeCell ref="Z38:AA38"/>
    <mergeCell ref="Z39:AA39"/>
    <mergeCell ref="Z40:AA40"/>
  </mergeCells>
  <printOptions gridLines="1"/>
  <pageMargins left="0.25" right="0.25" top="0.75" bottom="0.75" header="0.3" footer="0.3"/>
  <pageSetup paperSize="9" orientation="landscape" r:id="rId1"/>
  <headerFooter alignWithMargins="0"/>
  <drawing r:id="rId2"/>
  <legacyDrawing r:id="rId3"/>
  <oleObjects>
    <mc:AlternateContent xmlns:mc="http://schemas.openxmlformats.org/markup-compatibility/2006">
      <mc:Choice Requires="x14">
        <oleObject progId="Equation.3" shapeId="4097" r:id="rId4">
          <objectPr defaultSize="0" autoPict="0" r:id="rId5">
            <anchor moveWithCells="1" sizeWithCells="1">
              <from>
                <xdr:col>3</xdr:col>
                <xdr:colOff>190500</xdr:colOff>
                <xdr:row>18</xdr:row>
                <xdr:rowOff>83820</xdr:rowOff>
              </from>
              <to>
                <xdr:col>6</xdr:col>
                <xdr:colOff>556260</xdr:colOff>
                <xdr:row>23</xdr:row>
                <xdr:rowOff>106680</xdr:rowOff>
              </to>
            </anchor>
          </objectPr>
        </oleObject>
      </mc:Choice>
      <mc:Fallback>
        <oleObject progId="Equation.3" shapeId="409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94"/>
  <sheetViews>
    <sheetView topLeftCell="D34" zoomScale="86" zoomScaleNormal="86" workbookViewId="0">
      <selection activeCell="S44" sqref="S44"/>
    </sheetView>
  </sheetViews>
  <sheetFormatPr defaultRowHeight="14.4" x14ac:dyDescent="0.3"/>
  <cols>
    <col min="1" max="1" width="2.77734375" customWidth="1"/>
    <col min="5" max="5" width="13.5546875" customWidth="1"/>
    <col min="6" max="6" width="12.77734375" customWidth="1"/>
    <col min="7" max="7" width="12.109375" customWidth="1"/>
    <col min="8" max="8" width="8.109375" customWidth="1"/>
    <col min="9" max="9" width="10.5546875" customWidth="1"/>
    <col min="11" max="11" width="3.77734375" customWidth="1"/>
    <col min="21" max="21" width="3.6640625" customWidth="1"/>
  </cols>
  <sheetData>
    <row r="2" spans="2:14" ht="14.25" customHeight="1" x14ac:dyDescent="0.3">
      <c r="B2" s="267" t="s">
        <v>178</v>
      </c>
      <c r="C2" s="267"/>
      <c r="D2" s="267"/>
      <c r="E2" s="267"/>
      <c r="F2" s="267"/>
      <c r="G2" s="267"/>
      <c r="H2" s="267"/>
      <c r="I2" s="267"/>
      <c r="J2" s="267"/>
      <c r="K2" s="267"/>
      <c r="L2" s="267"/>
      <c r="M2" s="267"/>
      <c r="N2" s="267"/>
    </row>
    <row r="3" spans="2:14" x14ac:dyDescent="0.3">
      <c r="B3" s="267"/>
      <c r="C3" s="267"/>
      <c r="D3" s="267"/>
      <c r="E3" s="267"/>
      <c r="F3" s="267"/>
      <c r="G3" s="267"/>
      <c r="H3" s="267"/>
      <c r="I3" s="267"/>
      <c r="J3" s="267"/>
      <c r="K3" s="267"/>
      <c r="L3" s="267"/>
      <c r="M3" s="267"/>
      <c r="N3" s="267"/>
    </row>
    <row r="4" spans="2:14" x14ac:dyDescent="0.3">
      <c r="B4" s="267"/>
      <c r="C4" s="267"/>
      <c r="D4" s="267"/>
      <c r="E4" s="267"/>
      <c r="F4" s="267"/>
      <c r="G4" s="267"/>
      <c r="H4" s="267"/>
      <c r="I4" s="267"/>
      <c r="J4" s="267"/>
      <c r="K4" s="267"/>
      <c r="L4" s="267"/>
      <c r="M4" s="267"/>
      <c r="N4" s="267"/>
    </row>
    <row r="5" spans="2:14" x14ac:dyDescent="0.3">
      <c r="B5" s="267"/>
      <c r="C5" s="267"/>
      <c r="D5" s="267"/>
      <c r="E5" s="267"/>
      <c r="F5" s="267"/>
      <c r="G5" s="267"/>
      <c r="H5" s="267"/>
      <c r="I5" s="267"/>
      <c r="J5" s="267"/>
      <c r="K5" s="267"/>
      <c r="L5" s="267"/>
      <c r="M5" s="267"/>
      <c r="N5" s="267"/>
    </row>
    <row r="6" spans="2:14" x14ac:dyDescent="0.3">
      <c r="N6" s="202"/>
    </row>
    <row r="7" spans="2:14" x14ac:dyDescent="0.3">
      <c r="B7" t="s">
        <v>143</v>
      </c>
      <c r="N7" s="202"/>
    </row>
    <row r="8" spans="2:14" x14ac:dyDescent="0.3">
      <c r="N8" s="202"/>
    </row>
    <row r="9" spans="2:14" x14ac:dyDescent="0.3">
      <c r="B9" t="s">
        <v>144</v>
      </c>
      <c r="N9" s="202"/>
    </row>
    <row r="10" spans="2:14" x14ac:dyDescent="0.3">
      <c r="N10" s="202"/>
    </row>
    <row r="11" spans="2:14" x14ac:dyDescent="0.3">
      <c r="B11" t="s">
        <v>145</v>
      </c>
      <c r="G11" s="203" t="s">
        <v>175</v>
      </c>
      <c r="H11">
        <v>200</v>
      </c>
      <c r="J11" s="203" t="s">
        <v>146</v>
      </c>
      <c r="K11">
        <v>50</v>
      </c>
      <c r="N11" s="202"/>
    </row>
    <row r="12" spans="2:14" x14ac:dyDescent="0.3">
      <c r="B12" t="s">
        <v>147</v>
      </c>
      <c r="G12" s="203" t="s">
        <v>175</v>
      </c>
      <c r="H12">
        <v>1</v>
      </c>
      <c r="N12" s="202"/>
    </row>
    <row r="13" spans="2:14" x14ac:dyDescent="0.3">
      <c r="N13" s="202"/>
    </row>
    <row r="14" spans="2:14" x14ac:dyDescent="0.3">
      <c r="N14" s="202"/>
    </row>
    <row r="15" spans="2:14" x14ac:dyDescent="0.3">
      <c r="N15" s="202"/>
    </row>
    <row r="16" spans="2:14" x14ac:dyDescent="0.3">
      <c r="N16" s="202"/>
    </row>
    <row r="17" spans="2:24" x14ac:dyDescent="0.3">
      <c r="B17" t="s">
        <v>148</v>
      </c>
      <c r="E17">
        <v>600</v>
      </c>
      <c r="N17" s="202"/>
    </row>
    <row r="18" spans="2:24" x14ac:dyDescent="0.3">
      <c r="B18" t="s">
        <v>149</v>
      </c>
      <c r="E18" s="204">
        <v>200</v>
      </c>
      <c r="N18" s="202"/>
    </row>
    <row r="19" spans="2:24" x14ac:dyDescent="0.3">
      <c r="B19" t="s">
        <v>150</v>
      </c>
      <c r="E19">
        <v>600</v>
      </c>
      <c r="N19" s="202"/>
    </row>
    <row r="20" spans="2:24" x14ac:dyDescent="0.3">
      <c r="N20" s="202"/>
    </row>
    <row r="21" spans="2:24" x14ac:dyDescent="0.3">
      <c r="N21" s="202"/>
    </row>
    <row r="22" spans="2:24" x14ac:dyDescent="0.3">
      <c r="N22" s="202"/>
    </row>
    <row r="23" spans="2:24" x14ac:dyDescent="0.3">
      <c r="N23" s="202"/>
      <c r="W23">
        <v>4.1500000000000004</v>
      </c>
      <c r="X23" t="s">
        <v>224</v>
      </c>
    </row>
    <row r="24" spans="2:24" x14ac:dyDescent="0.3">
      <c r="N24" s="202"/>
    </row>
    <row r="25" spans="2:24" x14ac:dyDescent="0.3">
      <c r="N25" s="202"/>
    </row>
    <row r="26" spans="2:24" x14ac:dyDescent="0.3">
      <c r="N26" s="202"/>
    </row>
    <row r="27" spans="2:24" x14ac:dyDescent="0.3">
      <c r="N27" s="202"/>
    </row>
    <row r="28" spans="2:24" x14ac:dyDescent="0.3">
      <c r="N28" s="202"/>
    </row>
    <row r="29" spans="2:24" x14ac:dyDescent="0.3">
      <c r="N29" s="202"/>
    </row>
    <row r="30" spans="2:24" x14ac:dyDescent="0.3">
      <c r="N30" s="202"/>
    </row>
    <row r="31" spans="2:24" x14ac:dyDescent="0.3">
      <c r="N31" s="202"/>
    </row>
    <row r="32" spans="2:24" x14ac:dyDescent="0.3">
      <c r="N32" s="202"/>
      <c r="O32">
        <v>8</v>
      </c>
    </row>
    <row r="33" spans="2:29" x14ac:dyDescent="0.3">
      <c r="N33" s="202"/>
    </row>
    <row r="34" spans="2:29" x14ac:dyDescent="0.3">
      <c r="N34" s="202"/>
    </row>
    <row r="35" spans="2:29" x14ac:dyDescent="0.3">
      <c r="B35" t="s">
        <v>151</v>
      </c>
      <c r="J35">
        <v>0.4</v>
      </c>
      <c r="N35" s="202"/>
    </row>
    <row r="36" spans="2:29" x14ac:dyDescent="0.3">
      <c r="N36" s="202"/>
    </row>
    <row r="37" spans="2:29" ht="23.4" x14ac:dyDescent="0.45">
      <c r="F37" s="203" t="s">
        <v>225</v>
      </c>
      <c r="G37" s="295" t="s">
        <v>176</v>
      </c>
      <c r="H37" s="296"/>
      <c r="I37" s="296"/>
      <c r="J37" s="296"/>
      <c r="K37" s="296"/>
      <c r="L37" s="296"/>
    </row>
    <row r="38" spans="2:29" x14ac:dyDescent="0.3">
      <c r="J38" s="204"/>
      <c r="V38" t="s">
        <v>156</v>
      </c>
    </row>
    <row r="39" spans="2:29" ht="23.4" x14ac:dyDescent="0.45">
      <c r="B39" t="s">
        <v>226</v>
      </c>
      <c r="E39" s="297"/>
      <c r="F39" s="298" t="s">
        <v>177</v>
      </c>
      <c r="G39" s="4" t="s">
        <v>6</v>
      </c>
      <c r="N39" s="217" t="s">
        <v>164</v>
      </c>
      <c r="Q39" s="217" t="s">
        <v>164</v>
      </c>
      <c r="Y39" s="203" t="s">
        <v>157</v>
      </c>
      <c r="Z39" s="4" t="s">
        <v>6</v>
      </c>
    </row>
    <row r="40" spans="2:29" ht="36" x14ac:dyDescent="0.3">
      <c r="B40" s="206" t="s">
        <v>1</v>
      </c>
      <c r="C40" s="206" t="s">
        <v>152</v>
      </c>
      <c r="D40" s="206" t="s">
        <v>153</v>
      </c>
      <c r="E40" s="206" t="s">
        <v>154</v>
      </c>
      <c r="F40" s="294" t="s">
        <v>155</v>
      </c>
      <c r="G40" s="47" t="s">
        <v>155</v>
      </c>
      <c r="H40" s="206">
        <v>0</v>
      </c>
      <c r="I40" s="206"/>
      <c r="J40" s="207"/>
      <c r="L40" s="4" t="s">
        <v>20</v>
      </c>
      <c r="M40" s="206" t="s">
        <v>165</v>
      </c>
      <c r="N40" s="206" t="s">
        <v>166</v>
      </c>
      <c r="O40" s="5" t="s">
        <v>167</v>
      </c>
      <c r="P40" s="48" t="s">
        <v>168</v>
      </c>
      <c r="Q40" s="48" t="s">
        <v>169</v>
      </c>
      <c r="R40" s="4" t="s">
        <v>170</v>
      </c>
      <c r="S40" s="4" t="s">
        <v>171</v>
      </c>
      <c r="T40" s="48" t="s">
        <v>168</v>
      </c>
      <c r="V40" s="211" t="s">
        <v>1</v>
      </c>
      <c r="W40" s="211" t="s">
        <v>152</v>
      </c>
      <c r="X40" s="211" t="s">
        <v>153</v>
      </c>
      <c r="Y40" s="212" t="s">
        <v>11</v>
      </c>
      <c r="Z40" s="213">
        <v>0</v>
      </c>
      <c r="AA40" s="211" t="s">
        <v>7</v>
      </c>
      <c r="AB40" s="211" t="s">
        <v>8</v>
      </c>
      <c r="AC40" s="212" t="s">
        <v>0</v>
      </c>
    </row>
    <row r="41" spans="2:29" x14ac:dyDescent="0.3">
      <c r="B41" s="208">
        <v>50</v>
      </c>
      <c r="C41" s="299">
        <v>25</v>
      </c>
      <c r="D41" s="208">
        <f>B41+$B$41/2</f>
        <v>75</v>
      </c>
      <c r="E41" s="208">
        <f>(D41-$H$11)/$K$11</f>
        <v>-2.5</v>
      </c>
      <c r="F41" s="292">
        <f>NORMSDIST(E41)</f>
        <v>6.2096653257761331E-3</v>
      </c>
      <c r="G41" s="292">
        <f>_xlfn.NORM.DIST(D41,$H$11,$K$11,TRUE)</f>
        <v>6.2096653257761331E-3</v>
      </c>
      <c r="H41" s="293">
        <f>G41</f>
        <v>6.2096653257761331E-3</v>
      </c>
      <c r="I41" s="209"/>
      <c r="J41" s="209"/>
      <c r="L41" s="21">
        <v>0</v>
      </c>
      <c r="M41" s="218"/>
      <c r="N41" s="219"/>
      <c r="O41" s="21">
        <f>E19</f>
        <v>600</v>
      </c>
      <c r="P41" s="28"/>
      <c r="Q41" s="28"/>
      <c r="R41" s="220"/>
      <c r="S41" s="220"/>
      <c r="T41" s="300"/>
      <c r="V41" s="214">
        <v>1</v>
      </c>
      <c r="W41" s="214">
        <v>0.5</v>
      </c>
      <c r="X41" s="214">
        <f>V41+$V$41/2</f>
        <v>1.5</v>
      </c>
      <c r="Y41" s="215">
        <f>1-EXP(-X41/$H$12)</f>
        <v>0.77686983985157021</v>
      </c>
      <c r="Z41" s="215">
        <f>Y41</f>
        <v>0.77686983985157021</v>
      </c>
      <c r="AA41" s="216"/>
      <c r="AB41" s="216"/>
      <c r="AC41" s="216"/>
    </row>
    <row r="42" spans="2:29" x14ac:dyDescent="0.3">
      <c r="B42" s="208">
        <f>B41+50</f>
        <v>100</v>
      </c>
      <c r="C42" s="210">
        <f>D41</f>
        <v>75</v>
      </c>
      <c r="D42" s="208">
        <f t="shared" ref="D42:D48" si="0">B42+$B$41/2</f>
        <v>125</v>
      </c>
      <c r="E42" s="208">
        <f t="shared" ref="E42:E48" si="1">(D42-$H$11)/$K$11</f>
        <v>-1.5</v>
      </c>
      <c r="F42" s="292">
        <f t="shared" ref="F42:F48" si="2">NORMSDIST(E42)</f>
        <v>6.6807201268858057E-2</v>
      </c>
      <c r="G42" s="292">
        <f t="shared" ref="G42:G48" si="3">_xlfn.NORM.DIST(D42,$H$11,$K$11,TRUE)</f>
        <v>6.6807201268858057E-2</v>
      </c>
      <c r="H42" s="293">
        <f t="shared" ref="H42:H48" si="4">G42</f>
        <v>6.6807201268858057E-2</v>
      </c>
      <c r="I42" s="209"/>
      <c r="J42" s="209"/>
      <c r="L42" s="21">
        <v>1</v>
      </c>
      <c r="M42" s="221">
        <f>G51/1000</f>
        <v>0.20100000000000001</v>
      </c>
      <c r="N42" s="221">
        <f ca="1">LOOKUP(M42,$H$40:$H$48,$B$41:$B$48)</f>
        <v>150</v>
      </c>
      <c r="O42" s="222">
        <f ca="1">O41-N42</f>
        <v>450</v>
      </c>
      <c r="P42" s="223"/>
      <c r="Q42" s="223"/>
      <c r="R42" s="21"/>
      <c r="S42" s="21"/>
      <c r="T42" s="300" t="str">
        <f t="shared" ref="T42:T56" ca="1" si="5">IF(AND(O42&lt;&gt;"",O42&lt;=200),RANDBETWEEN(0,100),"")</f>
        <v/>
      </c>
      <c r="V42" s="214">
        <v>2</v>
      </c>
      <c r="W42" s="214">
        <f>X41</f>
        <v>1.5</v>
      </c>
      <c r="X42" s="214">
        <f t="shared" ref="X42:X45" si="6">V42+$V$41/2</f>
        <v>2.5</v>
      </c>
      <c r="Y42" s="215">
        <f t="shared" ref="Y42:Y45" si="7">1-EXP(-X42/$H$12)</f>
        <v>0.91791500137610116</v>
      </c>
      <c r="Z42" s="215">
        <f t="shared" ref="Z42:Z45" si="8">Y42</f>
        <v>0.91791500137610116</v>
      </c>
      <c r="AA42" s="216"/>
      <c r="AB42" s="216"/>
      <c r="AC42" s="216"/>
    </row>
    <row r="43" spans="2:29" x14ac:dyDescent="0.3">
      <c r="B43" s="208">
        <f t="shared" ref="B43:B48" si="9">B42+50</f>
        <v>150</v>
      </c>
      <c r="C43" s="210">
        <f t="shared" ref="C43:C48" si="10">D42</f>
        <v>125</v>
      </c>
      <c r="D43" s="208">
        <f t="shared" si="0"/>
        <v>175</v>
      </c>
      <c r="E43" s="208">
        <f t="shared" si="1"/>
        <v>-0.5</v>
      </c>
      <c r="F43" s="292">
        <f t="shared" si="2"/>
        <v>0.30853753872598688</v>
      </c>
      <c r="G43" s="292">
        <f t="shared" si="3"/>
        <v>0.30853753872598688</v>
      </c>
      <c r="H43" s="293">
        <f t="shared" si="4"/>
        <v>0.30853753872598688</v>
      </c>
      <c r="I43" s="209"/>
      <c r="J43" s="209"/>
      <c r="L43" s="21">
        <v>2</v>
      </c>
      <c r="M43" s="221">
        <f t="shared" ref="M43:M57" si="11">G52/1000</f>
        <v>0.76500000000000001</v>
      </c>
      <c r="N43" s="221">
        <f t="shared" ref="N43:N57" ca="1" si="12">LOOKUP(M43,$H$40:$H$48,$B$41:$B$48)</f>
        <v>250</v>
      </c>
      <c r="O43" s="133">
        <f ca="1">O42-N43</f>
        <v>200</v>
      </c>
      <c r="P43" s="223">
        <v>0.52</v>
      </c>
      <c r="Q43" s="223">
        <f ca="1">LOOKUP(P43,$Z$40:$Z$45,$V$41:$V$45)</f>
        <v>1</v>
      </c>
      <c r="R43" s="21"/>
      <c r="S43" s="18"/>
      <c r="T43" s="300">
        <f t="shared" ca="1" si="5"/>
        <v>68</v>
      </c>
      <c r="V43" s="214">
        <v>3</v>
      </c>
      <c r="W43" s="214">
        <f t="shared" ref="W43:W45" si="13">X42</f>
        <v>2.5</v>
      </c>
      <c r="X43" s="214">
        <f t="shared" si="6"/>
        <v>3.5</v>
      </c>
      <c r="Y43" s="215">
        <f t="shared" si="7"/>
        <v>0.96980261657768152</v>
      </c>
      <c r="Z43" s="215">
        <f t="shared" si="8"/>
        <v>0.96980261657768152</v>
      </c>
      <c r="AA43" s="216"/>
      <c r="AB43" s="216"/>
      <c r="AC43" s="216"/>
    </row>
    <row r="44" spans="2:29" x14ac:dyDescent="0.3">
      <c r="B44" s="208">
        <f t="shared" si="9"/>
        <v>200</v>
      </c>
      <c r="C44" s="210">
        <f t="shared" si="10"/>
        <v>175</v>
      </c>
      <c r="D44" s="208">
        <f t="shared" si="0"/>
        <v>225</v>
      </c>
      <c r="E44" s="208">
        <f t="shared" si="1"/>
        <v>0.5</v>
      </c>
      <c r="F44" s="292">
        <f t="shared" si="2"/>
        <v>0.69146246127401312</v>
      </c>
      <c r="G44" s="292">
        <f t="shared" si="3"/>
        <v>0.69146246127401312</v>
      </c>
      <c r="H44" s="293">
        <f t="shared" si="4"/>
        <v>0.69146246127401312</v>
      </c>
      <c r="I44" s="209"/>
      <c r="J44" s="209"/>
      <c r="L44" s="21">
        <v>3</v>
      </c>
      <c r="M44" s="221">
        <f t="shared" si="11"/>
        <v>0.64800000000000002</v>
      </c>
      <c r="N44" s="221">
        <f t="shared" ca="1" si="12"/>
        <v>200</v>
      </c>
      <c r="O44" s="222">
        <f ca="1">O43-N44+S44</f>
        <v>600</v>
      </c>
      <c r="P44" s="223"/>
      <c r="Q44" s="223"/>
      <c r="R44" s="220"/>
      <c r="S44" s="18">
        <v>600</v>
      </c>
      <c r="T44" s="300" t="str">
        <f t="shared" ca="1" si="5"/>
        <v/>
      </c>
      <c r="V44" s="214">
        <v>4</v>
      </c>
      <c r="W44" s="214">
        <f t="shared" si="13"/>
        <v>3.5</v>
      </c>
      <c r="X44" s="214">
        <f t="shared" si="6"/>
        <v>4.5</v>
      </c>
      <c r="Y44" s="215">
        <f t="shared" si="7"/>
        <v>0.98889100346175773</v>
      </c>
      <c r="Z44" s="215">
        <f t="shared" si="8"/>
        <v>0.98889100346175773</v>
      </c>
      <c r="AA44" s="216"/>
      <c r="AB44" s="216"/>
      <c r="AC44" s="216"/>
    </row>
    <row r="45" spans="2:29" x14ac:dyDescent="0.3">
      <c r="B45" s="208">
        <f t="shared" si="9"/>
        <v>250</v>
      </c>
      <c r="C45" s="210">
        <f t="shared" si="10"/>
        <v>225</v>
      </c>
      <c r="D45" s="208">
        <f t="shared" si="0"/>
        <v>275</v>
      </c>
      <c r="E45" s="208">
        <f t="shared" si="1"/>
        <v>1.5</v>
      </c>
      <c r="F45" s="292">
        <f t="shared" si="2"/>
        <v>0.93319279873114191</v>
      </c>
      <c r="G45" s="292">
        <f t="shared" si="3"/>
        <v>0.93319279873114191</v>
      </c>
      <c r="H45" s="293">
        <f t="shared" si="4"/>
        <v>0.93319279873114191</v>
      </c>
      <c r="I45" s="209"/>
      <c r="J45" s="209"/>
      <c r="L45" s="21">
        <v>4</v>
      </c>
      <c r="M45" s="221">
        <f t="shared" si="11"/>
        <v>0.19600000000000001</v>
      </c>
      <c r="N45" s="221">
        <f t="shared" ca="1" si="12"/>
        <v>150</v>
      </c>
      <c r="O45" s="222">
        <f t="shared" ref="O45:O52" ca="1" si="14">O44-N45+S45</f>
        <v>450</v>
      </c>
      <c r="P45" s="223"/>
      <c r="Q45" s="223"/>
      <c r="R45" s="21"/>
      <c r="S45" s="21"/>
      <c r="T45" s="300" t="str">
        <f t="shared" ca="1" si="5"/>
        <v/>
      </c>
      <c r="V45" s="214">
        <v>5</v>
      </c>
      <c r="W45" s="214">
        <f t="shared" si="13"/>
        <v>4.5</v>
      </c>
      <c r="X45" s="214">
        <f t="shared" si="6"/>
        <v>5.5</v>
      </c>
      <c r="Y45" s="215">
        <f t="shared" si="7"/>
        <v>0.99591322856153597</v>
      </c>
      <c r="Z45" s="215">
        <f t="shared" si="8"/>
        <v>0.99591322856153597</v>
      </c>
      <c r="AA45" s="216"/>
      <c r="AB45" s="216"/>
      <c r="AC45" s="216"/>
    </row>
    <row r="46" spans="2:29" x14ac:dyDescent="0.3">
      <c r="B46" s="208">
        <f t="shared" si="9"/>
        <v>300</v>
      </c>
      <c r="C46" s="210">
        <f t="shared" si="10"/>
        <v>275</v>
      </c>
      <c r="D46" s="208">
        <f t="shared" si="0"/>
        <v>325</v>
      </c>
      <c r="E46" s="208">
        <f t="shared" si="1"/>
        <v>2.5</v>
      </c>
      <c r="F46" s="292">
        <f t="shared" si="2"/>
        <v>0.99379033467422384</v>
      </c>
      <c r="G46" s="292">
        <f t="shared" si="3"/>
        <v>0.99379033467422384</v>
      </c>
      <c r="H46" s="293">
        <f t="shared" si="4"/>
        <v>0.99379033467422384</v>
      </c>
      <c r="I46" s="209"/>
      <c r="J46" s="209"/>
      <c r="L46" s="21">
        <v>5</v>
      </c>
      <c r="M46" s="221">
        <f t="shared" si="11"/>
        <v>9.2999999999999999E-2</v>
      </c>
      <c r="N46" s="221">
        <f t="shared" ca="1" si="12"/>
        <v>150</v>
      </c>
      <c r="O46" s="222">
        <f t="shared" ca="1" si="14"/>
        <v>300</v>
      </c>
      <c r="P46" s="223"/>
      <c r="Q46" s="223"/>
      <c r="R46" s="21"/>
      <c r="S46" s="21"/>
      <c r="T46" s="300" t="str">
        <f t="shared" ca="1" si="5"/>
        <v/>
      </c>
    </row>
    <row r="47" spans="2:29" x14ac:dyDescent="0.3">
      <c r="B47" s="208">
        <f t="shared" si="9"/>
        <v>350</v>
      </c>
      <c r="C47" s="210">
        <f t="shared" si="10"/>
        <v>325</v>
      </c>
      <c r="D47" s="208">
        <f t="shared" si="0"/>
        <v>375</v>
      </c>
      <c r="E47" s="208">
        <f t="shared" si="1"/>
        <v>3.5</v>
      </c>
      <c r="F47" s="292">
        <f t="shared" si="2"/>
        <v>0.99976737092096446</v>
      </c>
      <c r="G47" s="292">
        <f t="shared" si="3"/>
        <v>0.99976737092096446</v>
      </c>
      <c r="H47" s="293">
        <f t="shared" si="4"/>
        <v>0.99976737092096446</v>
      </c>
      <c r="I47" s="209"/>
      <c r="J47" s="209"/>
      <c r="L47" s="21">
        <v>6</v>
      </c>
      <c r="M47" s="221">
        <f t="shared" si="11"/>
        <v>0.70499999999999996</v>
      </c>
      <c r="N47" s="221">
        <f t="shared" ca="1" si="12"/>
        <v>250</v>
      </c>
      <c r="O47" s="133">
        <f t="shared" ca="1" si="14"/>
        <v>50</v>
      </c>
      <c r="P47" s="223">
        <v>0.82</v>
      </c>
      <c r="Q47" s="223">
        <f ca="1">LOOKUP(P47,$Z$40:$Z$45,$V$41:$V$45)</f>
        <v>2</v>
      </c>
      <c r="R47" s="21"/>
      <c r="S47" s="18"/>
      <c r="T47" s="300">
        <f t="shared" ca="1" si="5"/>
        <v>71</v>
      </c>
    </row>
    <row r="48" spans="2:29" x14ac:dyDescent="0.3">
      <c r="B48" s="208">
        <f t="shared" si="9"/>
        <v>400</v>
      </c>
      <c r="C48" s="210">
        <f t="shared" si="10"/>
        <v>375</v>
      </c>
      <c r="D48" s="208">
        <f t="shared" si="0"/>
        <v>425</v>
      </c>
      <c r="E48" s="208">
        <f t="shared" si="1"/>
        <v>4.5</v>
      </c>
      <c r="F48" s="292">
        <f t="shared" si="2"/>
        <v>0.99999660232687526</v>
      </c>
      <c r="G48" s="292">
        <f t="shared" si="3"/>
        <v>0.99999660232687526</v>
      </c>
      <c r="H48" s="293">
        <f t="shared" si="4"/>
        <v>0.99999660232687526</v>
      </c>
      <c r="I48" s="209"/>
      <c r="J48" s="209"/>
      <c r="L48" s="21">
        <v>7</v>
      </c>
      <c r="M48" s="221">
        <f t="shared" si="11"/>
        <v>0.01</v>
      </c>
      <c r="N48" s="221">
        <f t="shared" ca="1" si="12"/>
        <v>100</v>
      </c>
      <c r="O48" s="301">
        <f t="shared" ca="1" si="14"/>
        <v>-50</v>
      </c>
      <c r="P48" s="223"/>
      <c r="Q48" s="223"/>
      <c r="R48" s="21"/>
      <c r="S48" s="21"/>
      <c r="T48" s="300">
        <f t="shared" ca="1" si="5"/>
        <v>88</v>
      </c>
      <c r="X48" s="224"/>
    </row>
    <row r="49" spans="7:24" x14ac:dyDescent="0.3">
      <c r="L49" s="21">
        <v>8</v>
      </c>
      <c r="M49" s="221">
        <f t="shared" si="11"/>
        <v>0.02</v>
      </c>
      <c r="N49" s="221">
        <f t="shared" ca="1" si="12"/>
        <v>100</v>
      </c>
      <c r="O49" s="222">
        <f t="shared" ca="1" si="14"/>
        <v>450</v>
      </c>
      <c r="P49" s="223"/>
      <c r="Q49" s="223"/>
      <c r="R49" s="21"/>
      <c r="S49" s="18">
        <v>600</v>
      </c>
      <c r="T49" s="300" t="str">
        <f t="shared" ca="1" si="5"/>
        <v/>
      </c>
    </row>
    <row r="50" spans="7:24" x14ac:dyDescent="0.3">
      <c r="L50" s="21">
        <v>9</v>
      </c>
      <c r="M50" s="221">
        <f t="shared" si="11"/>
        <v>0.14899999999999999</v>
      </c>
      <c r="N50" s="221">
        <f t="shared" ca="1" si="12"/>
        <v>150</v>
      </c>
      <c r="O50" s="222">
        <f t="shared" ca="1" si="14"/>
        <v>300</v>
      </c>
      <c r="P50" s="223"/>
      <c r="Q50" s="223"/>
      <c r="R50" s="21"/>
      <c r="S50" s="21"/>
      <c r="T50" s="300" t="str">
        <f t="shared" ca="1" si="5"/>
        <v/>
      </c>
      <c r="X50" s="224"/>
    </row>
    <row r="51" spans="7:24" x14ac:dyDescent="0.3">
      <c r="G51">
        <v>201</v>
      </c>
      <c r="L51" s="21">
        <v>10</v>
      </c>
      <c r="M51" s="221">
        <f t="shared" si="11"/>
        <v>0.39800000000000002</v>
      </c>
      <c r="N51" s="221">
        <f t="shared" ca="1" si="12"/>
        <v>200</v>
      </c>
      <c r="O51" s="133">
        <f t="shared" ca="1" si="14"/>
        <v>100</v>
      </c>
      <c r="P51" s="223">
        <v>0.35</v>
      </c>
      <c r="Q51" s="223">
        <f t="shared" ref="Q48:Q56" ca="1" si="15">LOOKUP(P51,$Z$40:$Z$45,$V$41:$V$45)</f>
        <v>1</v>
      </c>
      <c r="R51" s="21"/>
      <c r="S51" s="18"/>
      <c r="T51" s="300">
        <f t="shared" ca="1" si="5"/>
        <v>40</v>
      </c>
    </row>
    <row r="52" spans="7:24" x14ac:dyDescent="0.3">
      <c r="G52">
        <v>765</v>
      </c>
      <c r="L52" s="21">
        <v>11</v>
      </c>
      <c r="M52" s="221">
        <f t="shared" si="11"/>
        <v>0.86499999999999999</v>
      </c>
      <c r="N52" s="221">
        <f t="shared" ca="1" si="12"/>
        <v>250</v>
      </c>
      <c r="O52" s="222">
        <f ca="1">O51-N52+S52</f>
        <v>450</v>
      </c>
      <c r="P52" s="223"/>
      <c r="Q52" s="223"/>
      <c r="R52" s="220"/>
      <c r="S52" s="18">
        <v>600</v>
      </c>
      <c r="T52" s="300" t="str">
        <f t="shared" ca="1" si="5"/>
        <v/>
      </c>
      <c r="X52" s="224"/>
    </row>
    <row r="53" spans="7:24" x14ac:dyDescent="0.3">
      <c r="G53">
        <v>648</v>
      </c>
      <c r="L53" s="21">
        <v>12</v>
      </c>
      <c r="M53" s="221">
        <f t="shared" si="11"/>
        <v>0.875</v>
      </c>
      <c r="N53" s="221">
        <f t="shared" ca="1" si="12"/>
        <v>250</v>
      </c>
      <c r="O53" s="133">
        <f t="shared" ref="O53:O57" ca="1" si="16">O52-N53+S53</f>
        <v>200</v>
      </c>
      <c r="P53" s="223">
        <v>0.79</v>
      </c>
      <c r="Q53" s="223">
        <f t="shared" ca="1" si="15"/>
        <v>2</v>
      </c>
      <c r="R53" s="21"/>
      <c r="S53" s="21"/>
      <c r="T53" s="300">
        <f t="shared" ca="1" si="5"/>
        <v>67</v>
      </c>
      <c r="X53" s="224"/>
    </row>
    <row r="54" spans="7:24" x14ac:dyDescent="0.3">
      <c r="G54">
        <v>196</v>
      </c>
      <c r="L54" s="21">
        <v>13</v>
      </c>
      <c r="M54" s="221">
        <f t="shared" si="11"/>
        <v>0.17399999999999999</v>
      </c>
      <c r="N54" s="221">
        <f t="shared" ca="1" si="12"/>
        <v>150</v>
      </c>
      <c r="O54" s="222">
        <f t="shared" ca="1" si="16"/>
        <v>50</v>
      </c>
      <c r="P54" s="223"/>
      <c r="Q54" s="223"/>
      <c r="R54" s="21"/>
      <c r="S54" s="21"/>
      <c r="T54" s="300">
        <f t="shared" ca="1" si="5"/>
        <v>18</v>
      </c>
      <c r="X54" s="224"/>
    </row>
    <row r="55" spans="7:24" x14ac:dyDescent="0.3">
      <c r="G55">
        <v>93</v>
      </c>
      <c r="L55" s="21">
        <v>14</v>
      </c>
      <c r="M55" s="221">
        <f t="shared" si="11"/>
        <v>0.97499999999999998</v>
      </c>
      <c r="N55" s="221">
        <f t="shared" ca="1" si="12"/>
        <v>300</v>
      </c>
      <c r="O55" s="222">
        <f t="shared" ca="1" si="16"/>
        <v>350</v>
      </c>
      <c r="P55" s="223"/>
      <c r="Q55" s="223"/>
      <c r="R55" s="21"/>
      <c r="S55" s="21">
        <v>600</v>
      </c>
      <c r="T55" s="300" t="str">
        <f t="shared" ca="1" si="5"/>
        <v/>
      </c>
    </row>
    <row r="56" spans="7:24" x14ac:dyDescent="0.3">
      <c r="G56">
        <v>705</v>
      </c>
      <c r="L56" s="21">
        <v>15</v>
      </c>
      <c r="M56" s="221">
        <f t="shared" si="11"/>
        <v>0.26900000000000002</v>
      </c>
      <c r="N56" s="221">
        <f t="shared" ca="1" si="12"/>
        <v>150</v>
      </c>
      <c r="O56" s="133">
        <f t="shared" ca="1" si="16"/>
        <v>200</v>
      </c>
      <c r="P56" s="223">
        <v>0.43</v>
      </c>
      <c r="Q56" s="223">
        <f t="shared" ca="1" si="15"/>
        <v>1</v>
      </c>
      <c r="R56" s="21"/>
      <c r="S56" s="21"/>
      <c r="T56" s="300">
        <f t="shared" ca="1" si="5"/>
        <v>57</v>
      </c>
      <c r="X56" s="224"/>
    </row>
    <row r="57" spans="7:24" x14ac:dyDescent="0.3">
      <c r="G57">
        <v>10</v>
      </c>
      <c r="L57" s="21">
        <v>16</v>
      </c>
      <c r="M57" s="221">
        <f t="shared" si="11"/>
        <v>0.36099999999999999</v>
      </c>
      <c r="N57" s="221">
        <f t="shared" ca="1" si="12"/>
        <v>200</v>
      </c>
      <c r="O57" s="222">
        <f ca="1">O56-N57+S57</f>
        <v>600</v>
      </c>
      <c r="P57" s="223"/>
      <c r="Q57" s="223"/>
      <c r="R57" s="21"/>
      <c r="S57" s="21">
        <v>600</v>
      </c>
      <c r="T57" s="300"/>
      <c r="X57" s="224"/>
    </row>
    <row r="58" spans="7:24" x14ac:dyDescent="0.3">
      <c r="G58">
        <v>20</v>
      </c>
      <c r="X58" s="224"/>
    </row>
    <row r="59" spans="7:24" x14ac:dyDescent="0.3">
      <c r="G59">
        <v>149</v>
      </c>
    </row>
    <row r="60" spans="7:24" x14ac:dyDescent="0.3">
      <c r="G60">
        <v>398</v>
      </c>
    </row>
    <row r="61" spans="7:24" x14ac:dyDescent="0.3">
      <c r="G61">
        <v>865</v>
      </c>
    </row>
    <row r="62" spans="7:24" x14ac:dyDescent="0.3">
      <c r="G62">
        <v>875</v>
      </c>
      <c r="O62">
        <v>9</v>
      </c>
    </row>
    <row r="63" spans="7:24" x14ac:dyDescent="0.3">
      <c r="G63">
        <v>174</v>
      </c>
    </row>
    <row r="64" spans="7:24" x14ac:dyDescent="0.3">
      <c r="G64">
        <v>975</v>
      </c>
    </row>
    <row r="65" spans="2:13" x14ac:dyDescent="0.3">
      <c r="G65">
        <v>269</v>
      </c>
    </row>
    <row r="66" spans="2:13" x14ac:dyDescent="0.3">
      <c r="B66" t="s">
        <v>158</v>
      </c>
      <c r="G66">
        <v>361</v>
      </c>
      <c r="M66" s="224" t="s">
        <v>172</v>
      </c>
    </row>
    <row r="67" spans="2:13" x14ac:dyDescent="0.3">
      <c r="M67" s="224" t="s">
        <v>173</v>
      </c>
    </row>
    <row r="68" spans="2:13" x14ac:dyDescent="0.3">
      <c r="C68" t="s">
        <v>159</v>
      </c>
    </row>
    <row r="69" spans="2:13" x14ac:dyDescent="0.3">
      <c r="C69" t="s">
        <v>160</v>
      </c>
    </row>
    <row r="70" spans="2:13" x14ac:dyDescent="0.3">
      <c r="C70" t="s">
        <v>161</v>
      </c>
    </row>
    <row r="71" spans="2:13" x14ac:dyDescent="0.3">
      <c r="C71" t="s">
        <v>162</v>
      </c>
      <c r="F71" s="205"/>
      <c r="G71" s="205"/>
      <c r="H71" s="205"/>
      <c r="I71" s="205"/>
      <c r="J71" s="205"/>
      <c r="K71" s="205"/>
      <c r="L71" s="205"/>
    </row>
    <row r="72" spans="2:13" x14ac:dyDescent="0.3">
      <c r="C72" t="s">
        <v>163</v>
      </c>
    </row>
    <row r="93" spans="2:15" x14ac:dyDescent="0.3">
      <c r="B93" s="257" t="s">
        <v>174</v>
      </c>
      <c r="C93" s="257"/>
      <c r="D93" s="257"/>
      <c r="E93" s="257"/>
      <c r="F93" s="257"/>
      <c r="G93" s="257"/>
      <c r="H93" s="257"/>
      <c r="I93" s="257"/>
      <c r="J93" s="257"/>
      <c r="K93" s="257"/>
    </row>
    <row r="94" spans="2:15" x14ac:dyDescent="0.3">
      <c r="B94" s="257"/>
      <c r="C94" s="257"/>
      <c r="D94" s="257"/>
      <c r="E94" s="257"/>
      <c r="F94" s="257"/>
      <c r="G94" s="257"/>
      <c r="H94" s="257"/>
      <c r="I94" s="257"/>
      <c r="J94" s="257"/>
      <c r="K94" s="257"/>
      <c r="O94">
        <v>10</v>
      </c>
    </row>
  </sheetData>
  <mergeCells count="2">
    <mergeCell ref="B2:N5"/>
    <mergeCell ref="B93:K94"/>
  </mergeCells>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06"/>
  <sheetViews>
    <sheetView tabSelected="1" topLeftCell="A2" workbookViewId="0">
      <selection activeCell="S42" sqref="S42"/>
    </sheetView>
  </sheetViews>
  <sheetFormatPr defaultRowHeight="14.4" x14ac:dyDescent="0.3"/>
  <cols>
    <col min="1" max="1" width="2.88671875" customWidth="1"/>
  </cols>
  <sheetData>
    <row r="1" spans="1:17" ht="21" x14ac:dyDescent="0.3">
      <c r="C1" s="268"/>
      <c r="D1" s="268"/>
      <c r="E1" s="268"/>
      <c r="F1" s="268"/>
      <c r="G1" s="268"/>
      <c r="H1" s="268"/>
      <c r="I1" s="268"/>
      <c r="J1" s="268"/>
      <c r="K1" s="268"/>
      <c r="L1" s="268"/>
    </row>
    <row r="2" spans="1:17" x14ac:dyDescent="0.3">
      <c r="B2" s="269" t="s">
        <v>223</v>
      </c>
      <c r="C2" s="269"/>
      <c r="D2" s="269"/>
      <c r="E2" s="269"/>
      <c r="F2" s="269"/>
      <c r="G2" s="269"/>
      <c r="H2" s="269"/>
      <c r="I2" s="269"/>
      <c r="J2" s="269"/>
      <c r="K2" s="269"/>
      <c r="L2" s="269"/>
      <c r="M2" s="269"/>
      <c r="N2" s="269"/>
      <c r="O2" s="269"/>
    </row>
    <row r="3" spans="1:17" x14ac:dyDescent="0.3">
      <c r="B3" s="269"/>
      <c r="C3" s="269"/>
      <c r="D3" s="269"/>
      <c r="E3" s="269"/>
      <c r="F3" s="269"/>
      <c r="G3" s="269"/>
      <c r="H3" s="269"/>
      <c r="I3" s="269"/>
      <c r="J3" s="269"/>
      <c r="K3" s="269"/>
      <c r="L3" s="269"/>
      <c r="M3" s="269"/>
      <c r="N3" s="269"/>
      <c r="O3" s="269"/>
    </row>
    <row r="4" spans="1:17" ht="21" x14ac:dyDescent="0.3">
      <c r="B4" s="268"/>
      <c r="C4" s="268"/>
      <c r="D4" s="268"/>
      <c r="E4" s="268"/>
      <c r="F4" s="268"/>
      <c r="G4" s="268"/>
      <c r="H4" s="268"/>
      <c r="I4" s="268"/>
      <c r="J4" s="268"/>
      <c r="K4" s="268"/>
      <c r="L4" s="268"/>
    </row>
    <row r="5" spans="1:17" x14ac:dyDescent="0.3">
      <c r="C5" s="1"/>
      <c r="L5" s="270"/>
    </row>
    <row r="6" spans="1:17" x14ac:dyDescent="0.3">
      <c r="L6" s="270"/>
    </row>
    <row r="13" spans="1:17" x14ac:dyDescent="0.3">
      <c r="B13" t="s">
        <v>195</v>
      </c>
    </row>
    <row r="14" spans="1:17" x14ac:dyDescent="0.3">
      <c r="C14" t="s">
        <v>196</v>
      </c>
    </row>
    <row r="15" spans="1:17" x14ac:dyDescent="0.3">
      <c r="C15" t="s">
        <v>197</v>
      </c>
    </row>
    <row r="16" spans="1:17" x14ac:dyDescent="0.3">
      <c r="A16" s="205"/>
      <c r="B16" s="205"/>
      <c r="C16" s="205"/>
      <c r="D16" s="205"/>
      <c r="E16" s="205"/>
      <c r="F16" s="205"/>
      <c r="G16" s="205"/>
      <c r="H16" s="205"/>
      <c r="I16" s="205"/>
      <c r="J16" s="205"/>
      <c r="K16" s="205"/>
      <c r="L16" s="205"/>
      <c r="M16" s="205"/>
      <c r="N16" s="205"/>
      <c r="O16" s="205"/>
      <c r="P16" s="205"/>
      <c r="Q16" s="205"/>
    </row>
    <row r="17" spans="1:17" x14ac:dyDescent="0.3">
      <c r="A17" s="205"/>
      <c r="B17" s="205"/>
      <c r="C17" s="205"/>
      <c r="D17" s="205"/>
      <c r="E17" s="205"/>
      <c r="F17" s="205"/>
      <c r="G17" s="205"/>
      <c r="H17" s="205"/>
      <c r="I17" s="205"/>
      <c r="J17" s="205"/>
      <c r="K17" s="205"/>
      <c r="L17" s="205"/>
      <c r="M17" s="205"/>
      <c r="N17" s="205"/>
      <c r="O17" s="205"/>
      <c r="P17" s="205"/>
      <c r="Q17" s="205"/>
    </row>
    <row r="18" spans="1:17" x14ac:dyDescent="0.3">
      <c r="A18" s="205"/>
      <c r="B18" s="205"/>
      <c r="C18" s="205"/>
      <c r="D18" s="205"/>
      <c r="E18" s="205"/>
      <c r="F18" s="205"/>
      <c r="G18" s="205"/>
      <c r="H18" s="205"/>
      <c r="I18" s="205"/>
      <c r="J18" s="205"/>
      <c r="K18" s="205"/>
      <c r="L18" s="205"/>
      <c r="M18" s="205"/>
      <c r="N18" s="205"/>
      <c r="O18" s="205"/>
      <c r="P18" s="205"/>
      <c r="Q18" s="205"/>
    </row>
    <row r="19" spans="1:17" x14ac:dyDescent="0.3">
      <c r="A19" s="205"/>
      <c r="B19" s="205"/>
      <c r="C19" s="205"/>
      <c r="D19" s="205"/>
      <c r="E19" s="205"/>
      <c r="F19" s="205"/>
      <c r="G19" s="205"/>
      <c r="H19" s="205"/>
      <c r="I19" s="205"/>
      <c r="J19" s="205"/>
      <c r="K19" s="205"/>
      <c r="L19" s="205"/>
      <c r="M19" s="205"/>
      <c r="N19" s="205"/>
      <c r="O19" s="205"/>
      <c r="P19" s="205"/>
      <c r="Q19" s="205"/>
    </row>
    <row r="20" spans="1:17" x14ac:dyDescent="0.3">
      <c r="A20" s="205"/>
      <c r="B20" s="205"/>
      <c r="C20" s="205"/>
      <c r="D20" s="205"/>
      <c r="E20" s="205"/>
      <c r="F20" s="205"/>
      <c r="G20" s="205"/>
      <c r="H20" s="205"/>
      <c r="I20" s="205"/>
      <c r="J20" s="205"/>
      <c r="K20" s="205"/>
      <c r="L20" s="205"/>
      <c r="M20" s="205"/>
      <c r="N20" s="205"/>
      <c r="O20" s="205"/>
      <c r="P20" s="205"/>
      <c r="Q20" s="205"/>
    </row>
    <row r="21" spans="1:17" x14ac:dyDescent="0.3">
      <c r="A21" s="205"/>
      <c r="B21" s="205"/>
      <c r="C21" s="205"/>
      <c r="D21" s="205"/>
      <c r="E21" s="205"/>
      <c r="F21" s="205"/>
      <c r="G21" s="134"/>
      <c r="H21" s="134"/>
      <c r="I21" s="134"/>
      <c r="J21" s="134"/>
      <c r="K21" s="134"/>
      <c r="L21" s="134"/>
      <c r="M21" s="134"/>
      <c r="N21" s="134"/>
      <c r="O21" s="134"/>
      <c r="P21" s="134"/>
      <c r="Q21" s="205"/>
    </row>
    <row r="22" spans="1:17" x14ac:dyDescent="0.3">
      <c r="A22" s="205"/>
      <c r="B22" s="205"/>
      <c r="C22" s="205"/>
      <c r="D22" s="205"/>
      <c r="E22" s="205"/>
      <c r="F22" s="205"/>
      <c r="G22" s="134"/>
      <c r="H22" s="134"/>
      <c r="I22" s="134"/>
      <c r="J22" s="134"/>
      <c r="K22" s="134"/>
      <c r="L22" s="134"/>
      <c r="M22" s="134"/>
      <c r="N22" s="134"/>
      <c r="O22" s="134"/>
      <c r="P22" s="134"/>
      <c r="Q22" s="205"/>
    </row>
    <row r="23" spans="1:17" x14ac:dyDescent="0.3">
      <c r="A23" s="205"/>
      <c r="B23" s="205"/>
      <c r="C23" s="205"/>
      <c r="D23" s="205"/>
      <c r="E23" s="205"/>
      <c r="F23" s="205"/>
      <c r="G23" s="134"/>
      <c r="H23" s="134"/>
      <c r="I23" s="134"/>
      <c r="J23" s="134"/>
      <c r="K23" s="134"/>
      <c r="L23" s="134"/>
      <c r="M23" s="134"/>
      <c r="N23" s="134"/>
      <c r="O23" s="134"/>
      <c r="P23" s="134"/>
      <c r="Q23" s="205"/>
    </row>
    <row r="24" spans="1:17" x14ac:dyDescent="0.3">
      <c r="A24" s="205"/>
      <c r="B24" s="205"/>
      <c r="C24" s="205"/>
      <c r="D24" s="205"/>
      <c r="E24" s="205"/>
      <c r="F24" s="205"/>
      <c r="G24" s="134"/>
      <c r="H24" s="134"/>
      <c r="I24" s="134"/>
      <c r="J24" s="134"/>
      <c r="K24" s="134"/>
      <c r="L24" s="134"/>
      <c r="M24" s="134"/>
      <c r="N24" s="134"/>
      <c r="O24" s="134"/>
      <c r="P24" s="134"/>
      <c r="Q24" s="205"/>
    </row>
    <row r="25" spans="1:17" x14ac:dyDescent="0.3">
      <c r="A25" s="205"/>
      <c r="B25" s="205"/>
      <c r="C25" s="205"/>
      <c r="D25" s="205"/>
      <c r="E25" s="205"/>
      <c r="F25" s="205"/>
      <c r="G25" s="134"/>
      <c r="H25" s="134"/>
      <c r="I25" s="134"/>
      <c r="J25" s="134"/>
      <c r="K25" s="134"/>
      <c r="L25" s="134"/>
      <c r="M25" s="134"/>
      <c r="N25" s="134"/>
      <c r="O25" s="134"/>
      <c r="P25" s="134"/>
      <c r="Q25" s="205"/>
    </row>
    <row r="26" spans="1:17" x14ac:dyDescent="0.3">
      <c r="A26" s="205"/>
      <c r="B26" s="205"/>
      <c r="C26" s="205"/>
      <c r="D26" s="205"/>
      <c r="E26" s="205"/>
      <c r="F26" s="205"/>
      <c r="G26" s="134"/>
      <c r="H26" s="134"/>
      <c r="I26" s="134"/>
      <c r="J26" s="134"/>
      <c r="K26" s="134"/>
      <c r="L26" s="134"/>
      <c r="M26" s="134"/>
      <c r="N26" s="134"/>
      <c r="O26" s="134"/>
      <c r="P26" s="134"/>
      <c r="Q26" s="205"/>
    </row>
    <row r="27" spans="1:17" x14ac:dyDescent="0.3">
      <c r="A27" s="205"/>
      <c r="C27" s="271" t="s">
        <v>193</v>
      </c>
      <c r="D27" s="143">
        <v>1000</v>
      </c>
      <c r="E27" t="s">
        <v>194</v>
      </c>
      <c r="F27" s="205"/>
      <c r="G27" s="134"/>
      <c r="H27" s="134"/>
      <c r="I27" s="134"/>
      <c r="J27" s="134"/>
      <c r="K27" s="134"/>
      <c r="L27" s="134"/>
      <c r="M27" s="134"/>
      <c r="N27" s="134"/>
      <c r="O27" s="134"/>
      <c r="P27" s="134"/>
      <c r="Q27" s="205"/>
    </row>
    <row r="28" spans="1:17" x14ac:dyDescent="0.3">
      <c r="A28" s="205"/>
      <c r="B28" s="205"/>
      <c r="C28" s="205"/>
      <c r="D28" s="205"/>
      <c r="E28" s="205"/>
      <c r="F28" s="205"/>
      <c r="G28" s="205"/>
      <c r="H28" s="205"/>
      <c r="I28" s="205"/>
      <c r="J28" s="205"/>
      <c r="K28" s="205"/>
      <c r="L28" s="205"/>
      <c r="M28" s="205"/>
      <c r="N28" s="205"/>
      <c r="O28" s="205"/>
      <c r="P28" s="205"/>
      <c r="Q28" s="205"/>
    </row>
    <row r="29" spans="1:17" x14ac:dyDescent="0.3">
      <c r="A29" s="205"/>
      <c r="B29" s="205"/>
      <c r="C29" s="205"/>
      <c r="D29" s="205"/>
      <c r="E29" s="205"/>
      <c r="F29" s="205"/>
      <c r="G29" s="272" t="s">
        <v>198</v>
      </c>
      <c r="H29" s="273"/>
      <c r="I29" s="273"/>
      <c r="J29" s="273"/>
      <c r="K29" s="273"/>
      <c r="L29" s="273"/>
      <c r="M29" s="273"/>
      <c r="N29" s="273"/>
      <c r="O29" s="273"/>
      <c r="P29" s="205"/>
      <c r="Q29" s="205"/>
    </row>
    <row r="30" spans="1:17" x14ac:dyDescent="0.3">
      <c r="A30" s="205"/>
      <c r="B30" s="205"/>
      <c r="C30" s="205"/>
      <c r="D30">
        <v>2.2734999999999999</v>
      </c>
      <c r="E30" s="205"/>
      <c r="F30" s="205"/>
      <c r="G30" s="274" t="s">
        <v>199</v>
      </c>
      <c r="H30" s="274"/>
      <c r="I30" s="274"/>
      <c r="J30" s="274"/>
      <c r="K30" s="274"/>
      <c r="L30" s="274"/>
      <c r="M30" s="274"/>
      <c r="N30" s="274"/>
      <c r="O30" s="274"/>
      <c r="P30" s="205"/>
      <c r="Q30" s="205"/>
    </row>
    <row r="31" spans="1:17" ht="16.2" x14ac:dyDescent="0.3">
      <c r="A31" s="205"/>
      <c r="B31" s="205"/>
      <c r="C31" s="205"/>
      <c r="D31">
        <v>-4.6899999999999997E-2</v>
      </c>
      <c r="E31" s="205"/>
      <c r="F31" s="205"/>
      <c r="G31" s="274" t="s">
        <v>200</v>
      </c>
      <c r="H31" s="274"/>
      <c r="I31" s="274"/>
      <c r="J31" s="274"/>
      <c r="K31" s="274"/>
      <c r="L31" s="274"/>
      <c r="M31" s="274"/>
      <c r="N31" s="274"/>
      <c r="O31" s="274"/>
      <c r="P31" s="205"/>
      <c r="Q31" s="205"/>
    </row>
    <row r="32" spans="1:17" ht="16.2" x14ac:dyDescent="0.3">
      <c r="B32" s="205"/>
      <c r="C32" s="205"/>
      <c r="D32">
        <v>1.534</v>
      </c>
      <c r="E32" s="205"/>
      <c r="F32" s="205"/>
      <c r="G32" s="274" t="s">
        <v>201</v>
      </c>
      <c r="H32" s="274"/>
      <c r="I32" s="274"/>
      <c r="J32" s="274"/>
      <c r="K32" s="274"/>
      <c r="L32" s="274"/>
      <c r="M32" s="274"/>
      <c r="N32" s="274"/>
      <c r="O32" s="274"/>
    </row>
    <row r="33" spans="2:20" ht="16.2" x14ac:dyDescent="0.3">
      <c r="B33" s="205"/>
      <c r="C33" s="205"/>
      <c r="D33">
        <v>0.28410000000000002</v>
      </c>
      <c r="E33" s="205"/>
      <c r="F33" s="205"/>
      <c r="G33" s="274" t="s">
        <v>202</v>
      </c>
      <c r="H33" s="274"/>
      <c r="I33" s="274"/>
      <c r="J33" s="274"/>
      <c r="K33" s="274"/>
      <c r="L33" s="274"/>
      <c r="M33" s="274"/>
      <c r="N33" s="274"/>
      <c r="O33" s="274"/>
    </row>
    <row r="34" spans="2:20" x14ac:dyDescent="0.3">
      <c r="B34" s="205"/>
      <c r="C34" s="205"/>
      <c r="D34" s="205"/>
      <c r="E34" s="205"/>
      <c r="F34" s="205"/>
      <c r="G34" s="275"/>
      <c r="H34" s="275"/>
      <c r="I34" s="275"/>
      <c r="J34" s="275"/>
      <c r="K34" s="275"/>
      <c r="L34" s="275"/>
      <c r="M34" s="275"/>
      <c r="N34" s="275"/>
      <c r="O34" s="275"/>
    </row>
    <row r="35" spans="2:20" x14ac:dyDescent="0.3">
      <c r="B35" s="205"/>
      <c r="C35" s="276" t="s">
        <v>203</v>
      </c>
      <c r="D35" s="205"/>
      <c r="E35" s="205"/>
      <c r="F35" s="205"/>
      <c r="G35" s="275"/>
      <c r="H35" s="275"/>
      <c r="I35" s="275"/>
      <c r="J35" s="275"/>
      <c r="K35" s="275"/>
      <c r="L35" s="275"/>
      <c r="M35" s="275"/>
      <c r="N35" s="275"/>
      <c r="O35" s="275"/>
      <c r="T35" t="s">
        <v>121</v>
      </c>
    </row>
    <row r="36" spans="2:20" x14ac:dyDescent="0.3">
      <c r="B36" s="205"/>
      <c r="C36" s="277" t="s">
        <v>204</v>
      </c>
      <c r="D36" s="205"/>
      <c r="E36" s="205"/>
      <c r="F36" s="205"/>
      <c r="G36" s="275"/>
      <c r="H36" s="275"/>
      <c r="I36" s="275"/>
      <c r="J36" s="275"/>
      <c r="K36" s="275"/>
      <c r="L36" s="275"/>
      <c r="M36" s="275"/>
      <c r="N36" s="275"/>
      <c r="O36" s="275"/>
      <c r="T36" t="s">
        <v>227</v>
      </c>
    </row>
    <row r="37" spans="2:20" x14ac:dyDescent="0.3">
      <c r="C37" s="278" t="s">
        <v>205</v>
      </c>
      <c r="G37" s="279"/>
      <c r="H37" s="279"/>
      <c r="K37" s="279"/>
      <c r="L37" s="280" t="s">
        <v>206</v>
      </c>
      <c r="M37" s="280"/>
      <c r="N37" s="280"/>
      <c r="O37" s="279"/>
      <c r="P37" t="s">
        <v>229</v>
      </c>
      <c r="R37" t="s">
        <v>230</v>
      </c>
    </row>
    <row r="38" spans="2:20" ht="16.2" x14ac:dyDescent="0.3">
      <c r="C38" s="98" t="s">
        <v>207</v>
      </c>
      <c r="L38" s="281" t="s">
        <v>208</v>
      </c>
      <c r="M38" s="282" t="s">
        <v>209</v>
      </c>
      <c r="N38" s="282" t="s">
        <v>210</v>
      </c>
    </row>
    <row r="39" spans="2:20" x14ac:dyDescent="0.3">
      <c r="L39" s="283">
        <f>M39*10000/D27</f>
        <v>23.89233834731985</v>
      </c>
      <c r="M39" s="283">
        <f>SUM(L42:L305)</f>
        <v>2.3892338347319848</v>
      </c>
      <c r="N39" s="283">
        <f>AVERAGE($L$42:$L$282)</f>
        <v>9.9136956500397565E-3</v>
      </c>
      <c r="O39" s="203" t="s">
        <v>231</v>
      </c>
      <c r="P39" t="s">
        <v>228</v>
      </c>
    </row>
    <row r="41" spans="2:20" ht="28.8" x14ac:dyDescent="0.3">
      <c r="B41" s="284" t="s">
        <v>211</v>
      </c>
      <c r="C41" s="284" t="s">
        <v>212</v>
      </c>
      <c r="D41" s="284" t="s">
        <v>213</v>
      </c>
      <c r="E41" s="284" t="s">
        <v>214</v>
      </c>
      <c r="F41" s="284" t="s">
        <v>215</v>
      </c>
      <c r="G41" s="284" t="s">
        <v>216</v>
      </c>
      <c r="H41" s="285" t="s">
        <v>217</v>
      </c>
      <c r="I41" s="285" t="s">
        <v>218</v>
      </c>
      <c r="J41" s="286" t="s">
        <v>219</v>
      </c>
      <c r="K41" s="287" t="s">
        <v>121</v>
      </c>
      <c r="L41" s="287" t="s">
        <v>227</v>
      </c>
      <c r="M41" s="287" t="s">
        <v>220</v>
      </c>
      <c r="N41" s="303" t="s">
        <v>221</v>
      </c>
      <c r="O41" s="287" t="s">
        <v>222</v>
      </c>
      <c r="P41" s="288" t="s">
        <v>232</v>
      </c>
      <c r="Q41" s="288" t="s">
        <v>233</v>
      </c>
    </row>
    <row r="42" spans="2:20" x14ac:dyDescent="0.3">
      <c r="B42" s="289">
        <v>1</v>
      </c>
      <c r="C42" s="289">
        <v>195</v>
      </c>
      <c r="D42" s="289">
        <v>9</v>
      </c>
      <c r="E42" s="289">
        <v>1</v>
      </c>
      <c r="F42" s="289">
        <v>7.5</v>
      </c>
      <c r="G42" s="289">
        <v>17</v>
      </c>
      <c r="H42" s="289">
        <v>16</v>
      </c>
      <c r="I42" s="289">
        <v>16</v>
      </c>
      <c r="J42" s="289">
        <v>15.5</v>
      </c>
      <c r="K42" s="276">
        <f>AVERAGE(H42:I42)</f>
        <v>16</v>
      </c>
      <c r="L42" s="276">
        <f>PI()/40000*K42^2</f>
        <v>2.0106192982974676E-2</v>
      </c>
      <c r="M42" s="276">
        <f>L42/$N$39</f>
        <v>2.028122880985765</v>
      </c>
      <c r="N42" s="276">
        <f>EXP($D$30+$D$31*$L$39+$D$32*M42+$D$33*K42)</f>
        <v>6698.8411715042312</v>
      </c>
      <c r="O42" s="302">
        <f>1-(N42/(1+N42))</f>
        <v>1.4925726959813534E-4</v>
      </c>
      <c r="P42" s="290">
        <v>0.65656496648169427</v>
      </c>
      <c r="Q42" s="98" t="str">
        <f>IF(P42&lt;O42,"tree dies","")</f>
        <v/>
      </c>
    </row>
    <row r="43" spans="2:20" x14ac:dyDescent="0.3">
      <c r="B43" s="289">
        <v>1</v>
      </c>
      <c r="C43" s="289">
        <v>206</v>
      </c>
      <c r="D43" s="289">
        <v>9</v>
      </c>
      <c r="E43" s="289">
        <v>1</v>
      </c>
      <c r="F43" s="289">
        <v>40.5</v>
      </c>
      <c r="G43" s="289">
        <v>17</v>
      </c>
      <c r="H43" s="289">
        <v>16</v>
      </c>
      <c r="I43" s="289">
        <v>16</v>
      </c>
      <c r="J43" s="289">
        <v>17.5</v>
      </c>
      <c r="K43" s="276">
        <f>AVERAGE(H43:I43)</f>
        <v>16</v>
      </c>
      <c r="L43" s="276">
        <f>PI()/40000*K43^2</f>
        <v>2.0106192982974676E-2</v>
      </c>
      <c r="M43" s="276">
        <f>L43/$N$39</f>
        <v>2.028122880985765</v>
      </c>
      <c r="N43" s="276">
        <f t="shared" ref="N43:N106" si="0">EXP($D$30+$D$31*$L$39+$D$32*M43+$D$33*K43)</f>
        <v>6698.8411715042312</v>
      </c>
      <c r="O43" s="302">
        <f t="shared" ref="O43:O106" si="1">1-(N43/(1+N43))</f>
        <v>1.4925726959813534E-4</v>
      </c>
      <c r="P43" s="290">
        <v>0.46764899919749481</v>
      </c>
      <c r="Q43" s="98" t="str">
        <f>IF(P43&lt;O43,"tree dies","")</f>
        <v/>
      </c>
    </row>
    <row r="44" spans="2:20" x14ac:dyDescent="0.3">
      <c r="B44" s="289">
        <v>1</v>
      </c>
      <c r="C44" s="289">
        <v>212</v>
      </c>
      <c r="D44" s="289">
        <v>9</v>
      </c>
      <c r="E44" s="289">
        <v>2</v>
      </c>
      <c r="F44" s="289">
        <v>58.5</v>
      </c>
      <c r="G44" s="289">
        <v>17</v>
      </c>
      <c r="H44" s="289">
        <v>15.9</v>
      </c>
      <c r="I44" s="289">
        <v>15.9</v>
      </c>
      <c r="J44" s="289">
        <v>18</v>
      </c>
      <c r="K44" s="276">
        <f>AVERAGE(H44:I44)</f>
        <v>15.9</v>
      </c>
      <c r="L44" s="276">
        <f>PI()/40000*K44^2</f>
        <v>1.9855650968850891E-2</v>
      </c>
      <c r="M44" s="276">
        <f t="shared" ref="M44:M106" si="2">L44/$N$39</f>
        <v>2.0028505685234812</v>
      </c>
      <c r="N44" s="276">
        <f t="shared" si="0"/>
        <v>6263.6108044338944</v>
      </c>
      <c r="O44" s="302">
        <f t="shared" si="1"/>
        <v>1.5962683576320469E-4</v>
      </c>
      <c r="P44" s="290">
        <v>0.38144239541841418</v>
      </c>
      <c r="Q44" s="98" t="str">
        <f>IF(P44&lt;O44,"tree dies","")</f>
        <v/>
      </c>
    </row>
    <row r="45" spans="2:20" x14ac:dyDescent="0.3">
      <c r="B45" s="289">
        <v>1</v>
      </c>
      <c r="C45" s="289">
        <v>263</v>
      </c>
      <c r="D45" s="289">
        <v>11</v>
      </c>
      <c r="E45" s="289">
        <v>1</v>
      </c>
      <c r="F45" s="289">
        <v>67.5</v>
      </c>
      <c r="G45" s="289">
        <v>21</v>
      </c>
      <c r="H45" s="289">
        <v>15.65</v>
      </c>
      <c r="I45" s="289">
        <v>15.65</v>
      </c>
      <c r="J45" s="289">
        <v>16</v>
      </c>
      <c r="K45" s="276">
        <f>AVERAGE(H45:I45)</f>
        <v>15.65</v>
      </c>
      <c r="L45" s="276">
        <f>PI()/40000*K45^2</f>
        <v>1.9236168167471153E-2</v>
      </c>
      <c r="M45" s="276">
        <f t="shared" si="2"/>
        <v>1.9403629934306095</v>
      </c>
      <c r="N45" s="276">
        <f t="shared" si="0"/>
        <v>5300.8961143812749</v>
      </c>
      <c r="O45" s="302">
        <f t="shared" si="1"/>
        <v>1.8861176802154045E-4</v>
      </c>
      <c r="P45" s="290">
        <v>0.46974686689685285</v>
      </c>
      <c r="Q45" s="98" t="str">
        <f>IF(P45&lt;O45,"tree dies","")</f>
        <v/>
      </c>
    </row>
    <row r="46" spans="2:20" x14ac:dyDescent="0.3">
      <c r="B46" s="289">
        <v>1</v>
      </c>
      <c r="C46" s="289">
        <v>246</v>
      </c>
      <c r="D46" s="289">
        <v>11</v>
      </c>
      <c r="E46" s="289">
        <v>1</v>
      </c>
      <c r="F46" s="289">
        <v>16.5</v>
      </c>
      <c r="G46" s="289">
        <v>21</v>
      </c>
      <c r="H46" s="289">
        <v>15.55</v>
      </c>
      <c r="I46" s="289">
        <v>15.55</v>
      </c>
      <c r="J46" s="289">
        <v>17</v>
      </c>
      <c r="K46" s="276">
        <f>AVERAGE(H46:I46)</f>
        <v>15.55</v>
      </c>
      <c r="L46" s="276">
        <f>PI()/40000*K46^2</f>
        <v>1.8991123940491149E-2</v>
      </c>
      <c r="M46" s="276">
        <f t="shared" si="2"/>
        <v>1.9156452458185953</v>
      </c>
      <c r="N46" s="276">
        <f t="shared" si="0"/>
        <v>4960.7099204324495</v>
      </c>
      <c r="O46" s="302">
        <f t="shared" si="1"/>
        <v>2.015434227385926E-4</v>
      </c>
      <c r="P46" s="290">
        <v>0.44043755605821955</v>
      </c>
      <c r="Q46" s="98" t="str">
        <f>IF(P46&lt;O46,"tree dies","")</f>
        <v/>
      </c>
    </row>
    <row r="47" spans="2:20" x14ac:dyDescent="0.3">
      <c r="B47" s="289">
        <v>1</v>
      </c>
      <c r="C47" s="289">
        <v>168</v>
      </c>
      <c r="D47" s="289">
        <v>7</v>
      </c>
      <c r="E47" s="289">
        <v>1</v>
      </c>
      <c r="F47" s="289">
        <v>70.5</v>
      </c>
      <c r="G47" s="289">
        <v>13</v>
      </c>
      <c r="H47" s="289">
        <v>15.4</v>
      </c>
      <c r="I47" s="289">
        <v>15.4</v>
      </c>
      <c r="J47" s="289">
        <v>16</v>
      </c>
      <c r="K47" s="276">
        <f>AVERAGE(H47:I47)</f>
        <v>15.4</v>
      </c>
      <c r="L47" s="276">
        <f>PI()/40000*K47^2</f>
        <v>1.8626502843133885E-2</v>
      </c>
      <c r="M47" s="276">
        <f t="shared" si="2"/>
        <v>1.8788657127132189</v>
      </c>
      <c r="N47" s="276">
        <f t="shared" si="0"/>
        <v>4492.9704619586701</v>
      </c>
      <c r="O47" s="302">
        <f t="shared" si="1"/>
        <v>2.2252037668357705E-4</v>
      </c>
      <c r="P47" s="290">
        <v>9.3312580552537883E-2</v>
      </c>
      <c r="Q47" s="98" t="str">
        <f>IF(P47&lt;O47,"tree dies","")</f>
        <v/>
      </c>
    </row>
    <row r="48" spans="2:20" x14ac:dyDescent="0.3">
      <c r="B48" s="289">
        <v>1</v>
      </c>
      <c r="C48" s="289">
        <v>258</v>
      </c>
      <c r="D48" s="289">
        <v>11</v>
      </c>
      <c r="E48" s="289">
        <v>1</v>
      </c>
      <c r="F48" s="289">
        <v>52.5</v>
      </c>
      <c r="G48" s="289">
        <v>21</v>
      </c>
      <c r="H48" s="289">
        <v>15.35</v>
      </c>
      <c r="I48" s="289">
        <v>15.35</v>
      </c>
      <c r="J48" s="289">
        <v>18</v>
      </c>
      <c r="K48" s="276">
        <f>AVERAGE(H48:I48)</f>
        <v>15.35</v>
      </c>
      <c r="L48" s="276">
        <f>PI()/40000*K48^2</f>
        <v>1.8505747875511527E-2</v>
      </c>
      <c r="M48" s="276">
        <f t="shared" si="2"/>
        <v>1.8666850918947986</v>
      </c>
      <c r="N48" s="276">
        <f t="shared" si="0"/>
        <v>4347.6000642935587</v>
      </c>
      <c r="O48" s="302">
        <f t="shared" si="1"/>
        <v>2.2995906388612042E-4</v>
      </c>
      <c r="P48" s="290">
        <v>0.67300251896871555</v>
      </c>
      <c r="Q48" s="98" t="str">
        <f>IF(P48&lt;O48,"tree dies","")</f>
        <v/>
      </c>
    </row>
    <row r="49" spans="2:17" x14ac:dyDescent="0.3">
      <c r="B49" s="289">
        <v>1</v>
      </c>
      <c r="C49" s="289">
        <v>210</v>
      </c>
      <c r="D49" s="289">
        <v>9</v>
      </c>
      <c r="E49" s="289">
        <v>1</v>
      </c>
      <c r="F49" s="289">
        <v>52.5</v>
      </c>
      <c r="G49" s="289">
        <v>17</v>
      </c>
      <c r="H49" s="289">
        <v>15.25</v>
      </c>
      <c r="I49" s="289">
        <v>15.25</v>
      </c>
      <c r="J49" s="289">
        <v>18</v>
      </c>
      <c r="K49" s="276">
        <f>AVERAGE(H49:I49)</f>
        <v>15.25</v>
      </c>
      <c r="L49" s="276">
        <f>PI()/40000*K49^2</f>
        <v>1.8265416037511906E-2</v>
      </c>
      <c r="M49" s="276">
        <f t="shared" si="2"/>
        <v>1.8424426855830154</v>
      </c>
      <c r="N49" s="276">
        <f t="shared" si="0"/>
        <v>4071.5596490839584</v>
      </c>
      <c r="O49" s="302">
        <f t="shared" si="1"/>
        <v>2.4554582036018235E-4</v>
      </c>
      <c r="P49" s="290">
        <v>0.62761094894279967</v>
      </c>
      <c r="Q49" s="98" t="str">
        <f>IF(P49&lt;O49,"tree dies","")</f>
        <v/>
      </c>
    </row>
    <row r="50" spans="2:17" x14ac:dyDescent="0.3">
      <c r="B50" s="289">
        <v>1</v>
      </c>
      <c r="C50" s="289">
        <v>203</v>
      </c>
      <c r="D50" s="289">
        <v>9</v>
      </c>
      <c r="E50" s="289">
        <v>2</v>
      </c>
      <c r="F50" s="289">
        <v>31.5</v>
      </c>
      <c r="G50" s="289">
        <v>17</v>
      </c>
      <c r="H50" s="289">
        <v>15.05</v>
      </c>
      <c r="I50" s="289">
        <v>15.05</v>
      </c>
      <c r="J50" s="289">
        <v>17.5</v>
      </c>
      <c r="K50" s="276">
        <f>AVERAGE(H50:I50)</f>
        <v>15.05</v>
      </c>
      <c r="L50" s="276">
        <f>PI()/40000*K50^2</f>
        <v>1.7789464750493054E-2</v>
      </c>
      <c r="M50" s="276">
        <f t="shared" si="2"/>
        <v>1.7944332142596806</v>
      </c>
      <c r="N50" s="276">
        <f t="shared" si="0"/>
        <v>3573.5503707136427</v>
      </c>
      <c r="O50" s="302">
        <f t="shared" si="1"/>
        <v>2.797554646852829E-4</v>
      </c>
      <c r="P50" s="290">
        <v>0.19541987453803356</v>
      </c>
      <c r="Q50" s="98" t="str">
        <f>IF(P50&lt;O50,"tree dies","")</f>
        <v/>
      </c>
    </row>
    <row r="51" spans="2:17" x14ac:dyDescent="0.3">
      <c r="B51" s="289">
        <v>1</v>
      </c>
      <c r="C51" s="289">
        <v>170</v>
      </c>
      <c r="D51" s="289">
        <v>8</v>
      </c>
      <c r="E51" s="289">
        <v>2</v>
      </c>
      <c r="F51" s="289">
        <v>67.5</v>
      </c>
      <c r="G51" s="289">
        <v>15</v>
      </c>
      <c r="H51" s="289">
        <v>14.9</v>
      </c>
      <c r="I51" s="289">
        <v>14.9</v>
      </c>
      <c r="J51" s="289">
        <v>15</v>
      </c>
      <c r="K51" s="276">
        <f>AVERAGE(H51:I51)</f>
        <v>14.9</v>
      </c>
      <c r="L51" s="276">
        <f>PI()/40000*K51^2</f>
        <v>1.743662462558675E-2</v>
      </c>
      <c r="M51" s="276">
        <f t="shared" si="2"/>
        <v>1.7588420344048816</v>
      </c>
      <c r="N51" s="276">
        <f t="shared" si="0"/>
        <v>3242.5100391106748</v>
      </c>
      <c r="O51" s="302">
        <f t="shared" si="1"/>
        <v>3.0830797128478249E-4</v>
      </c>
      <c r="P51" s="290">
        <v>0.22932971134359526</v>
      </c>
      <c r="Q51" s="98" t="str">
        <f>IF(P51&lt;O51,"tree dies","")</f>
        <v/>
      </c>
    </row>
    <row r="52" spans="2:17" x14ac:dyDescent="0.3">
      <c r="B52" s="289">
        <v>1</v>
      </c>
      <c r="C52" s="289">
        <v>231</v>
      </c>
      <c r="D52" s="289">
        <v>10</v>
      </c>
      <c r="E52" s="289">
        <v>1</v>
      </c>
      <c r="F52" s="289">
        <v>28.5</v>
      </c>
      <c r="G52" s="289">
        <v>19</v>
      </c>
      <c r="H52" s="289">
        <v>14.9</v>
      </c>
      <c r="I52" s="289">
        <v>14.9</v>
      </c>
      <c r="J52" s="289">
        <v>18</v>
      </c>
      <c r="K52" s="276">
        <f>AVERAGE(H52:I52)</f>
        <v>14.9</v>
      </c>
      <c r="L52" s="276">
        <f>PI()/40000*K52^2</f>
        <v>1.743662462558675E-2</v>
      </c>
      <c r="M52" s="276">
        <f t="shared" si="2"/>
        <v>1.7588420344048816</v>
      </c>
      <c r="N52" s="276">
        <f t="shared" si="0"/>
        <v>3242.5100391106748</v>
      </c>
      <c r="O52" s="302">
        <f t="shared" si="1"/>
        <v>3.0830797128478249E-4</v>
      </c>
      <c r="P52" s="290">
        <v>0.46820356095147864</v>
      </c>
      <c r="Q52" s="98" t="str">
        <f>IF(P52&lt;O52,"tree dies","")</f>
        <v/>
      </c>
    </row>
    <row r="53" spans="2:17" x14ac:dyDescent="0.3">
      <c r="B53" s="289">
        <v>1</v>
      </c>
      <c r="C53" s="289">
        <v>129</v>
      </c>
      <c r="D53" s="289">
        <v>6</v>
      </c>
      <c r="E53" s="289">
        <v>1</v>
      </c>
      <c r="F53" s="289">
        <v>46.5</v>
      </c>
      <c r="G53" s="289">
        <v>11</v>
      </c>
      <c r="H53" s="289">
        <v>14.8</v>
      </c>
      <c r="I53" s="289">
        <v>14.8</v>
      </c>
      <c r="J53" s="289">
        <v>17</v>
      </c>
      <c r="K53" s="276">
        <f>AVERAGE(H53:I53)</f>
        <v>14.8</v>
      </c>
      <c r="L53" s="276">
        <f>PI()/40000*K53^2</f>
        <v>1.7203361371057709E-2</v>
      </c>
      <c r="M53" s="276">
        <f t="shared" si="2"/>
        <v>1.7353126400434453</v>
      </c>
      <c r="N53" s="276">
        <f t="shared" si="0"/>
        <v>3039.9578261812549</v>
      </c>
      <c r="O53" s="302">
        <f t="shared" si="1"/>
        <v>3.2884375817066047E-4</v>
      </c>
      <c r="P53" s="290">
        <v>0.79381377786173801</v>
      </c>
      <c r="Q53" s="98" t="str">
        <f>IF(P53&lt;O53,"tree dies","")</f>
        <v/>
      </c>
    </row>
    <row r="54" spans="2:17" x14ac:dyDescent="0.3">
      <c r="B54" s="289">
        <v>1</v>
      </c>
      <c r="C54" s="289">
        <v>211</v>
      </c>
      <c r="D54" s="289">
        <v>9</v>
      </c>
      <c r="E54" s="289">
        <v>2</v>
      </c>
      <c r="F54" s="289">
        <v>55.5</v>
      </c>
      <c r="G54" s="289">
        <v>17</v>
      </c>
      <c r="H54" s="289">
        <v>14.8</v>
      </c>
      <c r="I54" s="289">
        <v>14.8</v>
      </c>
      <c r="J54" s="289">
        <v>17.5</v>
      </c>
      <c r="K54" s="276">
        <f>AVERAGE(H54:I54)</f>
        <v>14.8</v>
      </c>
      <c r="L54" s="276">
        <f>PI()/40000*K54^2</f>
        <v>1.7203361371057709E-2</v>
      </c>
      <c r="M54" s="276">
        <f t="shared" si="2"/>
        <v>1.7353126400434453</v>
      </c>
      <c r="N54" s="276">
        <f t="shared" si="0"/>
        <v>3039.9578261812549</v>
      </c>
      <c r="O54" s="302">
        <f t="shared" si="1"/>
        <v>3.2884375817066047E-4</v>
      </c>
      <c r="P54" s="290">
        <v>7.6842290009314418E-2</v>
      </c>
      <c r="Q54" s="98" t="str">
        <f>IF(P54&lt;O54,"tree dies","")</f>
        <v/>
      </c>
    </row>
    <row r="55" spans="2:17" x14ac:dyDescent="0.3">
      <c r="B55" s="289">
        <v>1</v>
      </c>
      <c r="C55" s="289">
        <v>228</v>
      </c>
      <c r="D55" s="289">
        <v>10</v>
      </c>
      <c r="E55" s="289">
        <v>1</v>
      </c>
      <c r="F55" s="289">
        <v>37.5</v>
      </c>
      <c r="G55" s="289">
        <v>19</v>
      </c>
      <c r="H55" s="289">
        <v>14.8</v>
      </c>
      <c r="I55" s="289">
        <v>14.8</v>
      </c>
      <c r="J55" s="289">
        <v>18</v>
      </c>
      <c r="K55" s="276">
        <f>AVERAGE(H55:I55)</f>
        <v>14.8</v>
      </c>
      <c r="L55" s="276">
        <f>PI()/40000*K55^2</f>
        <v>1.7203361371057709E-2</v>
      </c>
      <c r="M55" s="276">
        <f t="shared" si="2"/>
        <v>1.7353126400434453</v>
      </c>
      <c r="N55" s="276">
        <f t="shared" si="0"/>
        <v>3039.9578261812549</v>
      </c>
      <c r="O55" s="302">
        <f t="shared" si="1"/>
        <v>3.2884375817066047E-4</v>
      </c>
      <c r="P55" s="290">
        <v>0.9318255329078905</v>
      </c>
      <c r="Q55" s="98" t="str">
        <f>IF(P55&lt;O55,"tree dies","")</f>
        <v/>
      </c>
    </row>
    <row r="56" spans="2:17" x14ac:dyDescent="0.3">
      <c r="B56" s="289">
        <v>1</v>
      </c>
      <c r="C56" s="289">
        <v>124</v>
      </c>
      <c r="D56" s="289">
        <v>6</v>
      </c>
      <c r="E56" s="289">
        <v>2</v>
      </c>
      <c r="F56" s="289">
        <v>61.5</v>
      </c>
      <c r="G56" s="289">
        <v>11</v>
      </c>
      <c r="H56" s="289">
        <v>14.65</v>
      </c>
      <c r="I56" s="289">
        <v>14.65</v>
      </c>
      <c r="J56" s="289">
        <v>16.5</v>
      </c>
      <c r="K56" s="276">
        <f>AVERAGE(H56:I56)</f>
        <v>14.65</v>
      </c>
      <c r="L56" s="276">
        <f>PI()/40000*K56^2</f>
        <v>1.6856411732376883E-2</v>
      </c>
      <c r="M56" s="276">
        <f t="shared" si="2"/>
        <v>1.7003156368139347</v>
      </c>
      <c r="N56" s="276">
        <f t="shared" si="0"/>
        <v>2760.8627995260831</v>
      </c>
      <c r="O56" s="302">
        <f t="shared" si="1"/>
        <v>3.6207446661418174E-4</v>
      </c>
      <c r="P56" s="290">
        <v>7.2097384611585547E-2</v>
      </c>
      <c r="Q56" s="98" t="str">
        <f>IF(P56&lt;O56,"tree dies","")</f>
        <v/>
      </c>
    </row>
    <row r="57" spans="2:17" x14ac:dyDescent="0.3">
      <c r="B57" s="289">
        <v>1</v>
      </c>
      <c r="C57" s="289">
        <v>183</v>
      </c>
      <c r="D57" s="289">
        <v>8</v>
      </c>
      <c r="E57" s="289">
        <v>2</v>
      </c>
      <c r="F57" s="289">
        <v>28.5</v>
      </c>
      <c r="G57" s="289">
        <v>15</v>
      </c>
      <c r="H57" s="289">
        <v>14.65</v>
      </c>
      <c r="I57" s="289">
        <v>14.65</v>
      </c>
      <c r="J57" s="289">
        <v>17.5</v>
      </c>
      <c r="K57" s="276">
        <f>AVERAGE(H57:I57)</f>
        <v>14.65</v>
      </c>
      <c r="L57" s="276">
        <f>PI()/40000*K57^2</f>
        <v>1.6856411732376883E-2</v>
      </c>
      <c r="M57" s="276">
        <f t="shared" si="2"/>
        <v>1.7003156368139347</v>
      </c>
      <c r="N57" s="276">
        <f t="shared" si="0"/>
        <v>2760.8627995260831</v>
      </c>
      <c r="O57" s="302">
        <f t="shared" si="1"/>
        <v>3.6207446661418174E-4</v>
      </c>
      <c r="P57" s="290">
        <v>0.30120124604765275</v>
      </c>
      <c r="Q57" s="98" t="str">
        <f>IF(P57&lt;O57,"tree dies","")</f>
        <v/>
      </c>
    </row>
    <row r="58" spans="2:17" x14ac:dyDescent="0.3">
      <c r="B58" s="289">
        <v>1</v>
      </c>
      <c r="C58" s="289">
        <v>244</v>
      </c>
      <c r="D58" s="289">
        <v>11</v>
      </c>
      <c r="E58" s="289">
        <v>1</v>
      </c>
      <c r="F58" s="289">
        <v>10.5</v>
      </c>
      <c r="G58" s="289">
        <v>21</v>
      </c>
      <c r="H58" s="289">
        <v>14.6</v>
      </c>
      <c r="I58" s="289">
        <v>14.6</v>
      </c>
      <c r="J58" s="289">
        <v>15.5</v>
      </c>
      <c r="K58" s="276">
        <f>AVERAGE(H58:I58)</f>
        <v>14.6</v>
      </c>
      <c r="L58" s="276">
        <f>PI()/40000*K58^2</f>
        <v>1.6741547250980007E-2</v>
      </c>
      <c r="M58" s="276">
        <f t="shared" si="2"/>
        <v>1.6887291926208032</v>
      </c>
      <c r="N58" s="276">
        <f t="shared" si="0"/>
        <v>2673.9710015073156</v>
      </c>
      <c r="O58" s="302">
        <f t="shared" si="1"/>
        <v>3.7383582828987016E-4</v>
      </c>
      <c r="P58" s="290">
        <v>0.21901273154909007</v>
      </c>
      <c r="Q58" s="98" t="str">
        <f>IF(P58&lt;O58,"tree dies","")</f>
        <v/>
      </c>
    </row>
    <row r="59" spans="2:17" x14ac:dyDescent="0.3">
      <c r="B59" s="289">
        <v>1</v>
      </c>
      <c r="C59" s="289">
        <v>253</v>
      </c>
      <c r="D59" s="289">
        <v>11</v>
      </c>
      <c r="E59" s="289">
        <v>1</v>
      </c>
      <c r="F59" s="289">
        <v>37.5</v>
      </c>
      <c r="G59" s="289">
        <v>21</v>
      </c>
      <c r="H59" s="289">
        <v>14.6</v>
      </c>
      <c r="I59" s="289">
        <v>14.6</v>
      </c>
      <c r="J59" s="289">
        <v>17.5</v>
      </c>
      <c r="K59" s="276">
        <f>AVERAGE(H59:I59)</f>
        <v>14.6</v>
      </c>
      <c r="L59" s="276">
        <f>PI()/40000*K59^2</f>
        <v>1.6741547250980007E-2</v>
      </c>
      <c r="M59" s="276">
        <f t="shared" si="2"/>
        <v>1.6887291926208032</v>
      </c>
      <c r="N59" s="276">
        <f t="shared" si="0"/>
        <v>2673.9710015073156</v>
      </c>
      <c r="O59" s="302">
        <f t="shared" si="1"/>
        <v>3.7383582828987016E-4</v>
      </c>
      <c r="P59" s="290">
        <v>0.21049022980139975</v>
      </c>
      <c r="Q59" s="98" t="str">
        <f>IF(P59&lt;O59,"tree dies","")</f>
        <v/>
      </c>
    </row>
    <row r="60" spans="2:17" x14ac:dyDescent="0.3">
      <c r="B60" s="289">
        <v>1</v>
      </c>
      <c r="C60" s="289">
        <v>194</v>
      </c>
      <c r="D60" s="289">
        <v>9</v>
      </c>
      <c r="E60" s="289">
        <v>1</v>
      </c>
      <c r="F60" s="289">
        <v>4.5</v>
      </c>
      <c r="G60" s="289">
        <v>17</v>
      </c>
      <c r="H60" s="289">
        <v>14.5</v>
      </c>
      <c r="I60" s="289">
        <v>14.5</v>
      </c>
      <c r="J60" s="289">
        <v>17</v>
      </c>
      <c r="K60" s="276">
        <f>AVERAGE(H60:I60)</f>
        <v>14.5</v>
      </c>
      <c r="L60" s="276">
        <f>PI()/40000*K60^2</f>
        <v>1.6512996385431349E-2</v>
      </c>
      <c r="M60" s="276">
        <f t="shared" si="2"/>
        <v>1.6656751395595977</v>
      </c>
      <c r="N60" s="276">
        <f t="shared" si="0"/>
        <v>2508.7627833294951</v>
      </c>
      <c r="O60" s="302">
        <f t="shared" si="1"/>
        <v>3.9844403090294467E-4</v>
      </c>
      <c r="P60" s="290">
        <v>0.62335459607452337</v>
      </c>
      <c r="Q60" s="98" t="str">
        <f>IF(P60&lt;O60,"tree dies","")</f>
        <v/>
      </c>
    </row>
    <row r="61" spans="2:17" x14ac:dyDescent="0.3">
      <c r="B61" s="289">
        <v>1</v>
      </c>
      <c r="C61" s="289">
        <v>233</v>
      </c>
      <c r="D61" s="289">
        <v>10</v>
      </c>
      <c r="E61" s="289">
        <v>1</v>
      </c>
      <c r="F61" s="289">
        <v>22.5</v>
      </c>
      <c r="G61" s="289">
        <v>19</v>
      </c>
      <c r="H61" s="289">
        <v>14.5</v>
      </c>
      <c r="I61" s="289">
        <v>14.5</v>
      </c>
      <c r="J61" s="289">
        <v>18</v>
      </c>
      <c r="K61" s="276">
        <f>AVERAGE(H61:I61)</f>
        <v>14.5</v>
      </c>
      <c r="L61" s="276">
        <f>PI()/40000*K61^2</f>
        <v>1.6512996385431349E-2</v>
      </c>
      <c r="M61" s="276">
        <f t="shared" si="2"/>
        <v>1.6656751395595977</v>
      </c>
      <c r="N61" s="276">
        <f t="shared" si="0"/>
        <v>2508.7627833294951</v>
      </c>
      <c r="O61" s="302">
        <f t="shared" si="1"/>
        <v>3.9844403090294467E-4</v>
      </c>
      <c r="P61" s="290">
        <v>0.5054664961401012</v>
      </c>
      <c r="Q61" s="98" t="str">
        <f>IF(P61&lt;O61,"tree dies","")</f>
        <v/>
      </c>
    </row>
    <row r="62" spans="2:17" x14ac:dyDescent="0.3">
      <c r="B62" s="289">
        <v>1</v>
      </c>
      <c r="C62" s="289">
        <v>208</v>
      </c>
      <c r="D62" s="289">
        <v>9</v>
      </c>
      <c r="E62" s="289">
        <v>1</v>
      </c>
      <c r="F62" s="289">
        <v>46.5</v>
      </c>
      <c r="G62" s="289">
        <v>17</v>
      </c>
      <c r="H62" s="289">
        <v>14.45</v>
      </c>
      <c r="I62" s="289">
        <v>14.45</v>
      </c>
      <c r="J62" s="289">
        <v>16.5</v>
      </c>
      <c r="K62" s="276">
        <f>AVERAGE(H62:I62)</f>
        <v>14.45</v>
      </c>
      <c r="L62" s="276">
        <f>PI()/40000*K62^2</f>
        <v>1.6399310001279567E-2</v>
      </c>
      <c r="M62" s="276">
        <f t="shared" si="2"/>
        <v>1.6542075306915238</v>
      </c>
      <c r="N62" s="276">
        <f t="shared" si="0"/>
        <v>2430.2482305120884</v>
      </c>
      <c r="O62" s="302">
        <f t="shared" si="1"/>
        <v>4.113113533410484E-4</v>
      </c>
      <c r="P62" s="290">
        <v>0.93710942730064661</v>
      </c>
      <c r="Q62" s="98" t="str">
        <f>IF(P62&lt;O62,"tree dies","")</f>
        <v/>
      </c>
    </row>
    <row r="63" spans="2:17" x14ac:dyDescent="0.3">
      <c r="B63" s="289">
        <v>1</v>
      </c>
      <c r="C63" s="289">
        <v>213</v>
      </c>
      <c r="D63" s="289">
        <v>9</v>
      </c>
      <c r="E63" s="289">
        <v>2</v>
      </c>
      <c r="F63" s="289">
        <v>61.5</v>
      </c>
      <c r="G63" s="289">
        <v>17</v>
      </c>
      <c r="H63" s="289">
        <v>14.45</v>
      </c>
      <c r="I63" s="289">
        <v>14.45</v>
      </c>
      <c r="J63" s="289">
        <v>16.5</v>
      </c>
      <c r="K63" s="276">
        <f>AVERAGE(H63:I63)</f>
        <v>14.45</v>
      </c>
      <c r="L63" s="276">
        <f>PI()/40000*K63^2</f>
        <v>1.6399310001279567E-2</v>
      </c>
      <c r="M63" s="276">
        <f t="shared" si="2"/>
        <v>1.6542075306915238</v>
      </c>
      <c r="N63" s="276">
        <f t="shared" si="0"/>
        <v>2430.2482305120884</v>
      </c>
      <c r="O63" s="302">
        <f t="shared" si="1"/>
        <v>4.113113533410484E-4</v>
      </c>
      <c r="P63" s="290">
        <v>0.53325333224420213</v>
      </c>
      <c r="Q63" s="98" t="str">
        <f>IF(P63&lt;O63,"tree dies","")</f>
        <v/>
      </c>
    </row>
    <row r="64" spans="2:17" x14ac:dyDescent="0.3">
      <c r="B64" s="289">
        <v>1</v>
      </c>
      <c r="C64" s="289">
        <v>252</v>
      </c>
      <c r="D64" s="289">
        <v>11</v>
      </c>
      <c r="E64" s="289">
        <v>1</v>
      </c>
      <c r="F64" s="289">
        <v>34.5</v>
      </c>
      <c r="G64" s="289">
        <v>21</v>
      </c>
      <c r="H64" s="289">
        <v>14.45</v>
      </c>
      <c r="I64" s="289">
        <v>14.45</v>
      </c>
      <c r="J64" s="289">
        <v>17.5</v>
      </c>
      <c r="K64" s="276">
        <f>AVERAGE(H64:I64)</f>
        <v>14.45</v>
      </c>
      <c r="L64" s="276">
        <f>PI()/40000*K64^2</f>
        <v>1.6399310001279567E-2</v>
      </c>
      <c r="M64" s="276">
        <f t="shared" si="2"/>
        <v>1.6542075306915238</v>
      </c>
      <c r="N64" s="276">
        <f t="shared" si="0"/>
        <v>2430.2482305120884</v>
      </c>
      <c r="O64" s="302">
        <f t="shared" si="1"/>
        <v>4.113113533410484E-4</v>
      </c>
      <c r="P64" s="290">
        <v>0.37666843932323868</v>
      </c>
      <c r="Q64" s="98" t="str">
        <f>IF(P64&lt;O64,"tree dies","")</f>
        <v/>
      </c>
    </row>
    <row r="65" spans="2:17" x14ac:dyDescent="0.3">
      <c r="B65" s="289">
        <v>1</v>
      </c>
      <c r="C65" s="289">
        <v>169</v>
      </c>
      <c r="D65" s="289">
        <v>8</v>
      </c>
      <c r="E65" s="289">
        <v>1</v>
      </c>
      <c r="F65" s="289">
        <v>70.5</v>
      </c>
      <c r="G65" s="289">
        <v>15</v>
      </c>
      <c r="H65" s="289">
        <v>14.4</v>
      </c>
      <c r="I65" s="289">
        <v>14.4</v>
      </c>
      <c r="J65" s="289">
        <v>16.5</v>
      </c>
      <c r="K65" s="276">
        <f>AVERAGE(H65:I65)</f>
        <v>14.4</v>
      </c>
      <c r="L65" s="276">
        <f>PI()/40000*K65^2</f>
        <v>1.628601631620949E-2</v>
      </c>
      <c r="M65" s="276">
        <f t="shared" si="2"/>
        <v>1.6427795335984698</v>
      </c>
      <c r="N65" s="276">
        <f t="shared" si="0"/>
        <v>2354.3339344181113</v>
      </c>
      <c r="O65" s="302">
        <f t="shared" si="1"/>
        <v>4.2456824715475516E-4</v>
      </c>
      <c r="P65" s="290">
        <v>0.14705055142866674</v>
      </c>
      <c r="Q65" s="98" t="str">
        <f>IF(P65&lt;O65,"tree dies","")</f>
        <v/>
      </c>
    </row>
    <row r="66" spans="2:17" x14ac:dyDescent="0.3">
      <c r="B66" s="289">
        <v>1</v>
      </c>
      <c r="C66" s="289">
        <v>221</v>
      </c>
      <c r="D66" s="289">
        <v>10</v>
      </c>
      <c r="E66" s="289">
        <v>1</v>
      </c>
      <c r="F66" s="289">
        <v>58.5</v>
      </c>
      <c r="G66" s="289">
        <v>19</v>
      </c>
      <c r="H66" s="289">
        <v>14.4</v>
      </c>
      <c r="I66" s="289">
        <v>14.4</v>
      </c>
      <c r="J66" s="289">
        <v>0</v>
      </c>
      <c r="K66" s="276">
        <f>AVERAGE(H66:I66)</f>
        <v>14.4</v>
      </c>
      <c r="L66" s="276">
        <f>PI()/40000*K66^2</f>
        <v>1.628601631620949E-2</v>
      </c>
      <c r="M66" s="276">
        <f t="shared" si="2"/>
        <v>1.6427795335984698</v>
      </c>
      <c r="N66" s="276">
        <f t="shared" si="0"/>
        <v>2354.3339344181113</v>
      </c>
      <c r="O66" s="302">
        <f t="shared" si="1"/>
        <v>4.2456824715475516E-4</v>
      </c>
      <c r="P66" s="290">
        <v>1.4243080693503107E-2</v>
      </c>
      <c r="Q66" s="98" t="str">
        <f>IF(P66&lt;O66,"tree dies","")</f>
        <v/>
      </c>
    </row>
    <row r="67" spans="2:17" x14ac:dyDescent="0.3">
      <c r="B67" s="289">
        <v>1</v>
      </c>
      <c r="C67" s="289">
        <v>225</v>
      </c>
      <c r="D67" s="289">
        <v>10</v>
      </c>
      <c r="E67" s="289">
        <v>1</v>
      </c>
      <c r="F67" s="289">
        <v>46.5</v>
      </c>
      <c r="G67" s="289">
        <v>19</v>
      </c>
      <c r="H67" s="289">
        <v>14.4</v>
      </c>
      <c r="I67" s="289">
        <v>14.4</v>
      </c>
      <c r="J67" s="289">
        <v>0</v>
      </c>
      <c r="K67" s="276">
        <f>AVERAGE(H67:I67)</f>
        <v>14.4</v>
      </c>
      <c r="L67" s="276">
        <f>PI()/40000*K67^2</f>
        <v>1.628601631620949E-2</v>
      </c>
      <c r="M67" s="276">
        <f t="shared" si="2"/>
        <v>1.6427795335984698</v>
      </c>
      <c r="N67" s="276">
        <f t="shared" si="0"/>
        <v>2354.3339344181113</v>
      </c>
      <c r="O67" s="302">
        <f t="shared" si="1"/>
        <v>4.2456824715475516E-4</v>
      </c>
      <c r="P67" s="290">
        <v>0.31153266826243786</v>
      </c>
      <c r="Q67" s="98" t="str">
        <f>IF(P67&lt;O67,"tree dies","")</f>
        <v/>
      </c>
    </row>
    <row r="68" spans="2:17" x14ac:dyDescent="0.3">
      <c r="B68" s="289">
        <v>1</v>
      </c>
      <c r="C68" s="289">
        <v>4</v>
      </c>
      <c r="D68" s="289">
        <v>1</v>
      </c>
      <c r="E68" s="289">
        <v>1</v>
      </c>
      <c r="F68" s="289">
        <v>10.5</v>
      </c>
      <c r="G68" s="289">
        <v>1</v>
      </c>
      <c r="H68" s="289">
        <v>14.35</v>
      </c>
      <c r="I68" s="289">
        <v>14.35</v>
      </c>
      <c r="J68" s="289">
        <v>16.5</v>
      </c>
      <c r="K68" s="276">
        <f>AVERAGE(H68:I68)</f>
        <v>14.35</v>
      </c>
      <c r="L68" s="276">
        <f>PI()/40000*K68^2</f>
        <v>1.6173115330221102E-2</v>
      </c>
      <c r="M68" s="276">
        <f t="shared" si="2"/>
        <v>1.631391148280434</v>
      </c>
      <c r="N68" s="276">
        <f t="shared" si="0"/>
        <v>2280.9295881872495</v>
      </c>
      <c r="O68" s="302">
        <f t="shared" si="1"/>
        <v>4.382256162401843E-4</v>
      </c>
      <c r="P68" s="290">
        <v>0.86188355019730134</v>
      </c>
      <c r="Q68" s="98" t="str">
        <f>IF(P68&lt;O68,"tree dies","")</f>
        <v/>
      </c>
    </row>
    <row r="69" spans="2:17" x14ac:dyDescent="0.3">
      <c r="B69" s="289">
        <v>1</v>
      </c>
      <c r="C69" s="289">
        <v>122</v>
      </c>
      <c r="D69" s="289">
        <v>6</v>
      </c>
      <c r="E69" s="289">
        <v>2</v>
      </c>
      <c r="F69" s="289">
        <v>67.5</v>
      </c>
      <c r="G69" s="289">
        <v>11</v>
      </c>
      <c r="H69" s="289">
        <v>14.35</v>
      </c>
      <c r="I69" s="289">
        <v>14.35</v>
      </c>
      <c r="J69" s="289">
        <v>16</v>
      </c>
      <c r="K69" s="276">
        <f>AVERAGE(H69:I69)</f>
        <v>14.35</v>
      </c>
      <c r="L69" s="276">
        <f>PI()/40000*K69^2</f>
        <v>1.6173115330221102E-2</v>
      </c>
      <c r="M69" s="276">
        <f t="shared" si="2"/>
        <v>1.631391148280434</v>
      </c>
      <c r="N69" s="276">
        <f t="shared" si="0"/>
        <v>2280.9295881872495</v>
      </c>
      <c r="O69" s="302">
        <f t="shared" si="1"/>
        <v>4.382256162401843E-4</v>
      </c>
      <c r="P69" s="290">
        <v>0.53714228286590082</v>
      </c>
      <c r="Q69" s="98" t="str">
        <f>IF(P69&lt;O69,"tree dies","")</f>
        <v/>
      </c>
    </row>
    <row r="70" spans="2:17" x14ac:dyDescent="0.3">
      <c r="B70" s="289">
        <v>1</v>
      </c>
      <c r="C70" s="289">
        <v>188</v>
      </c>
      <c r="D70" s="289">
        <v>8</v>
      </c>
      <c r="E70" s="289">
        <v>1</v>
      </c>
      <c r="F70" s="289">
        <v>13.5</v>
      </c>
      <c r="G70" s="289">
        <v>15</v>
      </c>
      <c r="H70" s="289">
        <v>14.35</v>
      </c>
      <c r="I70" s="289">
        <v>14.35</v>
      </c>
      <c r="J70" s="289">
        <v>0</v>
      </c>
      <c r="K70" s="276">
        <f>AVERAGE(H70:I70)</f>
        <v>14.35</v>
      </c>
      <c r="L70" s="276">
        <f>PI()/40000*K70^2</f>
        <v>1.6173115330221102E-2</v>
      </c>
      <c r="M70" s="276">
        <f t="shared" si="2"/>
        <v>1.631391148280434</v>
      </c>
      <c r="N70" s="276">
        <f t="shared" si="0"/>
        <v>2280.9295881872495</v>
      </c>
      <c r="O70" s="302">
        <f t="shared" si="1"/>
        <v>4.382256162401843E-4</v>
      </c>
      <c r="P70" s="290">
        <v>0.82948550509229568</v>
      </c>
      <c r="Q70" s="98" t="str">
        <f>IF(P70&lt;O70,"tree dies","")</f>
        <v/>
      </c>
    </row>
    <row r="71" spans="2:17" x14ac:dyDescent="0.3">
      <c r="B71" s="289">
        <v>1</v>
      </c>
      <c r="C71" s="289">
        <v>118</v>
      </c>
      <c r="D71" s="289">
        <v>5</v>
      </c>
      <c r="E71" s="289">
        <v>2</v>
      </c>
      <c r="F71" s="289">
        <v>64.5</v>
      </c>
      <c r="G71" s="289">
        <v>9</v>
      </c>
      <c r="H71" s="289">
        <v>14.2</v>
      </c>
      <c r="I71" s="289">
        <v>14.2</v>
      </c>
      <c r="J71" s="289">
        <v>0</v>
      </c>
      <c r="K71" s="276">
        <f>AVERAGE(H71:I71)</f>
        <v>14.2</v>
      </c>
      <c r="L71" s="276">
        <f>PI()/40000*K71^2</f>
        <v>1.5836768566746148E-2</v>
      </c>
      <c r="M71" s="276">
        <f t="shared" si="2"/>
        <v>1.5974636629764438</v>
      </c>
      <c r="N71" s="276">
        <f t="shared" si="0"/>
        <v>2074.9214790281248</v>
      </c>
      <c r="O71" s="302">
        <f t="shared" si="1"/>
        <v>4.8171378835970557E-4</v>
      </c>
      <c r="P71" s="290">
        <v>0.8644151887515571</v>
      </c>
      <c r="Q71" s="98" t="str">
        <f>IF(P71&lt;O71,"tree dies","")</f>
        <v/>
      </c>
    </row>
    <row r="72" spans="2:17" x14ac:dyDescent="0.3">
      <c r="B72" s="289">
        <v>1</v>
      </c>
      <c r="C72" s="289">
        <v>227</v>
      </c>
      <c r="D72" s="289">
        <v>10</v>
      </c>
      <c r="E72" s="289">
        <v>1</v>
      </c>
      <c r="F72" s="289">
        <v>40.5</v>
      </c>
      <c r="G72" s="289">
        <v>19</v>
      </c>
      <c r="H72" s="289">
        <v>14.05</v>
      </c>
      <c r="I72" s="289">
        <v>14.05</v>
      </c>
      <c r="J72" s="289">
        <v>0</v>
      </c>
      <c r="K72" s="276">
        <f>AVERAGE(H72:I72)</f>
        <v>14.05</v>
      </c>
      <c r="L72" s="276">
        <f>PI()/40000*K72^2</f>
        <v>1.5503956095006481E-2</v>
      </c>
      <c r="M72" s="276">
        <f t="shared" si="2"/>
        <v>1.563892683647627</v>
      </c>
      <c r="N72" s="276">
        <f t="shared" si="0"/>
        <v>1888.5520592476155</v>
      </c>
      <c r="O72" s="302">
        <f t="shared" si="1"/>
        <v>5.2922595866355948E-4</v>
      </c>
      <c r="P72" s="290">
        <v>0.19459256650691548</v>
      </c>
      <c r="Q72" s="98" t="str">
        <f>IF(P72&lt;O72,"tree dies","")</f>
        <v/>
      </c>
    </row>
    <row r="73" spans="2:17" x14ac:dyDescent="0.3">
      <c r="B73" s="289">
        <v>1</v>
      </c>
      <c r="C73" s="289">
        <v>222</v>
      </c>
      <c r="D73" s="289">
        <v>10</v>
      </c>
      <c r="E73" s="289">
        <v>1</v>
      </c>
      <c r="F73" s="289">
        <v>55.5</v>
      </c>
      <c r="G73" s="289">
        <v>19</v>
      </c>
      <c r="H73" s="289">
        <v>14</v>
      </c>
      <c r="I73" s="289">
        <v>14</v>
      </c>
      <c r="J73" s="289">
        <v>0</v>
      </c>
      <c r="K73" s="276">
        <f>AVERAGE(H73:I73)</f>
        <v>14</v>
      </c>
      <c r="L73" s="276">
        <f>PI()/40000*K73^2</f>
        <v>1.5393804002589986E-2</v>
      </c>
      <c r="M73" s="276">
        <f t="shared" si="2"/>
        <v>1.5527815807547263</v>
      </c>
      <c r="N73" s="276">
        <f t="shared" si="0"/>
        <v>1830.4484608530197</v>
      </c>
      <c r="O73" s="302">
        <f t="shared" si="1"/>
        <v>5.4601591110803316E-4</v>
      </c>
      <c r="P73" s="290">
        <v>0.10955933558366704</v>
      </c>
      <c r="Q73" s="98" t="str">
        <f>IF(P73&lt;O73,"tree dies","")</f>
        <v/>
      </c>
    </row>
    <row r="74" spans="2:17" x14ac:dyDescent="0.3">
      <c r="B74" s="289">
        <v>1</v>
      </c>
      <c r="C74" s="289">
        <v>14</v>
      </c>
      <c r="D74" s="289">
        <v>1</v>
      </c>
      <c r="E74" s="289">
        <v>1</v>
      </c>
      <c r="F74" s="289">
        <v>40.5</v>
      </c>
      <c r="G74" s="289">
        <v>1</v>
      </c>
      <c r="H74" s="289">
        <v>13.95</v>
      </c>
      <c r="I74" s="289">
        <v>13.95</v>
      </c>
      <c r="J74" s="289">
        <v>0</v>
      </c>
      <c r="K74" s="276">
        <f>AVERAGE(H74:I74)</f>
        <v>13.95</v>
      </c>
      <c r="L74" s="276">
        <f>PI()/40000*K74^2</f>
        <v>1.5284044609255192E-2</v>
      </c>
      <c r="M74" s="276">
        <f t="shared" si="2"/>
        <v>1.5417100896368447</v>
      </c>
      <c r="N74" s="276">
        <f t="shared" si="0"/>
        <v>1774.2402977329564</v>
      </c>
      <c r="O74" s="302">
        <f t="shared" si="1"/>
        <v>5.6330402215243325E-4</v>
      </c>
      <c r="P74" s="290">
        <v>0.508291098107853</v>
      </c>
      <c r="Q74" s="98" t="str">
        <f>IF(P74&lt;O74,"tree dies","")</f>
        <v/>
      </c>
    </row>
    <row r="75" spans="2:17" x14ac:dyDescent="0.3">
      <c r="B75" s="289">
        <v>1</v>
      </c>
      <c r="C75" s="289">
        <v>23</v>
      </c>
      <c r="D75" s="289">
        <v>1</v>
      </c>
      <c r="E75" s="289">
        <v>1</v>
      </c>
      <c r="F75" s="289">
        <v>67.5</v>
      </c>
      <c r="G75" s="289">
        <v>1</v>
      </c>
      <c r="H75" s="289">
        <v>13.95</v>
      </c>
      <c r="I75" s="289">
        <v>13.95</v>
      </c>
      <c r="J75" s="289">
        <v>0</v>
      </c>
      <c r="K75" s="276">
        <f>AVERAGE(H75:I75)</f>
        <v>13.95</v>
      </c>
      <c r="L75" s="276">
        <f>PI()/40000*K75^2</f>
        <v>1.5284044609255192E-2</v>
      </c>
      <c r="M75" s="276">
        <f t="shared" si="2"/>
        <v>1.5417100896368447</v>
      </c>
      <c r="N75" s="276">
        <f t="shared" si="0"/>
        <v>1774.2402977329564</v>
      </c>
      <c r="O75" s="302">
        <f t="shared" si="1"/>
        <v>5.6330402215243325E-4</v>
      </c>
      <c r="P75" s="290">
        <v>0.34862011700937967</v>
      </c>
      <c r="Q75" s="98" t="str">
        <f>IF(P75&lt;O75,"tree dies","")</f>
        <v/>
      </c>
    </row>
    <row r="76" spans="2:17" x14ac:dyDescent="0.3">
      <c r="B76" s="289">
        <v>1</v>
      </c>
      <c r="C76" s="289">
        <v>216</v>
      </c>
      <c r="D76" s="289">
        <v>9</v>
      </c>
      <c r="E76" s="289">
        <v>1</v>
      </c>
      <c r="F76" s="289">
        <v>70.5</v>
      </c>
      <c r="G76" s="289">
        <v>17</v>
      </c>
      <c r="H76" s="289">
        <v>13.95</v>
      </c>
      <c r="I76" s="289">
        <v>13.95</v>
      </c>
      <c r="J76" s="289">
        <v>0</v>
      </c>
      <c r="K76" s="276">
        <f>AVERAGE(H76:I76)</f>
        <v>13.95</v>
      </c>
      <c r="L76" s="276">
        <f>PI()/40000*K76^2</f>
        <v>1.5284044609255192E-2</v>
      </c>
      <c r="M76" s="276">
        <f t="shared" si="2"/>
        <v>1.5417100896368447</v>
      </c>
      <c r="N76" s="276">
        <f t="shared" si="0"/>
        <v>1774.2402977329564</v>
      </c>
      <c r="O76" s="302">
        <f t="shared" si="1"/>
        <v>5.6330402215243325E-4</v>
      </c>
      <c r="P76" s="290">
        <v>0.94697720988978507</v>
      </c>
      <c r="Q76" s="98" t="str">
        <f>IF(P76&lt;O76,"tree dies","")</f>
        <v/>
      </c>
    </row>
    <row r="77" spans="2:17" x14ac:dyDescent="0.3">
      <c r="B77" s="289">
        <v>1</v>
      </c>
      <c r="C77" s="289">
        <v>180</v>
      </c>
      <c r="D77" s="289">
        <v>8</v>
      </c>
      <c r="E77" s="289">
        <v>1</v>
      </c>
      <c r="F77" s="289">
        <v>37.5</v>
      </c>
      <c r="G77" s="289">
        <v>15</v>
      </c>
      <c r="H77" s="289">
        <v>13.9</v>
      </c>
      <c r="I77" s="289">
        <v>13.9</v>
      </c>
      <c r="J77" s="289">
        <v>0</v>
      </c>
      <c r="K77" s="276">
        <f>AVERAGE(H77:I77)</f>
        <v>13.9</v>
      </c>
      <c r="L77" s="276">
        <f>PI()/40000*K77^2</f>
        <v>1.5174677915002099E-2</v>
      </c>
      <c r="M77" s="276">
        <f t="shared" si="2"/>
        <v>1.5306782102939831</v>
      </c>
      <c r="N77" s="276">
        <f t="shared" si="0"/>
        <v>1719.8626399110899</v>
      </c>
      <c r="O77" s="302">
        <f t="shared" si="1"/>
        <v>5.8110390498777864E-4</v>
      </c>
      <c r="P77" s="290">
        <v>0.44758867891762211</v>
      </c>
      <c r="Q77" s="98" t="str">
        <f>IF(P77&lt;O77,"tree dies","")</f>
        <v/>
      </c>
    </row>
    <row r="78" spans="2:17" x14ac:dyDescent="0.3">
      <c r="B78" s="289">
        <v>1</v>
      </c>
      <c r="C78" s="289">
        <v>239</v>
      </c>
      <c r="D78" s="289">
        <v>10</v>
      </c>
      <c r="E78" s="289">
        <v>1</v>
      </c>
      <c r="F78" s="289">
        <v>4.5</v>
      </c>
      <c r="G78" s="289">
        <v>19</v>
      </c>
      <c r="H78" s="289">
        <v>13.9</v>
      </c>
      <c r="I78" s="289">
        <v>13.9</v>
      </c>
      <c r="J78" s="289">
        <v>0</v>
      </c>
      <c r="K78" s="276">
        <f>AVERAGE(H78:I78)</f>
        <v>13.9</v>
      </c>
      <c r="L78" s="276">
        <f>PI()/40000*K78^2</f>
        <v>1.5174677915002099E-2</v>
      </c>
      <c r="M78" s="276">
        <f t="shared" si="2"/>
        <v>1.5306782102939831</v>
      </c>
      <c r="N78" s="276">
        <f t="shared" si="0"/>
        <v>1719.8626399110899</v>
      </c>
      <c r="O78" s="302">
        <f t="shared" si="1"/>
        <v>5.8110390498777864E-4</v>
      </c>
      <c r="P78" s="290">
        <v>0.22054464387835537</v>
      </c>
      <c r="Q78" s="98" t="str">
        <f>IF(P78&lt;O78,"tree dies","")</f>
        <v/>
      </c>
    </row>
    <row r="79" spans="2:17" x14ac:dyDescent="0.3">
      <c r="B79" s="289">
        <v>1</v>
      </c>
      <c r="C79" s="289">
        <v>247</v>
      </c>
      <c r="D79" s="289">
        <v>11</v>
      </c>
      <c r="E79" s="289">
        <v>1</v>
      </c>
      <c r="F79" s="289">
        <v>19.5</v>
      </c>
      <c r="G79" s="289">
        <v>21</v>
      </c>
      <c r="H79" s="289">
        <v>13.9</v>
      </c>
      <c r="I79" s="289">
        <v>13.9</v>
      </c>
      <c r="J79" s="289">
        <v>0</v>
      </c>
      <c r="K79" s="276">
        <f>AVERAGE(H79:I79)</f>
        <v>13.9</v>
      </c>
      <c r="L79" s="276">
        <f>PI()/40000*K79^2</f>
        <v>1.5174677915002099E-2</v>
      </c>
      <c r="M79" s="276">
        <f t="shared" si="2"/>
        <v>1.5306782102939831</v>
      </c>
      <c r="N79" s="276">
        <f t="shared" si="0"/>
        <v>1719.8626399110899</v>
      </c>
      <c r="O79" s="302">
        <f t="shared" si="1"/>
        <v>5.8110390498777864E-4</v>
      </c>
      <c r="P79" s="290">
        <v>0.31269958501754402</v>
      </c>
      <c r="Q79" s="98" t="str">
        <f>IF(P79&lt;O79,"tree dies","")</f>
        <v/>
      </c>
    </row>
    <row r="80" spans="2:17" x14ac:dyDescent="0.3">
      <c r="B80" s="289">
        <v>1</v>
      </c>
      <c r="C80" s="289">
        <v>119</v>
      </c>
      <c r="D80" s="289">
        <v>5</v>
      </c>
      <c r="E80" s="289">
        <v>2</v>
      </c>
      <c r="F80" s="289">
        <v>67.5</v>
      </c>
      <c r="G80" s="289">
        <v>9</v>
      </c>
      <c r="H80" s="289">
        <v>13.85</v>
      </c>
      <c r="I80" s="289">
        <v>13.85</v>
      </c>
      <c r="J80" s="289">
        <v>0</v>
      </c>
      <c r="K80" s="276">
        <f>AVERAGE(H80:I80)</f>
        <v>13.85</v>
      </c>
      <c r="L80" s="276">
        <f>PI()/40000*K80^2</f>
        <v>1.5065703919830701E-2</v>
      </c>
      <c r="M80" s="276">
        <f t="shared" si="2"/>
        <v>1.51968594272614</v>
      </c>
      <c r="N80" s="276">
        <f t="shared" si="0"/>
        <v>1667.2528779097024</v>
      </c>
      <c r="O80" s="302">
        <f t="shared" si="1"/>
        <v>5.9942950690605734E-4</v>
      </c>
      <c r="P80" s="290">
        <v>0.80018839391871244</v>
      </c>
      <c r="Q80" s="98" t="str">
        <f>IF(P80&lt;O80,"tree dies","")</f>
        <v/>
      </c>
    </row>
    <row r="81" spans="2:17" x14ac:dyDescent="0.3">
      <c r="B81" s="289">
        <v>1</v>
      </c>
      <c r="C81" s="289">
        <v>13</v>
      </c>
      <c r="D81" s="289">
        <v>1</v>
      </c>
      <c r="E81" s="289">
        <v>1</v>
      </c>
      <c r="F81" s="289">
        <v>37.5</v>
      </c>
      <c r="G81" s="289">
        <v>1</v>
      </c>
      <c r="H81" s="289">
        <v>13.8</v>
      </c>
      <c r="I81" s="289">
        <v>13.8</v>
      </c>
      <c r="J81" s="289">
        <v>0</v>
      </c>
      <c r="K81" s="276">
        <f>AVERAGE(H81:I81)</f>
        <v>13.8</v>
      </c>
      <c r="L81" s="276">
        <f>PI()/40000*K81^2</f>
        <v>1.4957122623741007E-2</v>
      </c>
      <c r="M81" s="276">
        <f t="shared" si="2"/>
        <v>1.5087332869333168</v>
      </c>
      <c r="N81" s="276">
        <f t="shared" si="0"/>
        <v>1616.3506366446913</v>
      </c>
      <c r="O81" s="302">
        <f t="shared" si="1"/>
        <v>6.1829511631106282E-4</v>
      </c>
      <c r="P81" s="290">
        <v>0.94529848778593528</v>
      </c>
      <c r="Q81" s="98" t="str">
        <f>IF(P81&lt;O81,"tree dies","")</f>
        <v/>
      </c>
    </row>
    <row r="82" spans="2:17" x14ac:dyDescent="0.3">
      <c r="B82" s="289">
        <v>1</v>
      </c>
      <c r="C82" s="289">
        <v>174</v>
      </c>
      <c r="D82" s="289">
        <v>8</v>
      </c>
      <c r="E82" s="289">
        <v>2</v>
      </c>
      <c r="F82" s="289">
        <v>55.5</v>
      </c>
      <c r="G82" s="289">
        <v>15</v>
      </c>
      <c r="H82" s="289">
        <v>13.8</v>
      </c>
      <c r="I82" s="289">
        <v>13.8</v>
      </c>
      <c r="J82" s="289">
        <v>0</v>
      </c>
      <c r="K82" s="276">
        <f>AVERAGE(H82:I82)</f>
        <v>13.8</v>
      </c>
      <c r="L82" s="276">
        <f>PI()/40000*K82^2</f>
        <v>1.4957122623741007E-2</v>
      </c>
      <c r="M82" s="276">
        <f t="shared" si="2"/>
        <v>1.5087332869333168</v>
      </c>
      <c r="N82" s="276">
        <f t="shared" si="0"/>
        <v>1616.3506366446913</v>
      </c>
      <c r="O82" s="302">
        <f t="shared" si="1"/>
        <v>6.1829511631106282E-4</v>
      </c>
      <c r="P82" s="290">
        <v>0.12971791232268337</v>
      </c>
      <c r="Q82" s="98" t="str">
        <f>IF(P82&lt;O82,"tree dies","")</f>
        <v/>
      </c>
    </row>
    <row r="83" spans="2:17" x14ac:dyDescent="0.3">
      <c r="B83" s="289">
        <v>1</v>
      </c>
      <c r="C83" s="289">
        <v>236</v>
      </c>
      <c r="D83" s="289">
        <v>10</v>
      </c>
      <c r="E83" s="289">
        <v>1</v>
      </c>
      <c r="F83" s="289">
        <v>13.5</v>
      </c>
      <c r="G83" s="289">
        <v>19</v>
      </c>
      <c r="H83" s="289">
        <v>13.8</v>
      </c>
      <c r="I83" s="289">
        <v>13.8</v>
      </c>
      <c r="J83" s="289">
        <v>0</v>
      </c>
      <c r="K83" s="276">
        <f>AVERAGE(H83:I83)</f>
        <v>13.8</v>
      </c>
      <c r="L83" s="276">
        <f>PI()/40000*K83^2</f>
        <v>1.4957122623741007E-2</v>
      </c>
      <c r="M83" s="276">
        <f t="shared" si="2"/>
        <v>1.5087332869333168</v>
      </c>
      <c r="N83" s="276">
        <f t="shared" si="0"/>
        <v>1616.3506366446913</v>
      </c>
      <c r="O83" s="302">
        <f t="shared" si="1"/>
        <v>6.1829511631106282E-4</v>
      </c>
      <c r="P83" s="290">
        <v>0.78940717491832968</v>
      </c>
      <c r="Q83" s="98" t="str">
        <f>IF(P83&lt;O83,"tree dies","")</f>
        <v/>
      </c>
    </row>
    <row r="84" spans="2:17" x14ac:dyDescent="0.3">
      <c r="B84" s="289">
        <v>1</v>
      </c>
      <c r="C84" s="289">
        <v>110</v>
      </c>
      <c r="D84" s="289">
        <v>5</v>
      </c>
      <c r="E84" s="289">
        <v>1</v>
      </c>
      <c r="F84" s="289">
        <v>40.5</v>
      </c>
      <c r="G84" s="289">
        <v>9</v>
      </c>
      <c r="H84" s="289">
        <v>13.75</v>
      </c>
      <c r="I84" s="289">
        <v>13.75</v>
      </c>
      <c r="J84" s="289">
        <v>0</v>
      </c>
      <c r="K84" s="276">
        <f>AVERAGE(H84:I84)</f>
        <v>13.75</v>
      </c>
      <c r="L84" s="276">
        <f>PI()/40000*K84^2</f>
        <v>1.4848934026733006E-2</v>
      </c>
      <c r="M84" s="276">
        <f t="shared" si="2"/>
        <v>1.4978202429155123</v>
      </c>
      <c r="N84" s="276">
        <f t="shared" si="0"/>
        <v>1567.0976926254798</v>
      </c>
      <c r="O84" s="302">
        <f t="shared" si="1"/>
        <v>6.377153698413629E-4</v>
      </c>
      <c r="P84" s="290">
        <v>0.11220288557409674</v>
      </c>
      <c r="Q84" s="98" t="str">
        <f>IF(P84&lt;O84,"tree dies","")</f>
        <v/>
      </c>
    </row>
    <row r="85" spans="2:17" x14ac:dyDescent="0.3">
      <c r="B85" s="289">
        <v>1</v>
      </c>
      <c r="C85" s="289">
        <v>24</v>
      </c>
      <c r="D85" s="289">
        <v>1</v>
      </c>
      <c r="E85" s="289">
        <v>1</v>
      </c>
      <c r="F85" s="289">
        <v>70.5</v>
      </c>
      <c r="G85" s="289">
        <v>1</v>
      </c>
      <c r="H85" s="289">
        <v>13.7</v>
      </c>
      <c r="I85" s="289">
        <v>13.7</v>
      </c>
      <c r="J85" s="289">
        <v>0</v>
      </c>
      <c r="K85" s="276">
        <f>AVERAGE(H85:I85)</f>
        <v>13.7</v>
      </c>
      <c r="L85" s="276">
        <f>PI()/40000*K85^2</f>
        <v>1.4741138128806704E-2</v>
      </c>
      <c r="M85" s="276">
        <f t="shared" si="2"/>
        <v>1.486946810672727</v>
      </c>
      <c r="N85" s="276">
        <f t="shared" si="0"/>
        <v>1519.4378943291147</v>
      </c>
      <c r="O85" s="302">
        <f t="shared" si="1"/>
        <v>6.5770525960306969E-4</v>
      </c>
      <c r="P85" s="290">
        <v>0.55915287628032806</v>
      </c>
      <c r="Q85" s="98" t="str">
        <f>IF(P85&lt;O85,"tree dies","")</f>
        <v/>
      </c>
    </row>
    <row r="86" spans="2:17" x14ac:dyDescent="0.3">
      <c r="B86" s="289">
        <v>1</v>
      </c>
      <c r="C86" s="289">
        <v>172</v>
      </c>
      <c r="D86" s="289">
        <v>8</v>
      </c>
      <c r="E86" s="289">
        <v>2</v>
      </c>
      <c r="F86" s="289">
        <v>61.5</v>
      </c>
      <c r="G86" s="289">
        <v>15</v>
      </c>
      <c r="H86" s="289">
        <v>13.65</v>
      </c>
      <c r="I86" s="289">
        <v>13.65</v>
      </c>
      <c r="J86" s="289">
        <v>0</v>
      </c>
      <c r="K86" s="276">
        <f>AVERAGE(H86:I86)</f>
        <v>13.65</v>
      </c>
      <c r="L86" s="276">
        <f>PI()/40000*K86^2</f>
        <v>1.4633734929962106E-2</v>
      </c>
      <c r="M86" s="276">
        <f t="shared" si="2"/>
        <v>1.4761129902049617</v>
      </c>
      <c r="N86" s="276">
        <f t="shared" si="0"/>
        <v>1473.3170856229647</v>
      </c>
      <c r="O86" s="302">
        <f t="shared" si="1"/>
        <v>6.782801405149641E-4</v>
      </c>
      <c r="P86" s="290">
        <v>0.43464927541638954</v>
      </c>
      <c r="Q86" s="98" t="str">
        <f>IF(P86&lt;O86,"tree dies","")</f>
        <v/>
      </c>
    </row>
    <row r="87" spans="2:17" x14ac:dyDescent="0.3">
      <c r="B87" s="289">
        <v>1</v>
      </c>
      <c r="C87" s="289">
        <v>255</v>
      </c>
      <c r="D87" s="289">
        <v>11</v>
      </c>
      <c r="E87" s="289">
        <v>1</v>
      </c>
      <c r="F87" s="289">
        <v>43.5</v>
      </c>
      <c r="G87" s="289">
        <v>21</v>
      </c>
      <c r="H87" s="289">
        <v>13.65</v>
      </c>
      <c r="I87" s="289">
        <v>13.65</v>
      </c>
      <c r="J87" s="289">
        <v>0</v>
      </c>
      <c r="K87" s="276">
        <f>AVERAGE(H87:I87)</f>
        <v>13.65</v>
      </c>
      <c r="L87" s="276">
        <f>PI()/40000*K87^2</f>
        <v>1.4633734929962106E-2</v>
      </c>
      <c r="M87" s="276">
        <f t="shared" si="2"/>
        <v>1.4761129902049617</v>
      </c>
      <c r="N87" s="276">
        <f t="shared" si="0"/>
        <v>1473.3170856229647</v>
      </c>
      <c r="O87" s="302">
        <f t="shared" si="1"/>
        <v>6.782801405149641E-4</v>
      </c>
      <c r="P87" s="290">
        <v>0.6108423252971571</v>
      </c>
      <c r="Q87" s="98" t="str">
        <f>IF(P87&lt;O87,"tree dies","")</f>
        <v/>
      </c>
    </row>
    <row r="88" spans="2:17" x14ac:dyDescent="0.3">
      <c r="B88" s="289">
        <v>1</v>
      </c>
      <c r="C88" s="289">
        <v>73</v>
      </c>
      <c r="D88" s="289">
        <v>4</v>
      </c>
      <c r="E88" s="289">
        <v>1</v>
      </c>
      <c r="F88" s="289">
        <v>70.5</v>
      </c>
      <c r="G88" s="289">
        <v>7</v>
      </c>
      <c r="H88" s="289">
        <v>13.6</v>
      </c>
      <c r="I88" s="289">
        <v>13.6</v>
      </c>
      <c r="J88" s="289">
        <v>0</v>
      </c>
      <c r="K88" s="276">
        <f>AVERAGE(H88:I88)</f>
        <v>13.6</v>
      </c>
      <c r="L88" s="276">
        <f>PI()/40000*K88^2</f>
        <v>1.4526724430199202E-2</v>
      </c>
      <c r="M88" s="276">
        <f t="shared" si="2"/>
        <v>1.4653187815122151</v>
      </c>
      <c r="N88" s="276">
        <f t="shared" si="0"/>
        <v>1428.683032115671</v>
      </c>
      <c r="O88" s="302">
        <f t="shared" si="1"/>
        <v>6.9945573776597492E-4</v>
      </c>
      <c r="P88" s="290">
        <v>4.2106314525224731E-2</v>
      </c>
      <c r="Q88" s="98" t="str">
        <f>IF(P88&lt;O88,"tree dies","")</f>
        <v/>
      </c>
    </row>
    <row r="89" spans="2:17" x14ac:dyDescent="0.3">
      <c r="B89" s="289">
        <v>1</v>
      </c>
      <c r="C89" s="289">
        <v>199</v>
      </c>
      <c r="D89" s="289">
        <v>9</v>
      </c>
      <c r="E89" s="289">
        <v>2</v>
      </c>
      <c r="F89" s="289">
        <v>19.5</v>
      </c>
      <c r="G89" s="289">
        <v>17</v>
      </c>
      <c r="H89" s="289">
        <v>13.55</v>
      </c>
      <c r="I89" s="289">
        <v>13.55</v>
      </c>
      <c r="J89" s="289">
        <v>0</v>
      </c>
      <c r="K89" s="276">
        <f>AVERAGE(H89:I89)</f>
        <v>13.55</v>
      </c>
      <c r="L89" s="276">
        <f>PI()/40000*K89^2</f>
        <v>1.4420106629518E-2</v>
      </c>
      <c r="M89" s="276">
        <f t="shared" si="2"/>
        <v>1.4545641845944879</v>
      </c>
      <c r="N89" s="276">
        <f t="shared" si="0"/>
        <v>1385.4853503208587</v>
      </c>
      <c r="O89" s="302">
        <f t="shared" si="1"/>
        <v>7.2124815438445733E-4</v>
      </c>
      <c r="P89" s="290">
        <v>0.82564621779334568</v>
      </c>
      <c r="Q89" s="98" t="str">
        <f>IF(P89&lt;O89,"tree dies","")</f>
        <v/>
      </c>
    </row>
    <row r="90" spans="2:17" x14ac:dyDescent="0.3">
      <c r="B90" s="289">
        <v>1</v>
      </c>
      <c r="C90" s="289">
        <v>3</v>
      </c>
      <c r="D90" s="289">
        <v>1</v>
      </c>
      <c r="E90" s="289">
        <v>1</v>
      </c>
      <c r="F90" s="289">
        <v>7.5</v>
      </c>
      <c r="G90" s="289">
        <v>1</v>
      </c>
      <c r="H90" s="289">
        <v>13.5</v>
      </c>
      <c r="I90" s="289">
        <v>13.5</v>
      </c>
      <c r="J90" s="289">
        <v>0</v>
      </c>
      <c r="K90" s="276">
        <f>AVERAGE(H90:I90)</f>
        <v>13.5</v>
      </c>
      <c r="L90" s="276">
        <f>PI()/40000*K90^2</f>
        <v>1.4313881527918494E-2</v>
      </c>
      <c r="M90" s="276">
        <f t="shared" si="2"/>
        <v>1.4438491994517797</v>
      </c>
      <c r="N90" s="276">
        <f t="shared" si="0"/>
        <v>1343.6754395227495</v>
      </c>
      <c r="O90" s="302">
        <f t="shared" si="1"/>
        <v>7.4367387892126935E-4</v>
      </c>
      <c r="P90" s="290">
        <v>0.29899023771677891</v>
      </c>
      <c r="Q90" s="98" t="str">
        <f>IF(P90&lt;O90,"tree dies","")</f>
        <v/>
      </c>
    </row>
    <row r="91" spans="2:17" x14ac:dyDescent="0.3">
      <c r="B91" s="289">
        <v>1</v>
      </c>
      <c r="C91" s="289">
        <v>146</v>
      </c>
      <c r="D91" s="289">
        <v>7</v>
      </c>
      <c r="E91" s="289">
        <v>1</v>
      </c>
      <c r="F91" s="289">
        <v>4.5</v>
      </c>
      <c r="G91" s="289">
        <v>13</v>
      </c>
      <c r="H91" s="289">
        <v>13.5</v>
      </c>
      <c r="I91" s="289">
        <v>13.5</v>
      </c>
      <c r="J91" s="289">
        <v>0</v>
      </c>
      <c r="K91" s="276">
        <f>AVERAGE(H91:I91)</f>
        <v>13.5</v>
      </c>
      <c r="L91" s="276">
        <f>PI()/40000*K91^2</f>
        <v>1.4313881527918494E-2</v>
      </c>
      <c r="M91" s="276">
        <f t="shared" si="2"/>
        <v>1.4438491994517797</v>
      </c>
      <c r="N91" s="276">
        <f t="shared" si="0"/>
        <v>1343.6754395227495</v>
      </c>
      <c r="O91" s="302">
        <f t="shared" si="1"/>
        <v>7.4367387892126935E-4</v>
      </c>
      <c r="P91" s="290">
        <v>5.3140987955276886E-3</v>
      </c>
      <c r="Q91" s="98" t="str">
        <f>IF(P91&lt;O91,"tree dies","")</f>
        <v/>
      </c>
    </row>
    <row r="92" spans="2:17" x14ac:dyDescent="0.3">
      <c r="B92" s="289">
        <v>1</v>
      </c>
      <c r="C92" s="289">
        <v>257</v>
      </c>
      <c r="D92" s="289">
        <v>11</v>
      </c>
      <c r="E92" s="289">
        <v>1</v>
      </c>
      <c r="F92" s="289">
        <v>49.5</v>
      </c>
      <c r="G92" s="289">
        <v>21</v>
      </c>
      <c r="H92" s="289">
        <v>13.45</v>
      </c>
      <c r="I92" s="289">
        <v>13.45</v>
      </c>
      <c r="J92" s="289">
        <v>0</v>
      </c>
      <c r="K92" s="276">
        <f>AVERAGE(H92:I92)</f>
        <v>13.45</v>
      </c>
      <c r="L92" s="276">
        <f>PI()/40000*K92^2</f>
        <v>1.4208049125400687E-2</v>
      </c>
      <c r="M92" s="276">
        <f t="shared" si="2"/>
        <v>1.4331738260840909</v>
      </c>
      <c r="N92" s="276">
        <f t="shared" si="0"/>
        <v>1303.2064162374065</v>
      </c>
      <c r="O92" s="302">
        <f t="shared" si="1"/>
        <v>7.6674979324586889E-4</v>
      </c>
      <c r="P92" s="290">
        <v>0.72289145737380045</v>
      </c>
      <c r="Q92" s="98" t="str">
        <f>IF(P92&lt;O92,"tree dies","")</f>
        <v/>
      </c>
    </row>
    <row r="93" spans="2:17" x14ac:dyDescent="0.3">
      <c r="B93" s="289">
        <v>1</v>
      </c>
      <c r="C93" s="289">
        <v>43</v>
      </c>
      <c r="D93" s="289">
        <v>2</v>
      </c>
      <c r="E93" s="289">
        <v>1</v>
      </c>
      <c r="F93" s="289">
        <v>16.5</v>
      </c>
      <c r="G93" s="289">
        <v>3</v>
      </c>
      <c r="H93" s="289">
        <v>13.4</v>
      </c>
      <c r="I93" s="289">
        <v>13.4</v>
      </c>
      <c r="J93" s="289">
        <v>0</v>
      </c>
      <c r="K93" s="276">
        <f>AVERAGE(H93:I93)</f>
        <v>13.4</v>
      </c>
      <c r="L93" s="276">
        <f>PI()/40000*K93^2</f>
        <v>1.4102609421964582E-2</v>
      </c>
      <c r="M93" s="276">
        <f t="shared" si="2"/>
        <v>1.4225380644914216</v>
      </c>
      <c r="N93" s="276">
        <f t="shared" si="0"/>
        <v>1264.033051167549</v>
      </c>
      <c r="O93" s="302">
        <f t="shared" si="1"/>
        <v>7.904931804564308E-4</v>
      </c>
      <c r="P93" s="290">
        <v>0.87625514312789687</v>
      </c>
      <c r="Q93" s="98" t="str">
        <f>IF(P93&lt;O93,"tree dies","")</f>
        <v/>
      </c>
    </row>
    <row r="94" spans="2:17" x14ac:dyDescent="0.3">
      <c r="B94" s="289">
        <v>1</v>
      </c>
      <c r="C94" s="289">
        <v>48</v>
      </c>
      <c r="D94" s="289">
        <v>2</v>
      </c>
      <c r="E94" s="289">
        <v>1</v>
      </c>
      <c r="F94" s="289">
        <v>1.5</v>
      </c>
      <c r="G94" s="289">
        <v>3</v>
      </c>
      <c r="H94" s="289">
        <v>13.4</v>
      </c>
      <c r="I94" s="289">
        <v>13.4</v>
      </c>
      <c r="J94" s="289">
        <v>0</v>
      </c>
      <c r="K94" s="276">
        <f>AVERAGE(H94:I94)</f>
        <v>13.4</v>
      </c>
      <c r="L94" s="276">
        <f>PI()/40000*K94^2</f>
        <v>1.4102609421964582E-2</v>
      </c>
      <c r="M94" s="276">
        <f t="shared" si="2"/>
        <v>1.4225380644914216</v>
      </c>
      <c r="N94" s="276">
        <f t="shared" si="0"/>
        <v>1264.033051167549</v>
      </c>
      <c r="O94" s="302">
        <f t="shared" si="1"/>
        <v>7.904931804564308E-4</v>
      </c>
      <c r="P94" s="290">
        <v>0.41304293197268249</v>
      </c>
      <c r="Q94" s="98" t="str">
        <f>IF(P94&lt;O94,"tree dies","")</f>
        <v/>
      </c>
    </row>
    <row r="95" spans="2:17" x14ac:dyDescent="0.3">
      <c r="B95" s="289">
        <v>1</v>
      </c>
      <c r="C95" s="289">
        <v>200</v>
      </c>
      <c r="D95" s="289">
        <v>9</v>
      </c>
      <c r="E95" s="289">
        <v>2</v>
      </c>
      <c r="F95" s="289">
        <v>22.5</v>
      </c>
      <c r="G95" s="289">
        <v>17</v>
      </c>
      <c r="H95" s="289">
        <v>13.4</v>
      </c>
      <c r="I95" s="289">
        <v>13.4</v>
      </c>
      <c r="J95" s="289">
        <v>0</v>
      </c>
      <c r="K95" s="276">
        <f>AVERAGE(H95:I95)</f>
        <v>13.4</v>
      </c>
      <c r="L95" s="276">
        <f>PI()/40000*K95^2</f>
        <v>1.4102609421964582E-2</v>
      </c>
      <c r="M95" s="276">
        <f t="shared" si="2"/>
        <v>1.4225380644914216</v>
      </c>
      <c r="N95" s="276">
        <f t="shared" si="0"/>
        <v>1264.033051167549</v>
      </c>
      <c r="O95" s="302">
        <f t="shared" si="1"/>
        <v>7.904931804564308E-4</v>
      </c>
      <c r="P95" s="290">
        <v>0.15412881203789053</v>
      </c>
      <c r="Q95" s="98" t="str">
        <f>IF(P95&lt;O95,"tree dies","")</f>
        <v/>
      </c>
    </row>
    <row r="96" spans="2:17" x14ac:dyDescent="0.3">
      <c r="B96" s="289">
        <v>1</v>
      </c>
      <c r="C96" s="289">
        <v>161</v>
      </c>
      <c r="D96" s="289">
        <v>7</v>
      </c>
      <c r="E96" s="289">
        <v>1</v>
      </c>
      <c r="F96" s="289">
        <v>49.5</v>
      </c>
      <c r="G96" s="289">
        <v>13</v>
      </c>
      <c r="H96" s="289">
        <v>13.35</v>
      </c>
      <c r="I96" s="289">
        <v>13.35</v>
      </c>
      <c r="J96" s="289">
        <v>0</v>
      </c>
      <c r="K96" s="276">
        <f>AVERAGE(H96:I96)</f>
        <v>13.35</v>
      </c>
      <c r="L96" s="276">
        <f>PI()/40000*K96^2</f>
        <v>1.3997562417610172E-2</v>
      </c>
      <c r="M96" s="276">
        <f t="shared" si="2"/>
        <v>1.4119419146737713</v>
      </c>
      <c r="N96" s="276">
        <f t="shared" si="0"/>
        <v>1226.1117085530807</v>
      </c>
      <c r="O96" s="302">
        <f t="shared" si="1"/>
        <v>8.149217329033176E-4</v>
      </c>
      <c r="P96" s="290">
        <v>0.19110905821363944</v>
      </c>
      <c r="Q96" s="98" t="str">
        <f>IF(P96&lt;O96,"tree dies","")</f>
        <v/>
      </c>
    </row>
    <row r="97" spans="2:17" x14ac:dyDescent="0.3">
      <c r="B97" s="289">
        <v>1</v>
      </c>
      <c r="C97" s="289">
        <v>99</v>
      </c>
      <c r="D97" s="289">
        <v>5</v>
      </c>
      <c r="E97" s="289">
        <v>1</v>
      </c>
      <c r="F97" s="289">
        <v>7.5</v>
      </c>
      <c r="G97" s="289">
        <v>9</v>
      </c>
      <c r="H97" s="289">
        <v>13.3</v>
      </c>
      <c r="I97" s="289">
        <v>13.3</v>
      </c>
      <c r="J97" s="289">
        <v>0</v>
      </c>
      <c r="K97" s="276">
        <f>AVERAGE(H97:I97)</f>
        <v>13.3</v>
      </c>
      <c r="L97" s="276">
        <f>PI()/40000*K97^2</f>
        <v>1.3892908112337463E-2</v>
      </c>
      <c r="M97" s="276">
        <f t="shared" si="2"/>
        <v>1.4013853766311404</v>
      </c>
      <c r="N97" s="276">
        <f t="shared" si="0"/>
        <v>1189.4002878233875</v>
      </c>
      <c r="O97" s="302">
        <f t="shared" si="1"/>
        <v>8.4005356032668121E-4</v>
      </c>
      <c r="P97" s="290">
        <v>0.19281528415676308</v>
      </c>
      <c r="Q97" s="98" t="str">
        <f>IF(P97&lt;O97,"tree dies","")</f>
        <v/>
      </c>
    </row>
    <row r="98" spans="2:17" x14ac:dyDescent="0.3">
      <c r="B98" s="289">
        <v>1</v>
      </c>
      <c r="C98" s="289">
        <v>115</v>
      </c>
      <c r="D98" s="289">
        <v>5</v>
      </c>
      <c r="E98" s="289">
        <v>2</v>
      </c>
      <c r="F98" s="289">
        <v>55.5</v>
      </c>
      <c r="G98" s="289">
        <v>9</v>
      </c>
      <c r="H98" s="289">
        <v>13.2</v>
      </c>
      <c r="I98" s="289">
        <v>13.2</v>
      </c>
      <c r="J98" s="289">
        <v>0</v>
      </c>
      <c r="K98" s="276">
        <f>AVERAGE(H98:I98)</f>
        <v>13.2</v>
      </c>
      <c r="L98" s="276">
        <f>PI()/40000*K98^2</f>
        <v>1.3684777599037138E-2</v>
      </c>
      <c r="M98" s="276">
        <f t="shared" si="2"/>
        <v>1.3803911358709362</v>
      </c>
      <c r="N98" s="276">
        <f t="shared" si="0"/>
        <v>1119.4461509918408</v>
      </c>
      <c r="O98" s="302">
        <f t="shared" si="1"/>
        <v>8.9250161564191632E-4</v>
      </c>
      <c r="P98" s="290">
        <v>0.39566570952484015</v>
      </c>
      <c r="Q98" s="98" t="str">
        <f>IF(P98&lt;O98,"tree dies","")</f>
        <v/>
      </c>
    </row>
    <row r="99" spans="2:17" x14ac:dyDescent="0.3">
      <c r="B99" s="289">
        <v>1</v>
      </c>
      <c r="C99" s="289">
        <v>20</v>
      </c>
      <c r="D99" s="289">
        <v>1</v>
      </c>
      <c r="E99" s="289">
        <v>1</v>
      </c>
      <c r="F99" s="289">
        <v>58.5</v>
      </c>
      <c r="G99" s="289">
        <v>1</v>
      </c>
      <c r="H99" s="289">
        <v>13.15</v>
      </c>
      <c r="I99" s="289">
        <v>13.15</v>
      </c>
      <c r="J99" s="289">
        <v>0</v>
      </c>
      <c r="K99" s="276">
        <f>AVERAGE(H99:I99)</f>
        <v>13.15</v>
      </c>
      <c r="L99" s="276">
        <f>PI()/40000*K99^2</f>
        <v>1.3581301391009526E-2</v>
      </c>
      <c r="M99" s="276">
        <f t="shared" si="2"/>
        <v>1.3699534331533629</v>
      </c>
      <c r="N99" s="276">
        <f t="shared" si="0"/>
        <v>1086.1264150138998</v>
      </c>
      <c r="O99" s="302">
        <f t="shared" si="1"/>
        <v>9.1985622480450502E-4</v>
      </c>
      <c r="P99" s="290">
        <v>0.40219401925394305</v>
      </c>
      <c r="Q99" s="98" t="str">
        <f>IF(P99&lt;O99,"tree dies","")</f>
        <v/>
      </c>
    </row>
    <row r="100" spans="2:17" x14ac:dyDescent="0.3">
      <c r="B100" s="289">
        <v>1</v>
      </c>
      <c r="C100" s="289">
        <v>184</v>
      </c>
      <c r="D100" s="289">
        <v>8</v>
      </c>
      <c r="E100" s="289">
        <v>2</v>
      </c>
      <c r="F100" s="289">
        <v>25.5</v>
      </c>
      <c r="G100" s="289">
        <v>15</v>
      </c>
      <c r="H100" s="289">
        <v>13.1</v>
      </c>
      <c r="I100" s="289">
        <v>13.1</v>
      </c>
      <c r="J100" s="289">
        <v>0</v>
      </c>
      <c r="K100" s="276">
        <f>AVERAGE(H100:I100)</f>
        <v>13.1</v>
      </c>
      <c r="L100" s="276">
        <f>PI()/40000*K100^2</f>
        <v>1.3478217882063609E-2</v>
      </c>
      <c r="M100" s="276">
        <f t="shared" si="2"/>
        <v>1.3595553422108089</v>
      </c>
      <c r="N100" s="276">
        <f t="shared" si="0"/>
        <v>1053.8624591931678</v>
      </c>
      <c r="O100" s="302">
        <f t="shared" si="1"/>
        <v>9.4799088856079017E-4</v>
      </c>
      <c r="P100" s="290">
        <v>3.8501552030485442E-2</v>
      </c>
      <c r="Q100" s="98" t="str">
        <f>IF(P100&lt;O100,"tree dies","")</f>
        <v/>
      </c>
    </row>
    <row r="101" spans="2:17" x14ac:dyDescent="0.3">
      <c r="B101" s="289">
        <v>1</v>
      </c>
      <c r="C101" s="289">
        <v>249</v>
      </c>
      <c r="D101" s="289">
        <v>11</v>
      </c>
      <c r="E101" s="289">
        <v>1</v>
      </c>
      <c r="F101" s="289">
        <v>25.5</v>
      </c>
      <c r="G101" s="289">
        <v>21</v>
      </c>
      <c r="H101" s="289">
        <v>13.1</v>
      </c>
      <c r="I101" s="289">
        <v>13.1</v>
      </c>
      <c r="J101" s="289">
        <v>0</v>
      </c>
      <c r="K101" s="276">
        <f>AVERAGE(H101:I101)</f>
        <v>13.1</v>
      </c>
      <c r="L101" s="276">
        <f>PI()/40000*K101^2</f>
        <v>1.3478217882063609E-2</v>
      </c>
      <c r="M101" s="276">
        <f t="shared" si="2"/>
        <v>1.3595553422108089</v>
      </c>
      <c r="N101" s="276">
        <f t="shared" si="0"/>
        <v>1053.8624591931678</v>
      </c>
      <c r="O101" s="302">
        <f t="shared" si="1"/>
        <v>9.4799088856079017E-4</v>
      </c>
      <c r="P101" s="290">
        <v>0.81452868686340396</v>
      </c>
      <c r="Q101" s="98" t="str">
        <f>IF(P101&lt;O101,"tree dies","")</f>
        <v/>
      </c>
    </row>
    <row r="102" spans="2:17" x14ac:dyDescent="0.3">
      <c r="B102" s="289">
        <v>1</v>
      </c>
      <c r="C102" s="289">
        <v>1</v>
      </c>
      <c r="D102" s="289">
        <v>1</v>
      </c>
      <c r="E102" s="289">
        <v>1</v>
      </c>
      <c r="F102" s="289">
        <v>1.5</v>
      </c>
      <c r="G102" s="289">
        <v>1</v>
      </c>
      <c r="H102" s="289">
        <v>13.05</v>
      </c>
      <c r="I102" s="289">
        <v>13.05</v>
      </c>
      <c r="J102" s="289">
        <v>0</v>
      </c>
      <c r="K102" s="276">
        <f>AVERAGE(H102:I102)</f>
        <v>13.05</v>
      </c>
      <c r="L102" s="276">
        <f>PI()/40000*K102^2</f>
        <v>1.3375527072199394E-2</v>
      </c>
      <c r="M102" s="276">
        <f t="shared" si="2"/>
        <v>1.3491968630432742</v>
      </c>
      <c r="N102" s="276">
        <f t="shared" si="0"/>
        <v>1022.6190581418479</v>
      </c>
      <c r="O102" s="302">
        <f t="shared" si="1"/>
        <v>9.7692592966691638E-4</v>
      </c>
      <c r="P102" s="290">
        <v>0.75179757467832009</v>
      </c>
      <c r="Q102" s="98" t="str">
        <f>IF(P102&lt;O102,"tree dies","")</f>
        <v/>
      </c>
    </row>
    <row r="103" spans="2:17" x14ac:dyDescent="0.3">
      <c r="B103" s="289">
        <v>1</v>
      </c>
      <c r="C103" s="289">
        <v>136</v>
      </c>
      <c r="D103" s="289">
        <v>6</v>
      </c>
      <c r="E103" s="289">
        <v>2</v>
      </c>
      <c r="F103" s="289">
        <v>25.5</v>
      </c>
      <c r="G103" s="289">
        <v>11</v>
      </c>
      <c r="H103" s="289">
        <v>13.05</v>
      </c>
      <c r="I103" s="289">
        <v>13.05</v>
      </c>
      <c r="J103" s="289">
        <v>0</v>
      </c>
      <c r="K103" s="276">
        <f>AVERAGE(H103:I103)</f>
        <v>13.05</v>
      </c>
      <c r="L103" s="276">
        <f>PI()/40000*K103^2</f>
        <v>1.3375527072199394E-2</v>
      </c>
      <c r="M103" s="276">
        <f t="shared" si="2"/>
        <v>1.3491968630432742</v>
      </c>
      <c r="N103" s="276">
        <f t="shared" si="0"/>
        <v>1022.6190581418479</v>
      </c>
      <c r="O103" s="302">
        <f t="shared" si="1"/>
        <v>9.7692592966691638E-4</v>
      </c>
      <c r="P103" s="290">
        <v>0.11156430788556948</v>
      </c>
      <c r="Q103" s="98" t="str">
        <f>IF(P103&lt;O103,"tree dies","")</f>
        <v/>
      </c>
    </row>
    <row r="104" spans="2:17" x14ac:dyDescent="0.3">
      <c r="B104" s="289">
        <v>1</v>
      </c>
      <c r="C104" s="289">
        <v>42</v>
      </c>
      <c r="D104" s="289">
        <v>2</v>
      </c>
      <c r="E104" s="289">
        <v>1</v>
      </c>
      <c r="F104" s="289">
        <v>19.5</v>
      </c>
      <c r="G104" s="289">
        <v>3</v>
      </c>
      <c r="H104" s="289">
        <v>13</v>
      </c>
      <c r="I104" s="289">
        <v>13</v>
      </c>
      <c r="J104" s="289">
        <v>0</v>
      </c>
      <c r="K104" s="276">
        <f>AVERAGE(H104:I104)</f>
        <v>13</v>
      </c>
      <c r="L104" s="276">
        <f>PI()/40000*K104^2</f>
        <v>1.3273228961416876E-2</v>
      </c>
      <c r="M104" s="276">
        <f t="shared" si="2"/>
        <v>1.3388779956507588</v>
      </c>
      <c r="N104" s="276">
        <f t="shared" si="0"/>
        <v>992.36221511048927</v>
      </c>
      <c r="O104" s="302">
        <f t="shared" si="1"/>
        <v>1.0066821394940639E-3</v>
      </c>
      <c r="P104" s="290">
        <v>9.637713634605849E-2</v>
      </c>
      <c r="Q104" s="98" t="str">
        <f>IF(P104&lt;O104,"tree dies","")</f>
        <v/>
      </c>
    </row>
    <row r="105" spans="2:17" x14ac:dyDescent="0.3">
      <c r="B105" s="289">
        <v>1</v>
      </c>
      <c r="C105" s="289">
        <v>77</v>
      </c>
      <c r="D105" s="289">
        <v>4</v>
      </c>
      <c r="E105" s="289">
        <v>1</v>
      </c>
      <c r="F105" s="289">
        <v>58.5</v>
      </c>
      <c r="G105" s="289">
        <v>7</v>
      </c>
      <c r="H105" s="289">
        <v>13</v>
      </c>
      <c r="I105" s="289">
        <v>13</v>
      </c>
      <c r="J105" s="289">
        <v>0</v>
      </c>
      <c r="K105" s="276">
        <f>AVERAGE(H105:I105)</f>
        <v>13</v>
      </c>
      <c r="L105" s="276">
        <f>PI()/40000*K105^2</f>
        <v>1.3273228961416876E-2</v>
      </c>
      <c r="M105" s="276">
        <f t="shared" si="2"/>
        <v>1.3388779956507588</v>
      </c>
      <c r="N105" s="276">
        <f t="shared" si="0"/>
        <v>992.36221511048927</v>
      </c>
      <c r="O105" s="302">
        <f t="shared" si="1"/>
        <v>1.0066821394940639E-3</v>
      </c>
      <c r="P105" s="290">
        <v>0.11920102153404388</v>
      </c>
      <c r="Q105" s="98" t="str">
        <f>IF(P105&lt;O105,"tree dies","")</f>
        <v/>
      </c>
    </row>
    <row r="106" spans="2:17" x14ac:dyDescent="0.3">
      <c r="B106" s="289">
        <v>1</v>
      </c>
      <c r="C106" s="289">
        <v>138</v>
      </c>
      <c r="D106" s="289">
        <v>6</v>
      </c>
      <c r="E106" s="289">
        <v>2</v>
      </c>
      <c r="F106" s="289">
        <v>19.5</v>
      </c>
      <c r="G106" s="289">
        <v>11</v>
      </c>
      <c r="H106" s="289">
        <v>13</v>
      </c>
      <c r="I106" s="289">
        <v>13</v>
      </c>
      <c r="J106" s="289">
        <v>0</v>
      </c>
      <c r="K106" s="276">
        <f>AVERAGE(H106:I106)</f>
        <v>13</v>
      </c>
      <c r="L106" s="276">
        <f>PI()/40000*K106^2</f>
        <v>1.3273228961416876E-2</v>
      </c>
      <c r="M106" s="276">
        <f t="shared" si="2"/>
        <v>1.3388779956507588</v>
      </c>
      <c r="N106" s="276">
        <f t="shared" si="0"/>
        <v>992.36221511048927</v>
      </c>
      <c r="O106" s="302">
        <f t="shared" si="1"/>
        <v>1.0066821394940639E-3</v>
      </c>
      <c r="P106" s="290">
        <v>0.34530770527049948</v>
      </c>
      <c r="Q106" s="98" t="str">
        <f>IF(P106&lt;O106,"tree dies","")</f>
        <v/>
      </c>
    </row>
    <row r="107" spans="2:17" x14ac:dyDescent="0.3">
      <c r="B107" s="289">
        <v>1</v>
      </c>
      <c r="C107" s="289">
        <v>171</v>
      </c>
      <c r="D107" s="289">
        <v>8</v>
      </c>
      <c r="E107" s="289">
        <v>2</v>
      </c>
      <c r="F107" s="289">
        <v>64.5</v>
      </c>
      <c r="G107" s="289">
        <v>15</v>
      </c>
      <c r="H107" s="289">
        <v>13</v>
      </c>
      <c r="I107" s="289">
        <v>13</v>
      </c>
      <c r="J107" s="289">
        <v>0</v>
      </c>
      <c r="K107" s="276">
        <f>AVERAGE(H107:I107)</f>
        <v>13</v>
      </c>
      <c r="L107" s="276">
        <f>PI()/40000*K107^2</f>
        <v>1.3273228961416876E-2</v>
      </c>
      <c r="M107" s="276">
        <f t="shared" ref="M107:M170" si="3">L107/$N$39</f>
        <v>1.3388779956507588</v>
      </c>
      <c r="N107" s="276">
        <f t="shared" ref="N107:N170" si="4">EXP($D$30+$D$31*$L$39+$D$32*M107+$D$33*K107)</f>
        <v>992.36221511048927</v>
      </c>
      <c r="O107" s="302">
        <f t="shared" ref="O107:O170" si="5">1-(N107/(1+N107))</f>
        <v>1.0066821394940639E-3</v>
      </c>
      <c r="P107" s="290">
        <v>0.78366958996419367</v>
      </c>
      <c r="Q107" s="98" t="str">
        <f>IF(P107&lt;O107,"tree dies","")</f>
        <v/>
      </c>
    </row>
    <row r="108" spans="2:17" x14ac:dyDescent="0.3">
      <c r="B108" s="289">
        <v>1</v>
      </c>
      <c r="C108" s="289">
        <v>130</v>
      </c>
      <c r="D108" s="289">
        <v>6</v>
      </c>
      <c r="E108" s="289">
        <v>1</v>
      </c>
      <c r="F108" s="289">
        <v>43.5</v>
      </c>
      <c r="G108" s="289">
        <v>11</v>
      </c>
      <c r="H108" s="289">
        <v>12.95</v>
      </c>
      <c r="I108" s="289">
        <v>12.95</v>
      </c>
      <c r="J108" s="289">
        <v>0</v>
      </c>
      <c r="K108" s="276">
        <f>AVERAGE(H108:I108)</f>
        <v>12.95</v>
      </c>
      <c r="L108" s="276">
        <f>PI()/40000*K108^2</f>
        <v>1.3171323549716056E-2</v>
      </c>
      <c r="M108" s="276">
        <f t="shared" si="3"/>
        <v>1.3285987400332626</v>
      </c>
      <c r="N108" s="276">
        <f t="shared" si="4"/>
        <v>963.05911742192541</v>
      </c>
      <c r="O108" s="302">
        <f t="shared" si="5"/>
        <v>1.0372807869647449E-3</v>
      </c>
      <c r="P108" s="290">
        <v>0.42562028712489197</v>
      </c>
      <c r="Q108" s="98" t="str">
        <f>IF(P108&lt;O108,"tree dies","")</f>
        <v/>
      </c>
    </row>
    <row r="109" spans="2:17" x14ac:dyDescent="0.3">
      <c r="B109" s="289">
        <v>1</v>
      </c>
      <c r="C109" s="289">
        <v>248</v>
      </c>
      <c r="D109" s="289">
        <v>11</v>
      </c>
      <c r="E109" s="289">
        <v>1</v>
      </c>
      <c r="F109" s="289">
        <v>22.5</v>
      </c>
      <c r="G109" s="289">
        <v>21</v>
      </c>
      <c r="H109" s="289">
        <v>12.95</v>
      </c>
      <c r="I109" s="289">
        <v>12.95</v>
      </c>
      <c r="J109" s="289">
        <v>0</v>
      </c>
      <c r="K109" s="276">
        <f>AVERAGE(H109:I109)</f>
        <v>12.95</v>
      </c>
      <c r="L109" s="276">
        <f>PI()/40000*K109^2</f>
        <v>1.3171323549716056E-2</v>
      </c>
      <c r="M109" s="276">
        <f t="shared" si="3"/>
        <v>1.3285987400332626</v>
      </c>
      <c r="N109" s="276">
        <f t="shared" si="4"/>
        <v>963.05911742192541</v>
      </c>
      <c r="O109" s="302">
        <f t="shared" si="5"/>
        <v>1.0372807869647449E-3</v>
      </c>
      <c r="P109" s="290">
        <v>0.43613028638540219</v>
      </c>
      <c r="Q109" s="98" t="str">
        <f>IF(P109&lt;O109,"tree dies","")</f>
        <v/>
      </c>
    </row>
    <row r="110" spans="2:17" x14ac:dyDescent="0.3">
      <c r="B110" s="289">
        <v>1</v>
      </c>
      <c r="C110" s="289">
        <v>125</v>
      </c>
      <c r="D110" s="289">
        <v>6</v>
      </c>
      <c r="E110" s="289">
        <v>2</v>
      </c>
      <c r="F110" s="289">
        <v>58.5</v>
      </c>
      <c r="G110" s="289">
        <v>11</v>
      </c>
      <c r="H110" s="289">
        <v>12.9</v>
      </c>
      <c r="I110" s="289">
        <v>12.9</v>
      </c>
      <c r="J110" s="289">
        <v>0</v>
      </c>
      <c r="K110" s="276">
        <f>AVERAGE(H110:I110)</f>
        <v>12.9</v>
      </c>
      <c r="L110" s="276">
        <f>PI()/40000*K110^2</f>
        <v>1.3069810837096936E-2</v>
      </c>
      <c r="M110" s="276">
        <f t="shared" si="3"/>
        <v>1.3183590961907856</v>
      </c>
      <c r="N110" s="276">
        <f t="shared" si="4"/>
        <v>934.67809357955139</v>
      </c>
      <c r="O110" s="302">
        <f t="shared" si="5"/>
        <v>1.06874362760212E-3</v>
      </c>
      <c r="P110" s="290">
        <v>0.69187093171683167</v>
      </c>
      <c r="Q110" s="98" t="str">
        <f>IF(P110&lt;O110,"tree dies","")</f>
        <v/>
      </c>
    </row>
    <row r="111" spans="2:17" x14ac:dyDescent="0.3">
      <c r="B111" s="289">
        <v>1</v>
      </c>
      <c r="C111" s="289">
        <v>157</v>
      </c>
      <c r="D111" s="289">
        <v>7</v>
      </c>
      <c r="E111" s="289">
        <v>1</v>
      </c>
      <c r="F111" s="289">
        <v>37.5</v>
      </c>
      <c r="G111" s="289">
        <v>13</v>
      </c>
      <c r="H111" s="289">
        <v>12.9</v>
      </c>
      <c r="I111" s="289">
        <v>12.9</v>
      </c>
      <c r="J111" s="289">
        <v>0</v>
      </c>
      <c r="K111" s="276">
        <f>AVERAGE(H111:I111)</f>
        <v>12.9</v>
      </c>
      <c r="L111" s="276">
        <f>PI()/40000*K111^2</f>
        <v>1.3069810837096936E-2</v>
      </c>
      <c r="M111" s="276">
        <f t="shared" si="3"/>
        <v>1.3183590961907856</v>
      </c>
      <c r="N111" s="276">
        <f t="shared" si="4"/>
        <v>934.67809357955139</v>
      </c>
      <c r="O111" s="302">
        <f t="shared" si="5"/>
        <v>1.06874362760212E-3</v>
      </c>
      <c r="P111" s="290">
        <v>0.62401554585736496</v>
      </c>
      <c r="Q111" s="98" t="str">
        <f>IF(P111&lt;O111,"tree dies","")</f>
        <v/>
      </c>
    </row>
    <row r="112" spans="2:17" x14ac:dyDescent="0.3">
      <c r="B112" s="289">
        <v>1</v>
      </c>
      <c r="C112" s="289">
        <v>72</v>
      </c>
      <c r="D112" s="289">
        <v>3</v>
      </c>
      <c r="E112" s="289">
        <v>1</v>
      </c>
      <c r="F112" s="289">
        <v>70.5</v>
      </c>
      <c r="G112" s="289">
        <v>5</v>
      </c>
      <c r="H112" s="289">
        <v>12.85</v>
      </c>
      <c r="I112" s="289">
        <v>12.85</v>
      </c>
      <c r="J112" s="289">
        <v>0</v>
      </c>
      <c r="K112" s="276">
        <f>AVERAGE(H112:I112)</f>
        <v>12.85</v>
      </c>
      <c r="L112" s="276">
        <f>PI()/40000*K112^2</f>
        <v>1.2968690823559515E-2</v>
      </c>
      <c r="M112" s="276">
        <f t="shared" si="3"/>
        <v>1.3081590641233281</v>
      </c>
      <c r="N112" s="276">
        <f t="shared" si="4"/>
        <v>907.18857198503497</v>
      </c>
      <c r="O112" s="302">
        <f t="shared" si="5"/>
        <v>1.1010929126913371E-3</v>
      </c>
      <c r="P112" s="290">
        <v>0.45921788140608111</v>
      </c>
      <c r="Q112" s="98" t="str">
        <f>IF(P112&lt;O112,"tree dies","")</f>
        <v/>
      </c>
    </row>
    <row r="113" spans="2:17" x14ac:dyDescent="0.3">
      <c r="B113" s="289">
        <v>1</v>
      </c>
      <c r="C113" s="289">
        <v>80</v>
      </c>
      <c r="D113" s="289">
        <v>4</v>
      </c>
      <c r="E113" s="289">
        <v>1</v>
      </c>
      <c r="F113" s="289">
        <v>49.5</v>
      </c>
      <c r="G113" s="289">
        <v>7</v>
      </c>
      <c r="H113" s="289">
        <v>12.85</v>
      </c>
      <c r="I113" s="289">
        <v>12.85</v>
      </c>
      <c r="J113" s="289">
        <v>0</v>
      </c>
      <c r="K113" s="276">
        <f>AVERAGE(H113:I113)</f>
        <v>12.85</v>
      </c>
      <c r="L113" s="276">
        <f>PI()/40000*K113^2</f>
        <v>1.2968690823559515E-2</v>
      </c>
      <c r="M113" s="276">
        <f t="shared" si="3"/>
        <v>1.3081590641233281</v>
      </c>
      <c r="N113" s="276">
        <f t="shared" si="4"/>
        <v>907.18857198503497</v>
      </c>
      <c r="O113" s="302">
        <f t="shared" si="5"/>
        <v>1.1010929126913371E-3</v>
      </c>
      <c r="P113" s="290">
        <v>0.89572665407550012</v>
      </c>
      <c r="Q113" s="98" t="str">
        <f>IF(P113&lt;O113,"tree dies","")</f>
        <v/>
      </c>
    </row>
    <row r="114" spans="2:17" x14ac:dyDescent="0.3">
      <c r="B114" s="289">
        <v>1</v>
      </c>
      <c r="C114" s="289">
        <v>181</v>
      </c>
      <c r="D114" s="289">
        <v>8</v>
      </c>
      <c r="E114" s="289">
        <v>1</v>
      </c>
      <c r="F114" s="289">
        <v>34.5</v>
      </c>
      <c r="G114" s="289">
        <v>15</v>
      </c>
      <c r="H114" s="289">
        <v>12.85</v>
      </c>
      <c r="I114" s="289">
        <v>12.85</v>
      </c>
      <c r="J114" s="289">
        <v>0</v>
      </c>
      <c r="K114" s="276">
        <f>AVERAGE(H114:I114)</f>
        <v>12.85</v>
      </c>
      <c r="L114" s="276">
        <f>PI()/40000*K114^2</f>
        <v>1.2968690823559515E-2</v>
      </c>
      <c r="M114" s="276">
        <f t="shared" si="3"/>
        <v>1.3081590641233281</v>
      </c>
      <c r="N114" s="276">
        <f t="shared" si="4"/>
        <v>907.18857198503497</v>
      </c>
      <c r="O114" s="302">
        <f t="shared" si="5"/>
        <v>1.1010929126913371E-3</v>
      </c>
      <c r="P114" s="290">
        <v>0.53716938874514431</v>
      </c>
      <c r="Q114" s="98" t="str">
        <f>IF(P114&lt;O114,"tree dies","")</f>
        <v/>
      </c>
    </row>
    <row r="115" spans="2:17" x14ac:dyDescent="0.3">
      <c r="B115" s="289">
        <v>1</v>
      </c>
      <c r="C115" s="289">
        <v>57</v>
      </c>
      <c r="D115" s="289">
        <v>3</v>
      </c>
      <c r="E115" s="289">
        <v>1</v>
      </c>
      <c r="F115" s="289">
        <v>25.5</v>
      </c>
      <c r="G115" s="289">
        <v>5</v>
      </c>
      <c r="H115" s="289">
        <v>12.8</v>
      </c>
      <c r="I115" s="289">
        <v>12.8</v>
      </c>
      <c r="J115" s="289">
        <v>0</v>
      </c>
      <c r="K115" s="276">
        <f>AVERAGE(H115:I115)</f>
        <v>12.8</v>
      </c>
      <c r="L115" s="276">
        <f>PI()/40000*K115^2</f>
        <v>1.2867963509103795E-2</v>
      </c>
      <c r="M115" s="276">
        <f t="shared" si="3"/>
        <v>1.2979986438308897</v>
      </c>
      <c r="N115" s="276">
        <f t="shared" si="4"/>
        <v>880.56104120306804</v>
      </c>
      <c r="O115" s="302">
        <f t="shared" si="5"/>
        <v>1.1343513985546672E-3</v>
      </c>
      <c r="P115" s="290">
        <v>0.67877166209568063</v>
      </c>
      <c r="Q115" s="98" t="str">
        <f>IF(P115&lt;O115,"tree dies","")</f>
        <v/>
      </c>
    </row>
    <row r="116" spans="2:17" x14ac:dyDescent="0.3">
      <c r="B116" s="289">
        <v>1</v>
      </c>
      <c r="C116" s="289">
        <v>235</v>
      </c>
      <c r="D116" s="289">
        <v>10</v>
      </c>
      <c r="E116" s="289">
        <v>1</v>
      </c>
      <c r="F116" s="289">
        <v>16.5</v>
      </c>
      <c r="G116" s="289">
        <v>19</v>
      </c>
      <c r="H116" s="289">
        <v>12.8</v>
      </c>
      <c r="I116" s="289">
        <v>12.8</v>
      </c>
      <c r="J116" s="289">
        <v>0</v>
      </c>
      <c r="K116" s="276">
        <f>AVERAGE(H116:I116)</f>
        <v>12.8</v>
      </c>
      <c r="L116" s="276">
        <f>PI()/40000*K116^2</f>
        <v>1.2867963509103795E-2</v>
      </c>
      <c r="M116" s="276">
        <f t="shared" si="3"/>
        <v>1.2979986438308897</v>
      </c>
      <c r="N116" s="276">
        <f t="shared" si="4"/>
        <v>880.56104120306804</v>
      </c>
      <c r="O116" s="302">
        <f t="shared" si="5"/>
        <v>1.1343513985546672E-3</v>
      </c>
      <c r="P116" s="290">
        <v>0.92670378714277157</v>
      </c>
      <c r="Q116" s="98" t="str">
        <f>IF(P116&lt;O116,"tree dies","")</f>
        <v/>
      </c>
    </row>
    <row r="117" spans="2:17" x14ac:dyDescent="0.3">
      <c r="B117" s="289">
        <v>1</v>
      </c>
      <c r="C117" s="289">
        <v>243</v>
      </c>
      <c r="D117" s="289">
        <v>11</v>
      </c>
      <c r="E117" s="289">
        <v>1</v>
      </c>
      <c r="F117" s="289">
        <v>7.5</v>
      </c>
      <c r="G117" s="289">
        <v>21</v>
      </c>
      <c r="H117" s="289">
        <v>12.8</v>
      </c>
      <c r="I117" s="289">
        <v>12.8</v>
      </c>
      <c r="J117" s="289">
        <v>0</v>
      </c>
      <c r="K117" s="276">
        <f>AVERAGE(H117:I117)</f>
        <v>12.8</v>
      </c>
      <c r="L117" s="276">
        <f>PI()/40000*K117^2</f>
        <v>1.2867963509103795E-2</v>
      </c>
      <c r="M117" s="276">
        <f t="shared" si="3"/>
        <v>1.2979986438308897</v>
      </c>
      <c r="N117" s="276">
        <f t="shared" si="4"/>
        <v>880.56104120306804</v>
      </c>
      <c r="O117" s="302">
        <f t="shared" si="5"/>
        <v>1.1343513985546672E-3</v>
      </c>
      <c r="P117" s="290">
        <v>0.72483622665059899</v>
      </c>
      <c r="Q117" s="98" t="str">
        <f>IF(P117&lt;O117,"tree dies","")</f>
        <v/>
      </c>
    </row>
    <row r="118" spans="2:17" x14ac:dyDescent="0.3">
      <c r="B118" s="289">
        <v>1</v>
      </c>
      <c r="C118" s="289">
        <v>75</v>
      </c>
      <c r="D118" s="289">
        <v>4</v>
      </c>
      <c r="E118" s="289">
        <v>1</v>
      </c>
      <c r="F118" s="289">
        <v>64.5</v>
      </c>
      <c r="G118" s="289">
        <v>7</v>
      </c>
      <c r="H118" s="289">
        <v>12.75</v>
      </c>
      <c r="I118" s="289">
        <v>12.75</v>
      </c>
      <c r="J118" s="289">
        <v>0</v>
      </c>
      <c r="K118" s="276">
        <f>AVERAGE(H118:I118)</f>
        <v>12.75</v>
      </c>
      <c r="L118" s="276">
        <f>PI()/40000*K118^2</f>
        <v>1.2767628893729769E-2</v>
      </c>
      <c r="M118" s="276">
        <f t="shared" si="3"/>
        <v>1.2878778353134703</v>
      </c>
      <c r="N118" s="276">
        <f t="shared" si="4"/>
        <v>854.76701171333525</v>
      </c>
      <c r="O118" s="302">
        <f t="shared" si="5"/>
        <v>1.1685423559362196E-3</v>
      </c>
      <c r="P118" s="290">
        <v>0.12208818701218715</v>
      </c>
      <c r="Q118" s="98" t="str">
        <f>IF(P118&lt;O118,"tree dies","")</f>
        <v/>
      </c>
    </row>
    <row r="119" spans="2:17" x14ac:dyDescent="0.3">
      <c r="B119" s="289">
        <v>1</v>
      </c>
      <c r="C119" s="289">
        <v>29</v>
      </c>
      <c r="D119" s="289">
        <v>2</v>
      </c>
      <c r="E119" s="289">
        <v>1</v>
      </c>
      <c r="F119" s="289">
        <v>58.5</v>
      </c>
      <c r="G119" s="289">
        <v>3</v>
      </c>
      <c r="H119" s="289">
        <v>12.7</v>
      </c>
      <c r="I119" s="289">
        <v>12.7</v>
      </c>
      <c r="J119" s="289">
        <v>0</v>
      </c>
      <c r="K119" s="276">
        <f>AVERAGE(H119:I119)</f>
        <v>12.7</v>
      </c>
      <c r="L119" s="276">
        <f>PI()/40000*K119^2</f>
        <v>1.2667686977437443E-2</v>
      </c>
      <c r="M119" s="276">
        <f t="shared" si="3"/>
        <v>1.2777966385710704</v>
      </c>
      <c r="N119" s="276">
        <f t="shared" si="4"/>
        <v>829.77897909218598</v>
      </c>
      <c r="O119" s="302">
        <f t="shared" si="5"/>
        <v>1.2036895794989011E-3</v>
      </c>
      <c r="P119" s="290">
        <v>0.10459981998091716</v>
      </c>
      <c r="Q119" s="98" t="str">
        <f>IF(P119&lt;O119,"tree dies","")</f>
        <v/>
      </c>
    </row>
    <row r="120" spans="2:17" x14ac:dyDescent="0.3">
      <c r="B120" s="289">
        <v>1</v>
      </c>
      <c r="C120" s="289">
        <v>132</v>
      </c>
      <c r="D120" s="289">
        <v>6</v>
      </c>
      <c r="E120" s="289">
        <v>1</v>
      </c>
      <c r="F120" s="289">
        <v>37.5</v>
      </c>
      <c r="G120" s="289">
        <v>11</v>
      </c>
      <c r="H120" s="289">
        <v>12.7</v>
      </c>
      <c r="I120" s="289">
        <v>12.7</v>
      </c>
      <c r="J120" s="289">
        <v>0</v>
      </c>
      <c r="K120" s="276">
        <f>AVERAGE(H120:I120)</f>
        <v>12.7</v>
      </c>
      <c r="L120" s="276">
        <f>PI()/40000*K120^2</f>
        <v>1.2667686977437443E-2</v>
      </c>
      <c r="M120" s="276">
        <f t="shared" si="3"/>
        <v>1.2777966385710704</v>
      </c>
      <c r="N120" s="276">
        <f t="shared" si="4"/>
        <v>829.77897909218598</v>
      </c>
      <c r="O120" s="302">
        <f t="shared" si="5"/>
        <v>1.2036895794989011E-3</v>
      </c>
      <c r="P120" s="290">
        <v>0.95679668556175379</v>
      </c>
      <c r="Q120" s="98" t="str">
        <f>IF(P120&lt;O120,"tree dies","")</f>
        <v/>
      </c>
    </row>
    <row r="121" spans="2:17" x14ac:dyDescent="0.3">
      <c r="B121" s="289">
        <v>1</v>
      </c>
      <c r="C121" s="289">
        <v>163</v>
      </c>
      <c r="D121" s="289">
        <v>7</v>
      </c>
      <c r="E121" s="289">
        <v>2</v>
      </c>
      <c r="F121" s="289">
        <v>55.5</v>
      </c>
      <c r="G121" s="289">
        <v>13</v>
      </c>
      <c r="H121" s="289">
        <v>12.7</v>
      </c>
      <c r="I121" s="289">
        <v>12.7</v>
      </c>
      <c r="J121" s="289">
        <v>0</v>
      </c>
      <c r="K121" s="276">
        <f>AVERAGE(H121:I121)</f>
        <v>12.7</v>
      </c>
      <c r="L121" s="276">
        <f>PI()/40000*K121^2</f>
        <v>1.2667686977437443E-2</v>
      </c>
      <c r="M121" s="276">
        <f t="shared" si="3"/>
        <v>1.2777966385710704</v>
      </c>
      <c r="N121" s="276">
        <f t="shared" si="4"/>
        <v>829.77897909218598</v>
      </c>
      <c r="O121" s="302">
        <f t="shared" si="5"/>
        <v>1.2036895794989011E-3</v>
      </c>
      <c r="P121" s="290">
        <v>4.2146803193837679E-3</v>
      </c>
      <c r="Q121" s="98" t="str">
        <f>IF(P121&lt;O121,"tree dies","")</f>
        <v/>
      </c>
    </row>
    <row r="122" spans="2:17" x14ac:dyDescent="0.3">
      <c r="B122" s="289">
        <v>1</v>
      </c>
      <c r="C122" s="289">
        <v>223</v>
      </c>
      <c r="D122" s="289">
        <v>10</v>
      </c>
      <c r="E122" s="289">
        <v>1</v>
      </c>
      <c r="F122" s="289">
        <v>52.5</v>
      </c>
      <c r="G122" s="289">
        <v>19</v>
      </c>
      <c r="H122" s="289">
        <v>12.65</v>
      </c>
      <c r="I122" s="289">
        <v>12.65</v>
      </c>
      <c r="J122" s="289">
        <v>0</v>
      </c>
      <c r="K122" s="276">
        <f>AVERAGE(H122:I122)</f>
        <v>12.65</v>
      </c>
      <c r="L122" s="276">
        <f>PI()/40000*K122^2</f>
        <v>1.2568137760226817E-2</v>
      </c>
      <c r="M122" s="276">
        <f t="shared" si="3"/>
        <v>1.2677550536036897</v>
      </c>
      <c r="N122" s="276">
        <f t="shared" si="4"/>
        <v>805.57038856882548</v>
      </c>
      <c r="O122" s="302">
        <f t="shared" si="5"/>
        <v>1.2398173974306204E-3</v>
      </c>
      <c r="P122" s="290">
        <v>0.63073483758193294</v>
      </c>
      <c r="Q122" s="98" t="str">
        <f>IF(P122&lt;O122,"tree dies","")</f>
        <v/>
      </c>
    </row>
    <row r="123" spans="2:17" x14ac:dyDescent="0.3">
      <c r="B123" s="289">
        <v>1</v>
      </c>
      <c r="C123" s="289">
        <v>6</v>
      </c>
      <c r="D123" s="289">
        <v>1</v>
      </c>
      <c r="E123" s="289">
        <v>1</v>
      </c>
      <c r="F123" s="289">
        <v>16.5</v>
      </c>
      <c r="G123" s="289">
        <v>1</v>
      </c>
      <c r="H123" s="289">
        <v>12.5</v>
      </c>
      <c r="I123" s="289">
        <v>12.5</v>
      </c>
      <c r="J123" s="289">
        <v>0</v>
      </c>
      <c r="K123" s="276">
        <f>AVERAGE(H123:I123)</f>
        <v>12.5</v>
      </c>
      <c r="L123" s="276">
        <f>PI()/40000*K123^2</f>
        <v>1.2271846303085129E-2</v>
      </c>
      <c r="M123" s="276">
        <f t="shared" si="3"/>
        <v>1.2378679693516632</v>
      </c>
      <c r="N123" s="276">
        <f t="shared" si="4"/>
        <v>737.36925894809974</v>
      </c>
      <c r="O123" s="302">
        <f t="shared" si="5"/>
        <v>1.3543359069750904E-3</v>
      </c>
      <c r="P123" s="290">
        <v>5.615290596135214E-2</v>
      </c>
      <c r="Q123" s="98" t="str">
        <f>IF(P123&lt;O123,"tree dies","")</f>
        <v/>
      </c>
    </row>
    <row r="124" spans="2:17" x14ac:dyDescent="0.3">
      <c r="B124" s="289">
        <v>1</v>
      </c>
      <c r="C124" s="289">
        <v>189</v>
      </c>
      <c r="D124" s="289">
        <v>8</v>
      </c>
      <c r="E124" s="289">
        <v>1</v>
      </c>
      <c r="F124" s="289">
        <v>10.5</v>
      </c>
      <c r="G124" s="289">
        <v>15</v>
      </c>
      <c r="H124" s="289">
        <v>12.5</v>
      </c>
      <c r="I124" s="289">
        <v>12.5</v>
      </c>
      <c r="J124" s="289">
        <v>0</v>
      </c>
      <c r="K124" s="276">
        <f>AVERAGE(H124:I124)</f>
        <v>12.5</v>
      </c>
      <c r="L124" s="276">
        <f>PI()/40000*K124^2</f>
        <v>1.2271846303085129E-2</v>
      </c>
      <c r="M124" s="276">
        <f t="shared" si="3"/>
        <v>1.2378679693516632</v>
      </c>
      <c r="N124" s="276">
        <f t="shared" si="4"/>
        <v>737.36925894809974</v>
      </c>
      <c r="O124" s="302">
        <f t="shared" si="5"/>
        <v>1.3543359069750904E-3</v>
      </c>
      <c r="P124" s="290">
        <v>0.28235643006503974</v>
      </c>
      <c r="Q124" s="98" t="str">
        <f>IF(P124&lt;O124,"tree dies","")</f>
        <v/>
      </c>
    </row>
    <row r="125" spans="2:17" x14ac:dyDescent="0.3">
      <c r="B125" s="289">
        <v>1</v>
      </c>
      <c r="C125" s="289">
        <v>21</v>
      </c>
      <c r="D125" s="289">
        <v>1</v>
      </c>
      <c r="E125" s="289">
        <v>1</v>
      </c>
      <c r="F125" s="289">
        <v>61.5</v>
      </c>
      <c r="G125" s="289">
        <v>1</v>
      </c>
      <c r="H125" s="289">
        <v>12.4</v>
      </c>
      <c r="I125" s="289">
        <v>12.4</v>
      </c>
      <c r="J125" s="289">
        <v>0</v>
      </c>
      <c r="K125" s="276">
        <f>AVERAGE(H125:I125)</f>
        <v>12.4</v>
      </c>
      <c r="L125" s="276">
        <f>PI()/40000*K125^2</f>
        <v>1.2076282160399167E-2</v>
      </c>
      <c r="M125" s="276">
        <f t="shared" si="3"/>
        <v>1.2181413053920753</v>
      </c>
      <c r="N125" s="276">
        <f t="shared" si="4"/>
        <v>695.35193172498214</v>
      </c>
      <c r="O125" s="302">
        <f t="shared" si="5"/>
        <v>1.4360554691401628E-3</v>
      </c>
      <c r="P125" s="290">
        <v>0.63217538522405115</v>
      </c>
      <c r="Q125" s="98" t="str">
        <f>IF(P125&lt;O125,"tree dies","")</f>
        <v/>
      </c>
    </row>
    <row r="126" spans="2:17" x14ac:dyDescent="0.3">
      <c r="B126" s="289">
        <v>1</v>
      </c>
      <c r="C126" s="289">
        <v>240</v>
      </c>
      <c r="D126" s="289">
        <v>10</v>
      </c>
      <c r="E126" s="289">
        <v>1</v>
      </c>
      <c r="F126" s="289">
        <v>1.5</v>
      </c>
      <c r="G126" s="289">
        <v>19</v>
      </c>
      <c r="H126" s="289">
        <v>12.4</v>
      </c>
      <c r="I126" s="289">
        <v>12.4</v>
      </c>
      <c r="J126" s="289">
        <v>0</v>
      </c>
      <c r="K126" s="276">
        <f>AVERAGE(H126:I126)</f>
        <v>12.4</v>
      </c>
      <c r="L126" s="276">
        <f>PI()/40000*K126^2</f>
        <v>1.2076282160399167E-2</v>
      </c>
      <c r="M126" s="276">
        <f t="shared" si="3"/>
        <v>1.2181413053920753</v>
      </c>
      <c r="N126" s="276">
        <f t="shared" si="4"/>
        <v>695.35193172498214</v>
      </c>
      <c r="O126" s="302">
        <f t="shared" si="5"/>
        <v>1.4360554691401628E-3</v>
      </c>
      <c r="P126" s="290">
        <v>0.54457074293121921</v>
      </c>
      <c r="Q126" s="98" t="str">
        <f>IF(P126&lt;O126,"tree dies","")</f>
        <v/>
      </c>
    </row>
    <row r="127" spans="2:17" x14ac:dyDescent="0.3">
      <c r="B127" s="289">
        <v>1</v>
      </c>
      <c r="C127" s="289">
        <v>108</v>
      </c>
      <c r="D127" s="289">
        <v>5</v>
      </c>
      <c r="E127" s="289">
        <v>1</v>
      </c>
      <c r="F127" s="289">
        <v>34.5</v>
      </c>
      <c r="G127" s="289">
        <v>9</v>
      </c>
      <c r="H127" s="289">
        <v>12.35</v>
      </c>
      <c r="I127" s="289">
        <v>12.35</v>
      </c>
      <c r="J127" s="289">
        <v>0</v>
      </c>
      <c r="K127" s="276">
        <f>AVERAGE(H127:I127)</f>
        <v>12.35</v>
      </c>
      <c r="L127" s="276">
        <f>PI()/40000*K127^2</f>
        <v>1.197908913767873E-2</v>
      </c>
      <c r="M127" s="276">
        <f t="shared" si="3"/>
        <v>1.2083373910748096</v>
      </c>
      <c r="N127" s="276">
        <f t="shared" si="4"/>
        <v>675.31138081784695</v>
      </c>
      <c r="O127" s="302">
        <f t="shared" si="5"/>
        <v>1.4786088603014891E-3</v>
      </c>
      <c r="P127" s="290">
        <v>2.1441865845012842E-2</v>
      </c>
      <c r="Q127" s="98" t="str">
        <f>IF(P127&lt;O127,"tree dies","")</f>
        <v/>
      </c>
    </row>
    <row r="128" spans="2:17" x14ac:dyDescent="0.3">
      <c r="B128" s="289">
        <v>1</v>
      </c>
      <c r="C128" s="289">
        <v>109</v>
      </c>
      <c r="D128" s="289">
        <v>5</v>
      </c>
      <c r="E128" s="289">
        <v>1</v>
      </c>
      <c r="F128" s="289">
        <v>37.5</v>
      </c>
      <c r="G128" s="289">
        <v>9</v>
      </c>
      <c r="H128" s="289">
        <v>12.35</v>
      </c>
      <c r="I128" s="289">
        <v>12.35</v>
      </c>
      <c r="J128" s="289">
        <v>0</v>
      </c>
      <c r="K128" s="276">
        <f>AVERAGE(H128:I128)</f>
        <v>12.35</v>
      </c>
      <c r="L128" s="276">
        <f>PI()/40000*K128^2</f>
        <v>1.197908913767873E-2</v>
      </c>
      <c r="M128" s="276">
        <f t="shared" si="3"/>
        <v>1.2083373910748096</v>
      </c>
      <c r="N128" s="276">
        <f t="shared" si="4"/>
        <v>675.31138081784695</v>
      </c>
      <c r="O128" s="302">
        <f t="shared" si="5"/>
        <v>1.4786088603014891E-3</v>
      </c>
      <c r="P128" s="290">
        <v>0.96049252020177989</v>
      </c>
      <c r="Q128" s="98" t="str">
        <f>IF(P128&lt;O128,"tree dies","")</f>
        <v/>
      </c>
    </row>
    <row r="129" spans="2:17" x14ac:dyDescent="0.3">
      <c r="B129" s="289">
        <v>1</v>
      </c>
      <c r="C129" s="289">
        <v>152</v>
      </c>
      <c r="D129" s="289">
        <v>7</v>
      </c>
      <c r="E129" s="289">
        <v>2</v>
      </c>
      <c r="F129" s="289">
        <v>22.5</v>
      </c>
      <c r="G129" s="289">
        <v>13</v>
      </c>
      <c r="H129" s="289">
        <v>12.35</v>
      </c>
      <c r="I129" s="289">
        <v>12.35</v>
      </c>
      <c r="J129" s="289">
        <v>0</v>
      </c>
      <c r="K129" s="276">
        <f>AVERAGE(H129:I129)</f>
        <v>12.35</v>
      </c>
      <c r="L129" s="276">
        <f>PI()/40000*K129^2</f>
        <v>1.197908913767873E-2</v>
      </c>
      <c r="M129" s="276">
        <f t="shared" si="3"/>
        <v>1.2083373910748096</v>
      </c>
      <c r="N129" s="276">
        <f t="shared" si="4"/>
        <v>675.31138081784695</v>
      </c>
      <c r="O129" s="302">
        <f t="shared" si="5"/>
        <v>1.4786088603014891E-3</v>
      </c>
      <c r="P129" s="290">
        <v>3.6789347699374586E-2</v>
      </c>
      <c r="Q129" s="98" t="str">
        <f>IF(P129&lt;O129,"tree dies","")</f>
        <v/>
      </c>
    </row>
    <row r="130" spans="2:17" x14ac:dyDescent="0.3">
      <c r="B130" s="289">
        <v>1</v>
      </c>
      <c r="C130" s="289">
        <v>76</v>
      </c>
      <c r="D130" s="289">
        <v>4</v>
      </c>
      <c r="E130" s="289">
        <v>1</v>
      </c>
      <c r="F130" s="289">
        <v>61.5</v>
      </c>
      <c r="G130" s="289">
        <v>7</v>
      </c>
      <c r="H130" s="289">
        <v>12.3</v>
      </c>
      <c r="I130" s="289">
        <v>12.3</v>
      </c>
      <c r="J130" s="289">
        <v>0</v>
      </c>
      <c r="K130" s="276">
        <f>AVERAGE(H130:I130)</f>
        <v>12.3</v>
      </c>
      <c r="L130" s="276">
        <f>PI()/40000*K130^2</f>
        <v>1.1882288814039996E-2</v>
      </c>
      <c r="M130" s="276">
        <f t="shared" si="3"/>
        <v>1.1985730885325641</v>
      </c>
      <c r="N130" s="276">
        <f t="shared" si="4"/>
        <v>655.88826672294215</v>
      </c>
      <c r="O130" s="302">
        <f t="shared" si="5"/>
        <v>1.5223289114125738E-3</v>
      </c>
      <c r="P130" s="290">
        <v>0.35964260131292958</v>
      </c>
      <c r="Q130" s="98" t="str">
        <f>IF(P130&lt;O130,"tree dies","")</f>
        <v/>
      </c>
    </row>
    <row r="131" spans="2:17" x14ac:dyDescent="0.3">
      <c r="B131" s="289">
        <v>1</v>
      </c>
      <c r="C131" s="289">
        <v>103</v>
      </c>
      <c r="D131" s="289">
        <v>5</v>
      </c>
      <c r="E131" s="289">
        <v>2</v>
      </c>
      <c r="F131" s="289">
        <v>19.5</v>
      </c>
      <c r="G131" s="289">
        <v>9</v>
      </c>
      <c r="H131" s="289">
        <v>12.3</v>
      </c>
      <c r="I131" s="289">
        <v>12.3</v>
      </c>
      <c r="J131" s="289">
        <v>0</v>
      </c>
      <c r="K131" s="276">
        <f>AVERAGE(H131:I131)</f>
        <v>12.3</v>
      </c>
      <c r="L131" s="276">
        <f>PI()/40000*K131^2</f>
        <v>1.1882288814039996E-2</v>
      </c>
      <c r="M131" s="276">
        <f t="shared" si="3"/>
        <v>1.1985730885325641</v>
      </c>
      <c r="N131" s="276">
        <f t="shared" si="4"/>
        <v>655.88826672294215</v>
      </c>
      <c r="O131" s="302">
        <f t="shared" si="5"/>
        <v>1.5223289114125738E-3</v>
      </c>
      <c r="P131" s="290">
        <v>0.47377164235119018</v>
      </c>
      <c r="Q131" s="98" t="str">
        <f>IF(P131&lt;O131,"tree dies","")</f>
        <v/>
      </c>
    </row>
    <row r="132" spans="2:17" x14ac:dyDescent="0.3">
      <c r="B132" s="289">
        <v>1</v>
      </c>
      <c r="C132" s="289">
        <v>81</v>
      </c>
      <c r="D132" s="289">
        <v>4</v>
      </c>
      <c r="E132" s="289">
        <v>1</v>
      </c>
      <c r="F132" s="289">
        <v>46.5</v>
      </c>
      <c r="G132" s="289">
        <v>7</v>
      </c>
      <c r="H132" s="289">
        <v>12.25</v>
      </c>
      <c r="I132" s="289">
        <v>12.25</v>
      </c>
      <c r="J132" s="289">
        <v>0</v>
      </c>
      <c r="K132" s="276">
        <f>AVERAGE(H132:I132)</f>
        <v>12.25</v>
      </c>
      <c r="L132" s="276">
        <f>PI()/40000*K132^2</f>
        <v>1.1785881189482959E-2</v>
      </c>
      <c r="M132" s="276">
        <f t="shared" si="3"/>
        <v>1.1888483977653372</v>
      </c>
      <c r="N132" s="276">
        <f t="shared" si="4"/>
        <v>637.06250430278078</v>
      </c>
      <c r="O132" s="302">
        <f t="shared" si="5"/>
        <v>1.5672445775397614E-3</v>
      </c>
      <c r="P132" s="290">
        <v>0.47746960015382134</v>
      </c>
      <c r="Q132" s="98" t="str">
        <f>IF(P132&lt;O132,"tree dies","")</f>
        <v/>
      </c>
    </row>
    <row r="133" spans="2:17" x14ac:dyDescent="0.3">
      <c r="B133" s="289">
        <v>1</v>
      </c>
      <c r="C133" s="289">
        <v>62</v>
      </c>
      <c r="D133" s="289">
        <v>3</v>
      </c>
      <c r="E133" s="289">
        <v>1</v>
      </c>
      <c r="F133" s="289">
        <v>40.5</v>
      </c>
      <c r="G133" s="289">
        <v>5</v>
      </c>
      <c r="H133" s="289">
        <v>12.2</v>
      </c>
      <c r="I133" s="289">
        <v>12.2</v>
      </c>
      <c r="J133" s="289">
        <v>0</v>
      </c>
      <c r="K133" s="276">
        <f>AVERAGE(H133:I133)</f>
        <v>12.2</v>
      </c>
      <c r="L133" s="276">
        <f>PI()/40000*K133^2</f>
        <v>1.1689866264007618E-2</v>
      </c>
      <c r="M133" s="276">
        <f t="shared" si="3"/>
        <v>1.1791633187731296</v>
      </c>
      <c r="N133" s="276">
        <f t="shared" si="4"/>
        <v>618.81469284391574</v>
      </c>
      <c r="O133" s="302">
        <f t="shared" si="5"/>
        <v>1.6133854384956514E-3</v>
      </c>
      <c r="P133" s="290">
        <v>0.84858600798332828</v>
      </c>
      <c r="Q133" s="98" t="str">
        <f>IF(P133&lt;O133,"tree dies","")</f>
        <v/>
      </c>
    </row>
    <row r="134" spans="2:17" x14ac:dyDescent="0.3">
      <c r="B134" s="289">
        <v>1</v>
      </c>
      <c r="C134" s="289">
        <v>83</v>
      </c>
      <c r="D134" s="289">
        <v>4</v>
      </c>
      <c r="E134" s="289">
        <v>1</v>
      </c>
      <c r="F134" s="289">
        <v>40.5</v>
      </c>
      <c r="G134" s="289">
        <v>7</v>
      </c>
      <c r="H134" s="289">
        <v>12.2</v>
      </c>
      <c r="I134" s="289">
        <v>12.2</v>
      </c>
      <c r="J134" s="289">
        <v>0</v>
      </c>
      <c r="K134" s="276">
        <f>AVERAGE(H134:I134)</f>
        <v>12.2</v>
      </c>
      <c r="L134" s="276">
        <f>PI()/40000*K134^2</f>
        <v>1.1689866264007618E-2</v>
      </c>
      <c r="M134" s="276">
        <f t="shared" si="3"/>
        <v>1.1791633187731296</v>
      </c>
      <c r="N134" s="276">
        <f t="shared" si="4"/>
        <v>618.81469284391574</v>
      </c>
      <c r="O134" s="302">
        <f t="shared" si="5"/>
        <v>1.6133854384956514E-3</v>
      </c>
      <c r="P134" s="290">
        <v>0.65946826260600055</v>
      </c>
      <c r="Q134" s="98" t="str">
        <f>IF(P134&lt;O134,"tree dies","")</f>
        <v/>
      </c>
    </row>
    <row r="135" spans="2:17" x14ac:dyDescent="0.3">
      <c r="B135" s="289">
        <v>1</v>
      </c>
      <c r="C135" s="289">
        <v>153</v>
      </c>
      <c r="D135" s="289">
        <v>7</v>
      </c>
      <c r="E135" s="289">
        <v>2</v>
      </c>
      <c r="F135" s="289">
        <v>25.5</v>
      </c>
      <c r="G135" s="289">
        <v>13</v>
      </c>
      <c r="H135" s="289">
        <v>12.2</v>
      </c>
      <c r="I135" s="289">
        <v>12.2</v>
      </c>
      <c r="J135" s="289">
        <v>0</v>
      </c>
      <c r="K135" s="276">
        <f>AVERAGE(H135:I135)</f>
        <v>12.2</v>
      </c>
      <c r="L135" s="276">
        <f>PI()/40000*K135^2</f>
        <v>1.1689866264007618E-2</v>
      </c>
      <c r="M135" s="276">
        <f t="shared" si="3"/>
        <v>1.1791633187731296</v>
      </c>
      <c r="N135" s="276">
        <f t="shared" si="4"/>
        <v>618.81469284391574</v>
      </c>
      <c r="O135" s="302">
        <f t="shared" si="5"/>
        <v>1.6133854384956514E-3</v>
      </c>
      <c r="P135" s="290">
        <v>0.78043919641291426</v>
      </c>
      <c r="Q135" s="98" t="str">
        <f>IF(P135&lt;O135,"tree dies","")</f>
        <v/>
      </c>
    </row>
    <row r="136" spans="2:17" x14ac:dyDescent="0.3">
      <c r="B136" s="289">
        <v>1</v>
      </c>
      <c r="C136" s="289">
        <v>12</v>
      </c>
      <c r="D136" s="289">
        <v>1</v>
      </c>
      <c r="E136" s="289">
        <v>1</v>
      </c>
      <c r="F136" s="289">
        <v>34.5</v>
      </c>
      <c r="G136" s="289">
        <v>1</v>
      </c>
      <c r="H136" s="289">
        <v>12.15</v>
      </c>
      <c r="I136" s="289">
        <v>12.15</v>
      </c>
      <c r="J136" s="289">
        <v>0</v>
      </c>
      <c r="K136" s="276">
        <f>AVERAGE(H136:I136)</f>
        <v>12.15</v>
      </c>
      <c r="L136" s="276">
        <f>PI()/40000*K136^2</f>
        <v>1.1594244037613981E-2</v>
      </c>
      <c r="M136" s="276">
        <f t="shared" si="3"/>
        <v>1.1695178515559417</v>
      </c>
      <c r="N136" s="276">
        <f t="shared" si="4"/>
        <v>601.12609176402839</v>
      </c>
      <c r="O136" s="302">
        <f t="shared" si="5"/>
        <v>1.6607817094760335E-3</v>
      </c>
      <c r="P136" s="290">
        <v>0.45337020273282369</v>
      </c>
      <c r="Q136" s="98" t="str">
        <f>IF(P136&lt;O136,"tree dies","")</f>
        <v/>
      </c>
    </row>
    <row r="137" spans="2:17" x14ac:dyDescent="0.3">
      <c r="B137" s="289">
        <v>1</v>
      </c>
      <c r="C137" s="289">
        <v>147</v>
      </c>
      <c r="D137" s="289">
        <v>7</v>
      </c>
      <c r="E137" s="289">
        <v>1</v>
      </c>
      <c r="F137" s="289">
        <v>7.5</v>
      </c>
      <c r="G137" s="289">
        <v>13</v>
      </c>
      <c r="H137" s="289">
        <v>12.1</v>
      </c>
      <c r="I137" s="289">
        <v>12.1</v>
      </c>
      <c r="J137" s="289">
        <v>0</v>
      </c>
      <c r="K137" s="276">
        <f>AVERAGE(H137:I137)</f>
        <v>12.1</v>
      </c>
      <c r="L137" s="276">
        <f>PI()/40000*K137^2</f>
        <v>1.149901451030204E-2</v>
      </c>
      <c r="M137" s="276">
        <f t="shared" si="3"/>
        <v>1.1599119961137727</v>
      </c>
      <c r="N137" s="276">
        <f t="shared" si="4"/>
        <v>583.97859721326472</v>
      </c>
      <c r="O137" s="302">
        <f t="shared" si="5"/>
        <v>1.7094642517928582E-3</v>
      </c>
      <c r="P137" s="290">
        <v>6.524307730144141E-2</v>
      </c>
      <c r="Q137" s="98" t="str">
        <f>IF(P137&lt;O137,"tree dies","")</f>
        <v/>
      </c>
    </row>
    <row r="138" spans="2:17" x14ac:dyDescent="0.3">
      <c r="B138" s="289">
        <v>1</v>
      </c>
      <c r="C138" s="289">
        <v>207</v>
      </c>
      <c r="D138" s="289">
        <v>9</v>
      </c>
      <c r="E138" s="289">
        <v>1</v>
      </c>
      <c r="F138" s="289">
        <v>43.5</v>
      </c>
      <c r="G138" s="289">
        <v>17</v>
      </c>
      <c r="H138" s="289">
        <v>12.1</v>
      </c>
      <c r="I138" s="289">
        <v>12.1</v>
      </c>
      <c r="J138" s="289">
        <v>0</v>
      </c>
      <c r="K138" s="276">
        <f>AVERAGE(H138:I138)</f>
        <v>12.1</v>
      </c>
      <c r="L138" s="276">
        <f>PI()/40000*K138^2</f>
        <v>1.149901451030204E-2</v>
      </c>
      <c r="M138" s="276">
        <f t="shared" si="3"/>
        <v>1.1599119961137727</v>
      </c>
      <c r="N138" s="276">
        <f t="shared" si="4"/>
        <v>583.97859721326472</v>
      </c>
      <c r="O138" s="302">
        <f t="shared" si="5"/>
        <v>1.7094642517928582E-3</v>
      </c>
      <c r="P138" s="290">
        <v>0.67909256576804045</v>
      </c>
      <c r="Q138" s="98" t="str">
        <f>IF(P138&lt;O138,"tree dies","")</f>
        <v/>
      </c>
    </row>
    <row r="139" spans="2:17" x14ac:dyDescent="0.3">
      <c r="B139" s="289">
        <v>1</v>
      </c>
      <c r="C139" s="289">
        <v>241</v>
      </c>
      <c r="D139" s="289">
        <v>11</v>
      </c>
      <c r="E139" s="289">
        <v>1</v>
      </c>
      <c r="F139" s="289">
        <v>1.5</v>
      </c>
      <c r="G139" s="289">
        <v>21</v>
      </c>
      <c r="H139" s="289">
        <v>12.1</v>
      </c>
      <c r="I139" s="289">
        <v>12.1</v>
      </c>
      <c r="J139" s="289">
        <v>0</v>
      </c>
      <c r="K139" s="276">
        <f>AVERAGE(H139:I139)</f>
        <v>12.1</v>
      </c>
      <c r="L139" s="276">
        <f>PI()/40000*K139^2</f>
        <v>1.149901451030204E-2</v>
      </c>
      <c r="M139" s="276">
        <f t="shared" si="3"/>
        <v>1.1599119961137727</v>
      </c>
      <c r="N139" s="276">
        <f t="shared" si="4"/>
        <v>583.97859721326472</v>
      </c>
      <c r="O139" s="302">
        <f t="shared" si="5"/>
        <v>1.7094642517928582E-3</v>
      </c>
      <c r="P139" s="290">
        <v>0.93022563168080286</v>
      </c>
      <c r="Q139" s="98" t="str">
        <f>IF(P139&lt;O139,"tree dies","")</f>
        <v/>
      </c>
    </row>
    <row r="140" spans="2:17" x14ac:dyDescent="0.3">
      <c r="B140" s="289">
        <v>1</v>
      </c>
      <c r="C140" s="289">
        <v>160</v>
      </c>
      <c r="D140" s="289">
        <v>7</v>
      </c>
      <c r="E140" s="289">
        <v>1</v>
      </c>
      <c r="F140" s="289">
        <v>46.5</v>
      </c>
      <c r="G140" s="289">
        <v>13</v>
      </c>
      <c r="H140" s="289">
        <v>12.05</v>
      </c>
      <c r="I140" s="289">
        <v>12.05</v>
      </c>
      <c r="J140" s="289">
        <v>0</v>
      </c>
      <c r="K140" s="276">
        <f>AVERAGE(H140:I140)</f>
        <v>12.05</v>
      </c>
      <c r="L140" s="276">
        <f>PI()/40000*K140^2</f>
        <v>1.14041776820718E-2</v>
      </c>
      <c r="M140" s="276">
        <f t="shared" si="3"/>
        <v>1.1503457524466232</v>
      </c>
      <c r="N140" s="276">
        <f t="shared" si="4"/>
        <v>567.35471953582123</v>
      </c>
      <c r="O140" s="302">
        <f t="shared" si="5"/>
        <v>1.7594645836964684E-3</v>
      </c>
      <c r="P140" s="290">
        <v>0.73634518835263318</v>
      </c>
      <c r="Q140" s="98" t="str">
        <f>IF(P140&lt;O140,"tree dies","")</f>
        <v/>
      </c>
    </row>
    <row r="141" spans="2:17" x14ac:dyDescent="0.3">
      <c r="B141" s="289">
        <v>1</v>
      </c>
      <c r="C141" s="289">
        <v>201</v>
      </c>
      <c r="D141" s="289">
        <v>9</v>
      </c>
      <c r="E141" s="289">
        <v>2</v>
      </c>
      <c r="F141" s="289">
        <v>25.5</v>
      </c>
      <c r="G141" s="289">
        <v>17</v>
      </c>
      <c r="H141" s="289">
        <v>12.05</v>
      </c>
      <c r="I141" s="289">
        <v>12.05</v>
      </c>
      <c r="J141" s="289">
        <v>0</v>
      </c>
      <c r="K141" s="276">
        <f>AVERAGE(H141:I141)</f>
        <v>12.05</v>
      </c>
      <c r="L141" s="276">
        <f>PI()/40000*K141^2</f>
        <v>1.14041776820718E-2</v>
      </c>
      <c r="M141" s="276">
        <f t="shared" si="3"/>
        <v>1.1503457524466232</v>
      </c>
      <c r="N141" s="276">
        <f t="shared" si="4"/>
        <v>567.35471953582123</v>
      </c>
      <c r="O141" s="302">
        <f t="shared" si="5"/>
        <v>1.7594645836964684E-3</v>
      </c>
      <c r="P141" s="290">
        <v>0.12403307952984033</v>
      </c>
      <c r="Q141" s="98" t="str">
        <f>IF(P141&lt;O141,"tree dies","")</f>
        <v/>
      </c>
    </row>
    <row r="142" spans="2:17" x14ac:dyDescent="0.3">
      <c r="B142" s="289">
        <v>1</v>
      </c>
      <c r="C142" s="289">
        <v>112</v>
      </c>
      <c r="D142" s="289">
        <v>5</v>
      </c>
      <c r="E142" s="289">
        <v>1</v>
      </c>
      <c r="F142" s="289">
        <v>46.5</v>
      </c>
      <c r="G142" s="289">
        <v>9</v>
      </c>
      <c r="H142" s="289">
        <v>12</v>
      </c>
      <c r="I142" s="289">
        <v>12</v>
      </c>
      <c r="J142" s="289">
        <v>0</v>
      </c>
      <c r="K142" s="276">
        <f>AVERAGE(H142:I142)</f>
        <v>12</v>
      </c>
      <c r="L142" s="276">
        <f>PI()/40000*K142^2</f>
        <v>1.1309733552923255E-2</v>
      </c>
      <c r="M142" s="276">
        <f t="shared" si="3"/>
        <v>1.1408191205544926</v>
      </c>
      <c r="N142" s="276">
        <f t="shared" si="4"/>
        <v>551.23756155906278</v>
      </c>
      <c r="O142" s="302">
        <f t="shared" si="5"/>
        <v>1.8108148912885369E-3</v>
      </c>
      <c r="P142" s="290">
        <v>0.89079323865692606</v>
      </c>
      <c r="Q142" s="98" t="str">
        <f>IF(P142&lt;O142,"tree dies","")</f>
        <v/>
      </c>
    </row>
    <row r="143" spans="2:17" x14ac:dyDescent="0.3">
      <c r="B143" s="289">
        <v>1</v>
      </c>
      <c r="C143" s="289">
        <v>31</v>
      </c>
      <c r="D143" s="289">
        <v>2</v>
      </c>
      <c r="E143" s="289">
        <v>1</v>
      </c>
      <c r="F143" s="289">
        <v>52.5</v>
      </c>
      <c r="G143" s="289">
        <v>3</v>
      </c>
      <c r="H143" s="289">
        <v>11.95</v>
      </c>
      <c r="I143" s="289">
        <v>11.95</v>
      </c>
      <c r="J143" s="289">
        <v>0</v>
      </c>
      <c r="K143" s="276">
        <f>AVERAGE(H143:I143)</f>
        <v>11.95</v>
      </c>
      <c r="L143" s="276">
        <f>PI()/40000*K143^2</f>
        <v>1.1215682122856408E-2</v>
      </c>
      <c r="M143" s="276">
        <f t="shared" si="3"/>
        <v>1.1313321004373813</v>
      </c>
      <c r="N143" s="276">
        <f t="shared" si="4"/>
        <v>535.61079767877175</v>
      </c>
      <c r="O143" s="302">
        <f t="shared" si="5"/>
        <v>1.8635480395208237E-3</v>
      </c>
      <c r="P143" s="290">
        <v>6.6879968486480812E-2</v>
      </c>
      <c r="Q143" s="98" t="str">
        <f>IF(P143&lt;O143,"tree dies","")</f>
        <v/>
      </c>
    </row>
    <row r="144" spans="2:17" x14ac:dyDescent="0.3">
      <c r="B144" s="289">
        <v>1</v>
      </c>
      <c r="C144" s="289">
        <v>96</v>
      </c>
      <c r="D144" s="289">
        <v>4</v>
      </c>
      <c r="E144" s="289">
        <v>1</v>
      </c>
      <c r="F144" s="289">
        <v>1.5</v>
      </c>
      <c r="G144" s="289">
        <v>7</v>
      </c>
      <c r="H144" s="289">
        <v>11.9</v>
      </c>
      <c r="I144" s="289">
        <v>11.9</v>
      </c>
      <c r="J144" s="289">
        <v>0</v>
      </c>
      <c r="K144" s="276">
        <f>AVERAGE(H144:I144)</f>
        <v>11.9</v>
      </c>
      <c r="L144" s="276">
        <f>PI()/40000*K144^2</f>
        <v>1.1122023391871266E-2</v>
      </c>
      <c r="M144" s="276">
        <f t="shared" si="3"/>
        <v>1.1218846920952898</v>
      </c>
      <c r="N144" s="276">
        <f t="shared" si="4"/>
        <v>520.45865371035995</v>
      </c>
      <c r="O144" s="302">
        <f t="shared" si="5"/>
        <v>1.9176975832784215E-3</v>
      </c>
      <c r="P144" s="290">
        <v>0.89020690176222927</v>
      </c>
      <c r="Q144" s="98" t="str">
        <f>IF(P144&lt;O144,"tree dies","")</f>
        <v/>
      </c>
    </row>
    <row r="145" spans="2:17" x14ac:dyDescent="0.3">
      <c r="B145" s="289">
        <v>1</v>
      </c>
      <c r="C145" s="289">
        <v>134</v>
      </c>
      <c r="D145" s="289">
        <v>6</v>
      </c>
      <c r="E145" s="289">
        <v>2</v>
      </c>
      <c r="F145" s="289">
        <v>31.5</v>
      </c>
      <c r="G145" s="289">
        <v>11</v>
      </c>
      <c r="H145" s="289">
        <v>11.9</v>
      </c>
      <c r="I145" s="289">
        <v>11.9</v>
      </c>
      <c r="J145" s="289">
        <v>0</v>
      </c>
      <c r="K145" s="276">
        <f>AVERAGE(H145:I145)</f>
        <v>11.9</v>
      </c>
      <c r="L145" s="276">
        <f>PI()/40000*K145^2</f>
        <v>1.1122023391871266E-2</v>
      </c>
      <c r="M145" s="276">
        <f t="shared" si="3"/>
        <v>1.1218846920952898</v>
      </c>
      <c r="N145" s="276">
        <f t="shared" si="4"/>
        <v>520.45865371035995</v>
      </c>
      <c r="O145" s="302">
        <f t="shared" si="5"/>
        <v>1.9176975832784215E-3</v>
      </c>
      <c r="P145" s="290">
        <v>0.64625061093409275</v>
      </c>
      <c r="Q145" s="98" t="str">
        <f>IF(P145&lt;O145,"tree dies","")</f>
        <v/>
      </c>
    </row>
    <row r="146" spans="2:17" x14ac:dyDescent="0.3">
      <c r="B146" s="289">
        <v>1</v>
      </c>
      <c r="C146" s="289">
        <v>143</v>
      </c>
      <c r="D146" s="289">
        <v>6</v>
      </c>
      <c r="E146" s="289">
        <v>1</v>
      </c>
      <c r="F146" s="289">
        <v>4.5</v>
      </c>
      <c r="G146" s="289">
        <v>11</v>
      </c>
      <c r="H146" s="289">
        <v>11.9</v>
      </c>
      <c r="I146" s="289">
        <v>11.9</v>
      </c>
      <c r="J146" s="289">
        <v>0</v>
      </c>
      <c r="K146" s="276">
        <f>AVERAGE(H146:I146)</f>
        <v>11.9</v>
      </c>
      <c r="L146" s="276">
        <f>PI()/40000*K146^2</f>
        <v>1.1122023391871266E-2</v>
      </c>
      <c r="M146" s="276">
        <f t="shared" si="3"/>
        <v>1.1218846920952898</v>
      </c>
      <c r="N146" s="276">
        <f t="shared" si="4"/>
        <v>520.45865371035995</v>
      </c>
      <c r="O146" s="302">
        <f t="shared" si="5"/>
        <v>1.9176975832784215E-3</v>
      </c>
      <c r="P146" s="290">
        <v>0.37794189775680931</v>
      </c>
      <c r="Q146" s="98" t="str">
        <f>IF(P146&lt;O146,"tree dies","")</f>
        <v/>
      </c>
    </row>
    <row r="147" spans="2:17" x14ac:dyDescent="0.3">
      <c r="B147" s="289">
        <v>1</v>
      </c>
      <c r="C147" s="289">
        <v>114</v>
      </c>
      <c r="D147" s="289">
        <v>5</v>
      </c>
      <c r="E147" s="289">
        <v>1</v>
      </c>
      <c r="F147" s="289">
        <v>52.5</v>
      </c>
      <c r="G147" s="289">
        <v>9</v>
      </c>
      <c r="H147" s="289">
        <v>11.85</v>
      </c>
      <c r="I147" s="289">
        <v>11.85</v>
      </c>
      <c r="J147" s="289">
        <v>0</v>
      </c>
      <c r="K147" s="276">
        <f>AVERAGE(H147:I147)</f>
        <v>11.85</v>
      </c>
      <c r="L147" s="276">
        <f>PI()/40000*K147^2</f>
        <v>1.1028757359967816E-2</v>
      </c>
      <c r="M147" s="276">
        <f t="shared" si="3"/>
        <v>1.1124768955282169</v>
      </c>
      <c r="N147" s="276">
        <f t="shared" si="4"/>
        <v>505.76588747701925</v>
      </c>
      <c r="O147" s="302">
        <f t="shared" si="5"/>
        <v>1.9732977785434924E-3</v>
      </c>
      <c r="P147" s="290">
        <v>0.79325822718924099</v>
      </c>
      <c r="Q147" s="98" t="str">
        <f>IF(P147&lt;O147,"tree dies","")</f>
        <v/>
      </c>
    </row>
    <row r="148" spans="2:17" x14ac:dyDescent="0.3">
      <c r="B148" s="289">
        <v>1</v>
      </c>
      <c r="C148" s="289">
        <v>126</v>
      </c>
      <c r="D148" s="289">
        <v>6</v>
      </c>
      <c r="E148" s="289">
        <v>2</v>
      </c>
      <c r="F148" s="289">
        <v>55.5</v>
      </c>
      <c r="G148" s="289">
        <v>11</v>
      </c>
      <c r="H148" s="289">
        <v>11.85</v>
      </c>
      <c r="I148" s="289">
        <v>11.85</v>
      </c>
      <c r="J148" s="289">
        <v>0</v>
      </c>
      <c r="K148" s="276">
        <f>AVERAGE(H148:I148)</f>
        <v>11.85</v>
      </c>
      <c r="L148" s="276">
        <f>PI()/40000*K148^2</f>
        <v>1.1028757359967816E-2</v>
      </c>
      <c r="M148" s="276">
        <f t="shared" si="3"/>
        <v>1.1124768955282169</v>
      </c>
      <c r="N148" s="276">
        <f t="shared" si="4"/>
        <v>505.76588747701925</v>
      </c>
      <c r="O148" s="302">
        <f t="shared" si="5"/>
        <v>1.9732977785434924E-3</v>
      </c>
      <c r="P148" s="290">
        <v>0.53462575479494956</v>
      </c>
      <c r="Q148" s="98" t="str">
        <f>IF(P148&lt;O148,"tree dies","")</f>
        <v/>
      </c>
    </row>
    <row r="149" spans="2:17" x14ac:dyDescent="0.3">
      <c r="B149" s="289">
        <v>1</v>
      </c>
      <c r="C149" s="289">
        <v>166</v>
      </c>
      <c r="D149" s="289">
        <v>7</v>
      </c>
      <c r="E149" s="289">
        <v>2</v>
      </c>
      <c r="F149" s="289">
        <v>64.5</v>
      </c>
      <c r="G149" s="289">
        <v>13</v>
      </c>
      <c r="H149" s="289">
        <v>11.8</v>
      </c>
      <c r="I149" s="289">
        <v>11.8</v>
      </c>
      <c r="J149" s="289">
        <v>0</v>
      </c>
      <c r="K149" s="276">
        <f>AVERAGE(H149:I149)</f>
        <v>11.8</v>
      </c>
      <c r="L149" s="276">
        <f>PI()/40000*K149^2</f>
        <v>1.093588402714607E-2</v>
      </c>
      <c r="M149" s="276">
        <f t="shared" si="3"/>
        <v>1.1031087107361637</v>
      </c>
      <c r="N149" s="276">
        <f t="shared" si="4"/>
        <v>491.51777010696861</v>
      </c>
      <c r="O149" s="302">
        <f t="shared" si="5"/>
        <v>2.0303835936372749E-3</v>
      </c>
      <c r="P149" s="290">
        <v>0.18681943081812891</v>
      </c>
      <c r="Q149" s="98" t="str">
        <f>IF(P149&lt;O149,"tree dies","")</f>
        <v/>
      </c>
    </row>
    <row r="150" spans="2:17" x14ac:dyDescent="0.3">
      <c r="B150" s="289">
        <v>1</v>
      </c>
      <c r="C150" s="289">
        <v>238</v>
      </c>
      <c r="D150" s="289">
        <v>10</v>
      </c>
      <c r="E150" s="289">
        <v>1</v>
      </c>
      <c r="F150" s="289">
        <v>7.5</v>
      </c>
      <c r="G150" s="289">
        <v>19</v>
      </c>
      <c r="H150" s="289">
        <v>11.8</v>
      </c>
      <c r="I150" s="289">
        <v>11.8</v>
      </c>
      <c r="J150" s="289">
        <v>0</v>
      </c>
      <c r="K150" s="276">
        <f>AVERAGE(H150:I150)</f>
        <v>11.8</v>
      </c>
      <c r="L150" s="276">
        <f>PI()/40000*K150^2</f>
        <v>1.093588402714607E-2</v>
      </c>
      <c r="M150" s="276">
        <f t="shared" si="3"/>
        <v>1.1031087107361637</v>
      </c>
      <c r="N150" s="276">
        <f t="shared" si="4"/>
        <v>491.51777010696861</v>
      </c>
      <c r="O150" s="302">
        <f t="shared" si="5"/>
        <v>2.0303835936372749E-3</v>
      </c>
      <c r="P150" s="290">
        <v>0.59559221905520265</v>
      </c>
      <c r="Q150" s="98" t="str">
        <f>IF(P150&lt;O150,"tree dies","")</f>
        <v/>
      </c>
    </row>
    <row r="151" spans="2:17" x14ac:dyDescent="0.3">
      <c r="B151" s="289">
        <v>1</v>
      </c>
      <c r="C151" s="289">
        <v>259</v>
      </c>
      <c r="D151" s="289">
        <v>11</v>
      </c>
      <c r="E151" s="289">
        <v>1</v>
      </c>
      <c r="F151" s="289">
        <v>55.5</v>
      </c>
      <c r="G151" s="289">
        <v>21</v>
      </c>
      <c r="H151" s="289">
        <v>11.8</v>
      </c>
      <c r="I151" s="289">
        <v>11.8</v>
      </c>
      <c r="J151" s="289">
        <v>0</v>
      </c>
      <c r="K151" s="276">
        <f>AVERAGE(H151:I151)</f>
        <v>11.8</v>
      </c>
      <c r="L151" s="276">
        <f>PI()/40000*K151^2</f>
        <v>1.093588402714607E-2</v>
      </c>
      <c r="M151" s="276">
        <f t="shared" si="3"/>
        <v>1.1031087107361637</v>
      </c>
      <c r="N151" s="276">
        <f t="shared" si="4"/>
        <v>491.51777010696861</v>
      </c>
      <c r="O151" s="302">
        <f t="shared" si="5"/>
        <v>2.0303835936372749E-3</v>
      </c>
      <c r="P151" s="290">
        <v>0.45107353855443311</v>
      </c>
      <c r="Q151" s="98" t="str">
        <f>IF(P151&lt;O151,"tree dies","")</f>
        <v/>
      </c>
    </row>
    <row r="152" spans="2:17" x14ac:dyDescent="0.3">
      <c r="B152" s="289">
        <v>1</v>
      </c>
      <c r="C152" s="289">
        <v>90</v>
      </c>
      <c r="D152" s="289">
        <v>4</v>
      </c>
      <c r="E152" s="289">
        <v>1</v>
      </c>
      <c r="F152" s="289">
        <v>19.5</v>
      </c>
      <c r="G152" s="289">
        <v>7</v>
      </c>
      <c r="H152" s="289">
        <v>11.75</v>
      </c>
      <c r="I152" s="289">
        <v>11.75</v>
      </c>
      <c r="J152" s="289">
        <v>0</v>
      </c>
      <c r="K152" s="276">
        <f>AVERAGE(H152:I152)</f>
        <v>11.75</v>
      </c>
      <c r="L152" s="276">
        <f>PI()/40000*K152^2</f>
        <v>1.0843403393406021E-2</v>
      </c>
      <c r="M152" s="276">
        <f t="shared" si="3"/>
        <v>1.0937801377191296</v>
      </c>
      <c r="N152" s="276">
        <f t="shared" si="4"/>
        <v>477.70006801298535</v>
      </c>
      <c r="O152" s="302">
        <f t="shared" si="5"/>
        <v>2.0889907205379199E-3</v>
      </c>
      <c r="P152" s="290">
        <v>0.27291862284559998</v>
      </c>
      <c r="Q152" s="98" t="str">
        <f>IF(P152&lt;O152,"tree dies","")</f>
        <v/>
      </c>
    </row>
    <row r="153" spans="2:17" x14ac:dyDescent="0.3">
      <c r="B153" s="289">
        <v>1</v>
      </c>
      <c r="C153" s="289">
        <v>113</v>
      </c>
      <c r="D153" s="289">
        <v>5</v>
      </c>
      <c r="E153" s="289">
        <v>1</v>
      </c>
      <c r="F153" s="289">
        <v>49.5</v>
      </c>
      <c r="G153" s="289">
        <v>9</v>
      </c>
      <c r="H153" s="289">
        <v>11.75</v>
      </c>
      <c r="I153" s="289">
        <v>11.75</v>
      </c>
      <c r="J153" s="289">
        <v>0</v>
      </c>
      <c r="K153" s="276">
        <f>AVERAGE(H153:I153)</f>
        <v>11.75</v>
      </c>
      <c r="L153" s="276">
        <f>PI()/40000*K153^2</f>
        <v>1.0843403393406021E-2</v>
      </c>
      <c r="M153" s="276">
        <f t="shared" si="3"/>
        <v>1.0937801377191296</v>
      </c>
      <c r="N153" s="276">
        <f t="shared" si="4"/>
        <v>477.70006801298535</v>
      </c>
      <c r="O153" s="302">
        <f t="shared" si="5"/>
        <v>2.0889907205379199E-3</v>
      </c>
      <c r="P153" s="290">
        <v>0.19497230622329542</v>
      </c>
      <c r="Q153" s="98" t="str">
        <f>IF(P153&lt;O153,"tree dies","")</f>
        <v/>
      </c>
    </row>
    <row r="154" spans="2:17" x14ac:dyDescent="0.3">
      <c r="B154" s="289">
        <v>1</v>
      </c>
      <c r="C154" s="289">
        <v>139</v>
      </c>
      <c r="D154" s="289">
        <v>6</v>
      </c>
      <c r="E154" s="289">
        <v>1</v>
      </c>
      <c r="F154" s="289">
        <v>16.5</v>
      </c>
      <c r="G154" s="289">
        <v>11</v>
      </c>
      <c r="H154" s="289">
        <v>11.75</v>
      </c>
      <c r="I154" s="289">
        <v>11.75</v>
      </c>
      <c r="J154" s="289">
        <v>0</v>
      </c>
      <c r="K154" s="276">
        <f>AVERAGE(H154:I154)</f>
        <v>11.75</v>
      </c>
      <c r="L154" s="276">
        <f>PI()/40000*K154^2</f>
        <v>1.0843403393406021E-2</v>
      </c>
      <c r="M154" s="276">
        <f t="shared" si="3"/>
        <v>1.0937801377191296</v>
      </c>
      <c r="N154" s="276">
        <f t="shared" si="4"/>
        <v>477.70006801298535</v>
      </c>
      <c r="O154" s="302">
        <f t="shared" si="5"/>
        <v>2.0889907205379199E-3</v>
      </c>
      <c r="P154" s="290">
        <v>0.94659768497474983</v>
      </c>
      <c r="Q154" s="98" t="str">
        <f>IF(P154&lt;O154,"tree dies","")</f>
        <v/>
      </c>
    </row>
    <row r="155" spans="2:17" x14ac:dyDescent="0.3">
      <c r="B155" s="289">
        <v>1</v>
      </c>
      <c r="C155" s="289">
        <v>34</v>
      </c>
      <c r="D155" s="289">
        <v>2</v>
      </c>
      <c r="E155" s="289">
        <v>1</v>
      </c>
      <c r="F155" s="289">
        <v>43.5</v>
      </c>
      <c r="G155" s="289">
        <v>3</v>
      </c>
      <c r="H155" s="289">
        <v>11.7</v>
      </c>
      <c r="I155" s="289">
        <v>11.7</v>
      </c>
      <c r="J155" s="289">
        <v>0</v>
      </c>
      <c r="K155" s="276">
        <f>AVERAGE(H155:I155)</f>
        <v>11.7</v>
      </c>
      <c r="L155" s="276">
        <f>PI()/40000*K155^2</f>
        <v>1.0751315458747669E-2</v>
      </c>
      <c r="M155" s="276">
        <f t="shared" si="3"/>
        <v>1.0844911764771146</v>
      </c>
      <c r="N155" s="276">
        <f t="shared" si="4"/>
        <v>464.29902552851541</v>
      </c>
      <c r="O155" s="302">
        <f t="shared" si="5"/>
        <v>2.1491555862687139E-3</v>
      </c>
      <c r="P155" s="290">
        <v>0.97214241547608748</v>
      </c>
      <c r="Q155" s="98" t="str">
        <f>IF(P155&lt;O155,"tree dies","")</f>
        <v/>
      </c>
    </row>
    <row r="156" spans="2:17" x14ac:dyDescent="0.3">
      <c r="B156" s="289">
        <v>1</v>
      </c>
      <c r="C156" s="289">
        <v>116</v>
      </c>
      <c r="D156" s="289">
        <v>5</v>
      </c>
      <c r="E156" s="289">
        <v>2</v>
      </c>
      <c r="F156" s="289">
        <v>58.5</v>
      </c>
      <c r="G156" s="289">
        <v>9</v>
      </c>
      <c r="H156" s="289">
        <v>11.6</v>
      </c>
      <c r="I156" s="289">
        <v>11.6</v>
      </c>
      <c r="J156" s="289">
        <v>0</v>
      </c>
      <c r="K156" s="276">
        <f>AVERAGE(H156:I156)</f>
        <v>11.6</v>
      </c>
      <c r="L156" s="276">
        <f>PI()/40000*K156^2</f>
        <v>1.0568317686676064E-2</v>
      </c>
      <c r="M156" s="276">
        <f t="shared" si="3"/>
        <v>1.0660320893181428</v>
      </c>
      <c r="N156" s="276">
        <f t="shared" si="4"/>
        <v>438.69418654078777</v>
      </c>
      <c r="O156" s="302">
        <f t="shared" si="5"/>
        <v>2.2743079863468685E-3</v>
      </c>
      <c r="P156" s="290">
        <v>0.25752785393371347</v>
      </c>
      <c r="Q156" s="98" t="str">
        <f>IF(P156&lt;O156,"tree dies","")</f>
        <v/>
      </c>
    </row>
    <row r="157" spans="2:17" x14ac:dyDescent="0.3">
      <c r="B157" s="289">
        <v>1</v>
      </c>
      <c r="C157" s="289">
        <v>67</v>
      </c>
      <c r="D157" s="289">
        <v>3</v>
      </c>
      <c r="E157" s="289">
        <v>1</v>
      </c>
      <c r="F157" s="289">
        <v>55.5</v>
      </c>
      <c r="G157" s="289">
        <v>5</v>
      </c>
      <c r="H157" s="289">
        <v>11.55</v>
      </c>
      <c r="I157" s="289">
        <v>11.55</v>
      </c>
      <c r="J157" s="289">
        <v>0</v>
      </c>
      <c r="K157" s="276">
        <f>AVERAGE(H157:I157)</f>
        <v>11.55</v>
      </c>
      <c r="L157" s="276">
        <f>PI()/40000*K157^2</f>
        <v>1.0477407849262809E-2</v>
      </c>
      <c r="M157" s="276">
        <f t="shared" si="3"/>
        <v>1.0568619634011855</v>
      </c>
      <c r="N157" s="276">
        <f t="shared" si="4"/>
        <v>426.4651207364127</v>
      </c>
      <c r="O157" s="302">
        <f t="shared" si="5"/>
        <v>2.3393721533987444E-3</v>
      </c>
      <c r="P157" s="290">
        <v>0.23183451402250677</v>
      </c>
      <c r="Q157" s="98" t="str">
        <f>IF(P157&lt;O157,"tree dies","")</f>
        <v/>
      </c>
    </row>
    <row r="158" spans="2:17" x14ac:dyDescent="0.3">
      <c r="B158" s="289">
        <v>1</v>
      </c>
      <c r="C158" s="289">
        <v>256</v>
      </c>
      <c r="D158" s="289">
        <v>11</v>
      </c>
      <c r="E158" s="289">
        <v>1</v>
      </c>
      <c r="F158" s="289">
        <v>46.5</v>
      </c>
      <c r="G158" s="289">
        <v>21</v>
      </c>
      <c r="H158" s="289">
        <v>11.55</v>
      </c>
      <c r="I158" s="289">
        <v>11.55</v>
      </c>
      <c r="J158" s="289">
        <v>0</v>
      </c>
      <c r="K158" s="276">
        <f>AVERAGE(H158:I158)</f>
        <v>11.55</v>
      </c>
      <c r="L158" s="276">
        <f>PI()/40000*K158^2</f>
        <v>1.0477407849262809E-2</v>
      </c>
      <c r="M158" s="276">
        <f t="shared" si="3"/>
        <v>1.0568619634011855</v>
      </c>
      <c r="N158" s="276">
        <f t="shared" si="4"/>
        <v>426.4651207364127</v>
      </c>
      <c r="O158" s="302">
        <f t="shared" si="5"/>
        <v>2.3393721533987444E-3</v>
      </c>
      <c r="P158" s="290">
        <v>0.51700900408561701</v>
      </c>
      <c r="Q158" s="98" t="str">
        <f>IF(P158&lt;O158,"tree dies","")</f>
        <v/>
      </c>
    </row>
    <row r="159" spans="2:17" x14ac:dyDescent="0.3">
      <c r="B159" s="289">
        <v>1</v>
      </c>
      <c r="C159" s="289">
        <v>16</v>
      </c>
      <c r="D159" s="289">
        <v>1</v>
      </c>
      <c r="E159" s="289">
        <v>1</v>
      </c>
      <c r="F159" s="289">
        <v>46.5</v>
      </c>
      <c r="G159" s="289">
        <v>1</v>
      </c>
      <c r="H159" s="289">
        <v>11.4</v>
      </c>
      <c r="I159" s="289">
        <v>11.4</v>
      </c>
      <c r="J159" s="289">
        <v>0</v>
      </c>
      <c r="K159" s="276">
        <f>AVERAGE(H159:I159)</f>
        <v>11.4</v>
      </c>
      <c r="L159" s="276">
        <f>PI()/40000*K159^2</f>
        <v>1.0207034531513238E-2</v>
      </c>
      <c r="M159" s="276">
        <f t="shared" si="3"/>
        <v>1.0295892563004296</v>
      </c>
      <c r="N159" s="276">
        <f t="shared" si="4"/>
        <v>391.92843160096163</v>
      </c>
      <c r="O159" s="302">
        <f t="shared" si="5"/>
        <v>2.5449927253305971E-3</v>
      </c>
      <c r="P159" s="290">
        <v>0.78391999799295453</v>
      </c>
      <c r="Q159" s="98" t="str">
        <f>IF(P159&lt;O159,"tree dies","")</f>
        <v/>
      </c>
    </row>
    <row r="160" spans="2:17" x14ac:dyDescent="0.3">
      <c r="B160" s="289">
        <v>1</v>
      </c>
      <c r="C160" s="289">
        <v>30</v>
      </c>
      <c r="D160" s="289">
        <v>2</v>
      </c>
      <c r="E160" s="289">
        <v>1</v>
      </c>
      <c r="F160" s="289">
        <v>55.5</v>
      </c>
      <c r="G160" s="289">
        <v>3</v>
      </c>
      <c r="H160" s="289">
        <v>11.4</v>
      </c>
      <c r="I160" s="289">
        <v>11.4</v>
      </c>
      <c r="J160" s="289">
        <v>0</v>
      </c>
      <c r="K160" s="276">
        <f>AVERAGE(H160:I160)</f>
        <v>11.4</v>
      </c>
      <c r="L160" s="276">
        <f>PI()/40000*K160^2</f>
        <v>1.0207034531513238E-2</v>
      </c>
      <c r="M160" s="276">
        <f t="shared" si="3"/>
        <v>1.0295892563004296</v>
      </c>
      <c r="N160" s="276">
        <f t="shared" si="4"/>
        <v>391.92843160096163</v>
      </c>
      <c r="O160" s="302">
        <f t="shared" si="5"/>
        <v>2.5449927253305971E-3</v>
      </c>
      <c r="P160" s="290">
        <v>0.80509516869972353</v>
      </c>
      <c r="Q160" s="98" t="str">
        <f>IF(P160&lt;O160,"tree dies","")</f>
        <v/>
      </c>
    </row>
    <row r="161" spans="2:17" x14ac:dyDescent="0.3">
      <c r="B161" s="289">
        <v>1</v>
      </c>
      <c r="C161" s="289">
        <v>141</v>
      </c>
      <c r="D161" s="289">
        <v>6</v>
      </c>
      <c r="E161" s="289">
        <v>1</v>
      </c>
      <c r="F161" s="289">
        <v>10.5</v>
      </c>
      <c r="G161" s="289">
        <v>11</v>
      </c>
      <c r="H161" s="289">
        <v>11.4</v>
      </c>
      <c r="I161" s="289">
        <v>11.4</v>
      </c>
      <c r="J161" s="289">
        <v>0</v>
      </c>
      <c r="K161" s="276">
        <f>AVERAGE(H161:I161)</f>
        <v>11.4</v>
      </c>
      <c r="L161" s="276">
        <f>PI()/40000*K161^2</f>
        <v>1.0207034531513238E-2</v>
      </c>
      <c r="M161" s="276">
        <f t="shared" si="3"/>
        <v>1.0295892563004296</v>
      </c>
      <c r="N161" s="276">
        <f t="shared" si="4"/>
        <v>391.92843160096163</v>
      </c>
      <c r="O161" s="302">
        <f t="shared" si="5"/>
        <v>2.5449927253305971E-3</v>
      </c>
      <c r="P161" s="290">
        <v>0.81895935821565491</v>
      </c>
      <c r="Q161" s="98" t="str">
        <f>IF(P161&lt;O161,"tree dies","")</f>
        <v/>
      </c>
    </row>
    <row r="162" spans="2:17" x14ac:dyDescent="0.3">
      <c r="B162" s="289">
        <v>1</v>
      </c>
      <c r="C162" s="289">
        <v>39</v>
      </c>
      <c r="D162" s="289">
        <v>2</v>
      </c>
      <c r="E162" s="289">
        <v>1</v>
      </c>
      <c r="F162" s="289">
        <v>28.5</v>
      </c>
      <c r="G162" s="289">
        <v>3</v>
      </c>
      <c r="H162" s="289">
        <v>11.35</v>
      </c>
      <c r="I162" s="289">
        <v>11.35</v>
      </c>
      <c r="J162" s="289">
        <v>0</v>
      </c>
      <c r="K162" s="276">
        <f>AVERAGE(H162:I162)</f>
        <v>11.35</v>
      </c>
      <c r="L162" s="276">
        <f>PI()/40000*K162^2</f>
        <v>1.0117695490426777E-2</v>
      </c>
      <c r="M162" s="276">
        <f t="shared" si="3"/>
        <v>1.0205775774835495</v>
      </c>
      <c r="N162" s="276">
        <f t="shared" si="4"/>
        <v>381.09562785176604</v>
      </c>
      <c r="O162" s="302">
        <f t="shared" si="5"/>
        <v>2.6171458847153994E-3</v>
      </c>
      <c r="P162" s="290">
        <v>0.25436811429855266</v>
      </c>
      <c r="Q162" s="98" t="str">
        <f>IF(P162&lt;O162,"tree dies","")</f>
        <v/>
      </c>
    </row>
    <row r="163" spans="2:17" x14ac:dyDescent="0.3">
      <c r="B163" s="289">
        <v>1</v>
      </c>
      <c r="C163" s="289">
        <v>78</v>
      </c>
      <c r="D163" s="289">
        <v>4</v>
      </c>
      <c r="E163" s="289">
        <v>1</v>
      </c>
      <c r="F163" s="289">
        <v>55.5</v>
      </c>
      <c r="G163" s="289">
        <v>7</v>
      </c>
      <c r="H163" s="289">
        <v>11.35</v>
      </c>
      <c r="I163" s="289">
        <v>11.35</v>
      </c>
      <c r="J163" s="289">
        <v>0</v>
      </c>
      <c r="K163" s="276">
        <f>AVERAGE(H163:I163)</f>
        <v>11.35</v>
      </c>
      <c r="L163" s="276">
        <f>PI()/40000*K163^2</f>
        <v>1.0117695490426777E-2</v>
      </c>
      <c r="M163" s="276">
        <f t="shared" si="3"/>
        <v>1.0205775774835495</v>
      </c>
      <c r="N163" s="276">
        <f t="shared" si="4"/>
        <v>381.09562785176604</v>
      </c>
      <c r="O163" s="302">
        <f t="shared" si="5"/>
        <v>2.6171458847153994E-3</v>
      </c>
      <c r="P163" s="290">
        <v>0.79897460276451826</v>
      </c>
      <c r="Q163" s="98" t="str">
        <f>IF(P163&lt;O163,"tree dies","")</f>
        <v/>
      </c>
    </row>
    <row r="164" spans="2:17" x14ac:dyDescent="0.3">
      <c r="B164" s="289">
        <v>1</v>
      </c>
      <c r="C164" s="289">
        <v>101</v>
      </c>
      <c r="D164" s="289">
        <v>5</v>
      </c>
      <c r="E164" s="289">
        <v>1</v>
      </c>
      <c r="F164" s="289">
        <v>13.5</v>
      </c>
      <c r="G164" s="289">
        <v>9</v>
      </c>
      <c r="H164" s="289">
        <v>11.35</v>
      </c>
      <c r="I164" s="289">
        <v>11.35</v>
      </c>
      <c r="J164" s="289">
        <v>0</v>
      </c>
      <c r="K164" s="276">
        <f>AVERAGE(H164:I164)</f>
        <v>11.35</v>
      </c>
      <c r="L164" s="276">
        <f>PI()/40000*K164^2</f>
        <v>1.0117695490426777E-2</v>
      </c>
      <c r="M164" s="276">
        <f t="shared" si="3"/>
        <v>1.0205775774835495</v>
      </c>
      <c r="N164" s="276">
        <f t="shared" si="4"/>
        <v>381.09562785176604</v>
      </c>
      <c r="O164" s="302">
        <f t="shared" si="5"/>
        <v>2.6171458847153994E-3</v>
      </c>
      <c r="P164" s="290">
        <v>0.86860066501483724</v>
      </c>
      <c r="Q164" s="98" t="str">
        <f>IF(P164&lt;O164,"tree dies","")</f>
        <v/>
      </c>
    </row>
    <row r="165" spans="2:17" x14ac:dyDescent="0.3">
      <c r="B165" s="289">
        <v>1</v>
      </c>
      <c r="C165" s="289">
        <v>86</v>
      </c>
      <c r="D165" s="289">
        <v>4</v>
      </c>
      <c r="E165" s="289">
        <v>1</v>
      </c>
      <c r="F165" s="289">
        <v>31.5</v>
      </c>
      <c r="G165" s="289">
        <v>7</v>
      </c>
      <c r="H165" s="289">
        <v>11.3</v>
      </c>
      <c r="I165" s="289">
        <v>11.3</v>
      </c>
      <c r="J165" s="289">
        <v>0</v>
      </c>
      <c r="K165" s="276">
        <f>AVERAGE(H165:I165)</f>
        <v>11.3</v>
      </c>
      <c r="L165" s="276">
        <f>PI()/40000*K165^2</f>
        <v>1.0028749148422018E-2</v>
      </c>
      <c r="M165" s="276">
        <f t="shared" si="3"/>
        <v>1.0116055104416888</v>
      </c>
      <c r="N165" s="276">
        <f t="shared" si="4"/>
        <v>370.58475778634596</v>
      </c>
      <c r="O165" s="302">
        <f t="shared" si="5"/>
        <v>2.6911760481170832E-3</v>
      </c>
      <c r="P165" s="290">
        <v>0.49314806433878111</v>
      </c>
      <c r="Q165" s="98" t="str">
        <f>IF(P165&lt;O165,"tree dies","")</f>
        <v/>
      </c>
    </row>
    <row r="166" spans="2:17" x14ac:dyDescent="0.3">
      <c r="B166" s="289">
        <v>1</v>
      </c>
      <c r="C166" s="289">
        <v>262</v>
      </c>
      <c r="D166" s="289">
        <v>11</v>
      </c>
      <c r="E166" s="289">
        <v>1</v>
      </c>
      <c r="F166" s="289">
        <v>64.5</v>
      </c>
      <c r="G166" s="289">
        <v>21</v>
      </c>
      <c r="H166" s="289">
        <v>11.3</v>
      </c>
      <c r="I166" s="289">
        <v>11.3</v>
      </c>
      <c r="J166" s="289">
        <v>0</v>
      </c>
      <c r="K166" s="276">
        <f>AVERAGE(H166:I166)</f>
        <v>11.3</v>
      </c>
      <c r="L166" s="276">
        <f>PI()/40000*K166^2</f>
        <v>1.0028749148422018E-2</v>
      </c>
      <c r="M166" s="276">
        <f t="shared" si="3"/>
        <v>1.0116055104416888</v>
      </c>
      <c r="N166" s="276">
        <f t="shared" si="4"/>
        <v>370.58475778634596</v>
      </c>
      <c r="O166" s="302">
        <f t="shared" si="5"/>
        <v>2.6911760481170832E-3</v>
      </c>
      <c r="P166" s="290">
        <v>0.82589120115943182</v>
      </c>
      <c r="Q166" s="98" t="str">
        <f>IF(P166&lt;O166,"tree dies","")</f>
        <v/>
      </c>
    </row>
    <row r="167" spans="2:17" x14ac:dyDescent="0.3">
      <c r="B167" s="289">
        <v>1</v>
      </c>
      <c r="C167" s="289">
        <v>107</v>
      </c>
      <c r="D167" s="289">
        <v>5</v>
      </c>
      <c r="E167" s="289">
        <v>2</v>
      </c>
      <c r="F167" s="289">
        <v>31.5</v>
      </c>
      <c r="G167" s="289">
        <v>9</v>
      </c>
      <c r="H167" s="289">
        <v>11.25</v>
      </c>
      <c r="I167" s="289">
        <v>11.25</v>
      </c>
      <c r="J167" s="289">
        <v>0</v>
      </c>
      <c r="K167" s="276">
        <f>AVERAGE(H167:I167)</f>
        <v>11.25</v>
      </c>
      <c r="L167" s="276">
        <f>PI()/40000*K167^2</f>
        <v>9.9401955054989541E-3</v>
      </c>
      <c r="M167" s="276">
        <f t="shared" si="3"/>
        <v>1.0026730551748471</v>
      </c>
      <c r="N167" s="276">
        <f t="shared" si="4"/>
        <v>360.38568246267192</v>
      </c>
      <c r="O167" s="302">
        <f t="shared" si="5"/>
        <v>2.7671267804122435E-3</v>
      </c>
      <c r="P167" s="290">
        <v>0.2946600323187536</v>
      </c>
      <c r="Q167" s="98" t="str">
        <f>IF(P167&lt;O167,"tree dies","")</f>
        <v/>
      </c>
    </row>
    <row r="168" spans="2:17" x14ac:dyDescent="0.3">
      <c r="B168" s="289">
        <v>1</v>
      </c>
      <c r="C168" s="289">
        <v>154</v>
      </c>
      <c r="D168" s="289">
        <v>7</v>
      </c>
      <c r="E168" s="289">
        <v>2</v>
      </c>
      <c r="F168" s="289">
        <v>28.5</v>
      </c>
      <c r="G168" s="289">
        <v>13</v>
      </c>
      <c r="H168" s="289">
        <v>11.25</v>
      </c>
      <c r="I168" s="289">
        <v>11.25</v>
      </c>
      <c r="J168" s="289">
        <v>0</v>
      </c>
      <c r="K168" s="276">
        <f>AVERAGE(H168:I168)</f>
        <v>11.25</v>
      </c>
      <c r="L168" s="276">
        <f>PI()/40000*K168^2</f>
        <v>9.9401955054989541E-3</v>
      </c>
      <c r="M168" s="276">
        <f t="shared" si="3"/>
        <v>1.0026730551748471</v>
      </c>
      <c r="N168" s="276">
        <f t="shared" si="4"/>
        <v>360.38568246267192</v>
      </c>
      <c r="O168" s="302">
        <f t="shared" si="5"/>
        <v>2.7671267804122435E-3</v>
      </c>
      <c r="P168" s="290">
        <v>0.74700662766649761</v>
      </c>
      <c r="Q168" s="98" t="str">
        <f>IF(P168&lt;O168,"tree dies","")</f>
        <v/>
      </c>
    </row>
    <row r="169" spans="2:17" x14ac:dyDescent="0.3">
      <c r="B169" s="289">
        <v>1</v>
      </c>
      <c r="C169" s="289">
        <v>178</v>
      </c>
      <c r="D169" s="289">
        <v>8</v>
      </c>
      <c r="E169" s="289">
        <v>1</v>
      </c>
      <c r="F169" s="289">
        <v>43.5</v>
      </c>
      <c r="G169" s="289">
        <v>15</v>
      </c>
      <c r="H169" s="289">
        <v>11.25</v>
      </c>
      <c r="I169" s="289">
        <v>11.25</v>
      </c>
      <c r="J169" s="289">
        <v>0</v>
      </c>
      <c r="K169" s="276">
        <f>AVERAGE(H169:I169)</f>
        <v>11.25</v>
      </c>
      <c r="L169" s="276">
        <f>PI()/40000*K169^2</f>
        <v>9.9401955054989541E-3</v>
      </c>
      <c r="M169" s="276">
        <f t="shared" si="3"/>
        <v>1.0026730551748471</v>
      </c>
      <c r="N169" s="276">
        <f t="shared" si="4"/>
        <v>360.38568246267192</v>
      </c>
      <c r="O169" s="302">
        <f t="shared" si="5"/>
        <v>2.7671267804122435E-3</v>
      </c>
      <c r="P169" s="290">
        <v>0.23320216351226686</v>
      </c>
      <c r="Q169" s="98" t="str">
        <f>IF(P169&lt;O169,"tree dies","")</f>
        <v/>
      </c>
    </row>
    <row r="170" spans="2:17" x14ac:dyDescent="0.3">
      <c r="B170" s="289">
        <v>1</v>
      </c>
      <c r="C170" s="289">
        <v>219</v>
      </c>
      <c r="D170" s="289">
        <v>10</v>
      </c>
      <c r="E170" s="289">
        <v>1</v>
      </c>
      <c r="F170" s="289">
        <v>64.5</v>
      </c>
      <c r="G170" s="289">
        <v>19</v>
      </c>
      <c r="H170" s="289">
        <v>11.25</v>
      </c>
      <c r="I170" s="289">
        <v>11.25</v>
      </c>
      <c r="J170" s="289">
        <v>0</v>
      </c>
      <c r="K170" s="276">
        <f>AVERAGE(H170:I170)</f>
        <v>11.25</v>
      </c>
      <c r="L170" s="276">
        <f>PI()/40000*K170^2</f>
        <v>9.9401955054989541E-3</v>
      </c>
      <c r="M170" s="276">
        <f t="shared" si="3"/>
        <v>1.0026730551748471</v>
      </c>
      <c r="N170" s="276">
        <f t="shared" si="4"/>
        <v>360.38568246267192</v>
      </c>
      <c r="O170" s="302">
        <f t="shared" si="5"/>
        <v>2.7671267804122435E-3</v>
      </c>
      <c r="P170" s="290">
        <v>0.62786718211646708</v>
      </c>
      <c r="Q170" s="98" t="str">
        <f>IF(P170&lt;O170,"tree dies","")</f>
        <v/>
      </c>
    </row>
    <row r="171" spans="2:17" x14ac:dyDescent="0.3">
      <c r="B171" s="289">
        <v>1</v>
      </c>
      <c r="C171" s="289">
        <v>162</v>
      </c>
      <c r="D171" s="289">
        <v>7</v>
      </c>
      <c r="E171" s="289">
        <v>1</v>
      </c>
      <c r="F171" s="289">
        <v>52.5</v>
      </c>
      <c r="G171" s="289">
        <v>13</v>
      </c>
      <c r="H171" s="289">
        <v>11.2</v>
      </c>
      <c r="I171" s="289">
        <v>11.2</v>
      </c>
      <c r="J171" s="289">
        <v>0</v>
      </c>
      <c r="K171" s="276">
        <f>AVERAGE(H171:I171)</f>
        <v>11.2</v>
      </c>
      <c r="L171" s="276">
        <f>PI()/40000*K171^2</f>
        <v>9.8520345616575893E-3</v>
      </c>
      <c r="M171" s="276">
        <f t="shared" ref="M171:M234" si="6">L171/$N$39</f>
        <v>0.99378021168302455</v>
      </c>
      <c r="N171" s="276">
        <f t="shared" ref="N171:N234" si="7">EXP($D$30+$D$31*$L$39+$D$32*M171+$D$33*K171)</f>
        <v>350.48859833556418</v>
      </c>
      <c r="O171" s="302">
        <f t="shared" ref="O171:O234" si="8">1-(N171/(1+N171))</f>
        <v>2.8450424984918232E-3</v>
      </c>
      <c r="P171" s="290">
        <v>0.37321461390638533</v>
      </c>
      <c r="Q171" s="98" t="str">
        <f>IF(P171&lt;O171,"tree dies","")</f>
        <v/>
      </c>
    </row>
    <row r="172" spans="2:17" x14ac:dyDescent="0.3">
      <c r="B172" s="289">
        <v>1</v>
      </c>
      <c r="C172" s="289">
        <v>250</v>
      </c>
      <c r="D172" s="289">
        <v>11</v>
      </c>
      <c r="E172" s="289">
        <v>1</v>
      </c>
      <c r="F172" s="289">
        <v>28.5</v>
      </c>
      <c r="G172" s="289">
        <v>21</v>
      </c>
      <c r="H172" s="289">
        <v>11.2</v>
      </c>
      <c r="I172" s="289">
        <v>11.2</v>
      </c>
      <c r="J172" s="289">
        <v>0</v>
      </c>
      <c r="K172" s="276">
        <f>AVERAGE(H172:I172)</f>
        <v>11.2</v>
      </c>
      <c r="L172" s="276">
        <f>PI()/40000*K172^2</f>
        <v>9.8520345616575893E-3</v>
      </c>
      <c r="M172" s="276">
        <f t="shared" si="6"/>
        <v>0.99378021168302455</v>
      </c>
      <c r="N172" s="276">
        <f t="shared" si="7"/>
        <v>350.48859833556418</v>
      </c>
      <c r="O172" s="302">
        <f t="shared" si="8"/>
        <v>2.8450424984918232E-3</v>
      </c>
      <c r="P172" s="290">
        <v>0.97810449344143735</v>
      </c>
      <c r="Q172" s="98" t="str">
        <f>IF(P172&lt;O172,"tree dies","")</f>
        <v/>
      </c>
    </row>
    <row r="173" spans="2:17" x14ac:dyDescent="0.3">
      <c r="B173" s="289">
        <v>1</v>
      </c>
      <c r="C173" s="289">
        <v>234</v>
      </c>
      <c r="D173" s="289">
        <v>10</v>
      </c>
      <c r="E173" s="289">
        <v>1</v>
      </c>
      <c r="F173" s="289">
        <v>19.5</v>
      </c>
      <c r="G173" s="289">
        <v>19</v>
      </c>
      <c r="H173" s="289">
        <v>11.1</v>
      </c>
      <c r="I173" s="289">
        <v>11.1</v>
      </c>
      <c r="J173" s="289">
        <v>0</v>
      </c>
      <c r="K173" s="276">
        <f>AVERAGE(H173:I173)</f>
        <v>11.1</v>
      </c>
      <c r="L173" s="276">
        <f>PI()/40000*K173^2</f>
        <v>9.6768907712199599E-3</v>
      </c>
      <c r="M173" s="276">
        <f t="shared" si="6"/>
        <v>0.97611336002443783</v>
      </c>
      <c r="N173" s="276">
        <f t="shared" si="7"/>
        <v>331.56279740502634</v>
      </c>
      <c r="O173" s="302">
        <f t="shared" si="8"/>
        <v>3.0069508910887111E-3</v>
      </c>
      <c r="P173" s="290">
        <v>0.57702288700080351</v>
      </c>
      <c r="Q173" s="98" t="str">
        <f>IF(P173&lt;O173,"tree dies","")</f>
        <v/>
      </c>
    </row>
    <row r="174" spans="2:17" x14ac:dyDescent="0.3">
      <c r="B174" s="289">
        <v>1</v>
      </c>
      <c r="C174" s="289">
        <v>35</v>
      </c>
      <c r="D174" s="289">
        <v>2</v>
      </c>
      <c r="E174" s="289">
        <v>1</v>
      </c>
      <c r="F174" s="289">
        <v>40.5</v>
      </c>
      <c r="G174" s="289">
        <v>3</v>
      </c>
      <c r="H174" s="289">
        <v>11.05</v>
      </c>
      <c r="I174" s="289">
        <v>11.05</v>
      </c>
      <c r="J174" s="289">
        <v>0</v>
      </c>
      <c r="K174" s="276">
        <f>AVERAGE(H174:I174)</f>
        <v>11.05</v>
      </c>
      <c r="L174" s="276">
        <f>PI()/40000*K174^2</f>
        <v>9.5899079246236935E-3</v>
      </c>
      <c r="M174" s="276">
        <f t="shared" si="6"/>
        <v>0.96733935185767328</v>
      </c>
      <c r="N174" s="276">
        <f t="shared" si="7"/>
        <v>322.5160483297023</v>
      </c>
      <c r="O174" s="302">
        <f t="shared" si="8"/>
        <v>3.0910367666857619E-3</v>
      </c>
      <c r="P174" s="290">
        <v>0.67223377578173138</v>
      </c>
      <c r="Q174" s="98" t="str">
        <f>IF(P174&lt;O174,"tree dies","")</f>
        <v/>
      </c>
    </row>
    <row r="175" spans="2:17" x14ac:dyDescent="0.3">
      <c r="B175" s="289">
        <v>1</v>
      </c>
      <c r="C175" s="289">
        <v>58</v>
      </c>
      <c r="D175" s="289">
        <v>3</v>
      </c>
      <c r="E175" s="289">
        <v>1</v>
      </c>
      <c r="F175" s="289">
        <v>28.5</v>
      </c>
      <c r="G175" s="289">
        <v>5</v>
      </c>
      <c r="H175" s="289">
        <v>11.05</v>
      </c>
      <c r="I175" s="289">
        <v>11.05</v>
      </c>
      <c r="J175" s="289">
        <v>0</v>
      </c>
      <c r="K175" s="276">
        <f>AVERAGE(H175:I175)</f>
        <v>11.05</v>
      </c>
      <c r="L175" s="276">
        <f>PI()/40000*K175^2</f>
        <v>9.5899079246236935E-3</v>
      </c>
      <c r="M175" s="276">
        <f t="shared" si="6"/>
        <v>0.96733935185767328</v>
      </c>
      <c r="N175" s="276">
        <f t="shared" si="7"/>
        <v>322.5160483297023</v>
      </c>
      <c r="O175" s="302">
        <f t="shared" si="8"/>
        <v>3.0910367666857619E-3</v>
      </c>
      <c r="P175" s="290">
        <v>0.47773295421226025</v>
      </c>
      <c r="Q175" s="98" t="str">
        <f>IF(P175&lt;O175,"tree dies","")</f>
        <v/>
      </c>
    </row>
    <row r="176" spans="2:17" x14ac:dyDescent="0.3">
      <c r="B176" s="289">
        <v>1</v>
      </c>
      <c r="C176" s="289">
        <v>17</v>
      </c>
      <c r="D176" s="289">
        <v>1</v>
      </c>
      <c r="E176" s="289">
        <v>1</v>
      </c>
      <c r="F176" s="289">
        <v>49.5</v>
      </c>
      <c r="G176" s="289">
        <v>1</v>
      </c>
      <c r="H176" s="289">
        <v>11</v>
      </c>
      <c r="I176" s="289">
        <v>11</v>
      </c>
      <c r="J176" s="289">
        <v>0</v>
      </c>
      <c r="K176" s="276">
        <f>AVERAGE(H176:I176)</f>
        <v>11</v>
      </c>
      <c r="L176" s="276">
        <f>PI()/40000*K176^2</f>
        <v>9.5033177771091243E-3</v>
      </c>
      <c r="M176" s="276">
        <f t="shared" si="6"/>
        <v>0.95860495546592794</v>
      </c>
      <c r="N176" s="276">
        <f t="shared" si="7"/>
        <v>313.73520476149065</v>
      </c>
      <c r="O176" s="302">
        <f t="shared" si="8"/>
        <v>3.1772740540982891E-3</v>
      </c>
      <c r="P176" s="290">
        <v>0.469355895065108</v>
      </c>
      <c r="Q176" s="98" t="str">
        <f>IF(P176&lt;O176,"tree dies","")</f>
        <v/>
      </c>
    </row>
    <row r="177" spans="2:17" x14ac:dyDescent="0.3">
      <c r="B177" s="289">
        <v>1</v>
      </c>
      <c r="C177" s="289">
        <v>94</v>
      </c>
      <c r="D177" s="289">
        <v>4</v>
      </c>
      <c r="E177" s="289">
        <v>1</v>
      </c>
      <c r="F177" s="289">
        <v>7.5</v>
      </c>
      <c r="G177" s="289">
        <v>7</v>
      </c>
      <c r="H177" s="289">
        <v>11</v>
      </c>
      <c r="I177" s="289">
        <v>11</v>
      </c>
      <c r="J177" s="289">
        <v>0</v>
      </c>
      <c r="K177" s="276">
        <f>AVERAGE(H177:I177)</f>
        <v>11</v>
      </c>
      <c r="L177" s="276">
        <f>PI()/40000*K177^2</f>
        <v>9.5033177771091243E-3</v>
      </c>
      <c r="M177" s="276">
        <f t="shared" si="6"/>
        <v>0.95860495546592794</v>
      </c>
      <c r="N177" s="276">
        <f t="shared" si="7"/>
        <v>313.73520476149065</v>
      </c>
      <c r="O177" s="302">
        <f t="shared" si="8"/>
        <v>3.1772740540982891E-3</v>
      </c>
      <c r="P177" s="290">
        <v>0.94956212691854303</v>
      </c>
      <c r="Q177" s="98" t="str">
        <f>IF(P177&lt;O177,"tree dies","")</f>
        <v/>
      </c>
    </row>
    <row r="178" spans="2:17" x14ac:dyDescent="0.3">
      <c r="B178" s="289">
        <v>1</v>
      </c>
      <c r="C178" s="289">
        <v>46</v>
      </c>
      <c r="D178" s="289">
        <v>2</v>
      </c>
      <c r="E178" s="289">
        <v>1</v>
      </c>
      <c r="F178" s="289">
        <v>7.5</v>
      </c>
      <c r="G178" s="289">
        <v>3</v>
      </c>
      <c r="H178" s="289">
        <v>10.95</v>
      </c>
      <c r="I178" s="289">
        <v>10.95</v>
      </c>
      <c r="J178" s="289">
        <v>0</v>
      </c>
      <c r="K178" s="276">
        <f>AVERAGE(H178:I178)</f>
        <v>10.95</v>
      </c>
      <c r="L178" s="276">
        <f>PI()/40000*K178^2</f>
        <v>9.4171203286762539E-3</v>
      </c>
      <c r="M178" s="276">
        <f t="shared" si="6"/>
        <v>0.94991017084920182</v>
      </c>
      <c r="N178" s="276">
        <f t="shared" si="7"/>
        <v>305.21197450757734</v>
      </c>
      <c r="O178" s="302">
        <f t="shared" si="8"/>
        <v>3.265711609116928E-3</v>
      </c>
      <c r="P178" s="290">
        <v>0.16980339247318232</v>
      </c>
      <c r="Q178" s="98" t="str">
        <f>IF(P178&lt;O178,"tree dies","")</f>
        <v/>
      </c>
    </row>
    <row r="179" spans="2:17" x14ac:dyDescent="0.3">
      <c r="B179" s="289">
        <v>1</v>
      </c>
      <c r="C179" s="289">
        <v>165</v>
      </c>
      <c r="D179" s="289">
        <v>7</v>
      </c>
      <c r="E179" s="289">
        <v>2</v>
      </c>
      <c r="F179" s="289">
        <v>61.5</v>
      </c>
      <c r="G179" s="289">
        <v>13</v>
      </c>
      <c r="H179" s="289">
        <v>10.95</v>
      </c>
      <c r="I179" s="289">
        <v>10.95</v>
      </c>
      <c r="J179" s="289">
        <v>0</v>
      </c>
      <c r="K179" s="276">
        <f>AVERAGE(H179:I179)</f>
        <v>10.95</v>
      </c>
      <c r="L179" s="276">
        <f>PI()/40000*K179^2</f>
        <v>9.4171203286762539E-3</v>
      </c>
      <c r="M179" s="276">
        <f t="shared" si="6"/>
        <v>0.94991017084920182</v>
      </c>
      <c r="N179" s="276">
        <f t="shared" si="7"/>
        <v>305.21197450757734</v>
      </c>
      <c r="O179" s="302">
        <f t="shared" si="8"/>
        <v>3.265711609116928E-3</v>
      </c>
      <c r="P179" s="290">
        <v>0.74821589996197768</v>
      </c>
      <c r="Q179" s="98" t="str">
        <f>IF(P179&lt;O179,"tree dies","")</f>
        <v/>
      </c>
    </row>
    <row r="180" spans="2:17" x14ac:dyDescent="0.3">
      <c r="B180" s="289">
        <v>1</v>
      </c>
      <c r="C180" s="289">
        <v>111</v>
      </c>
      <c r="D180" s="289">
        <v>5</v>
      </c>
      <c r="E180" s="289">
        <v>1</v>
      </c>
      <c r="F180" s="289">
        <v>43.5</v>
      </c>
      <c r="G180" s="289">
        <v>9</v>
      </c>
      <c r="H180" s="289">
        <v>10.9</v>
      </c>
      <c r="I180" s="289">
        <v>10.9</v>
      </c>
      <c r="J180" s="289">
        <v>0</v>
      </c>
      <c r="K180" s="276">
        <f>AVERAGE(H180:I180)</f>
        <v>10.9</v>
      </c>
      <c r="L180" s="276">
        <f>PI()/40000*K180^2</f>
        <v>9.3313155793250824E-3</v>
      </c>
      <c r="M180" s="276">
        <f t="shared" si="6"/>
        <v>0.9412549980074949</v>
      </c>
      <c r="N180" s="276">
        <f t="shared" si="7"/>
        <v>296.93833721855674</v>
      </c>
      <c r="O180" s="302">
        <f t="shared" si="8"/>
        <v>3.3563992111107499E-3</v>
      </c>
      <c r="P180" s="290">
        <v>0.52518841294646856</v>
      </c>
      <c r="Q180" s="98" t="str">
        <f>IF(P180&lt;O180,"tree dies","")</f>
        <v/>
      </c>
    </row>
    <row r="181" spans="2:17" x14ac:dyDescent="0.3">
      <c r="B181" s="289">
        <v>1</v>
      </c>
      <c r="C181" s="289">
        <v>155</v>
      </c>
      <c r="D181" s="289">
        <v>7</v>
      </c>
      <c r="E181" s="289">
        <v>2</v>
      </c>
      <c r="F181" s="289">
        <v>31.5</v>
      </c>
      <c r="G181" s="289">
        <v>13</v>
      </c>
      <c r="H181" s="289">
        <v>10.9</v>
      </c>
      <c r="I181" s="289">
        <v>10.9</v>
      </c>
      <c r="J181" s="289">
        <v>0</v>
      </c>
      <c r="K181" s="276">
        <f>AVERAGE(H181:I181)</f>
        <v>10.9</v>
      </c>
      <c r="L181" s="276">
        <f>PI()/40000*K181^2</f>
        <v>9.3313155793250824E-3</v>
      </c>
      <c r="M181" s="276">
        <f t="shared" si="6"/>
        <v>0.9412549980074949</v>
      </c>
      <c r="N181" s="276">
        <f t="shared" si="7"/>
        <v>296.93833721855674</v>
      </c>
      <c r="O181" s="302">
        <f t="shared" si="8"/>
        <v>3.3563992111107499E-3</v>
      </c>
      <c r="P181" s="290">
        <v>0.8831919858156223</v>
      </c>
      <c r="Q181" s="98" t="str">
        <f>IF(P181&lt;O181,"tree dies","")</f>
        <v/>
      </c>
    </row>
    <row r="182" spans="2:17" x14ac:dyDescent="0.3">
      <c r="B182" s="289">
        <v>1</v>
      </c>
      <c r="C182" s="289">
        <v>11</v>
      </c>
      <c r="D182" s="289">
        <v>1</v>
      </c>
      <c r="E182" s="289">
        <v>1</v>
      </c>
      <c r="F182" s="289">
        <v>31.5</v>
      </c>
      <c r="G182" s="289">
        <v>1</v>
      </c>
      <c r="H182" s="289">
        <v>10.85</v>
      </c>
      <c r="I182" s="289">
        <v>10.85</v>
      </c>
      <c r="J182" s="289">
        <v>0</v>
      </c>
      <c r="K182" s="276">
        <f>AVERAGE(H182:I182)</f>
        <v>10.85</v>
      </c>
      <c r="L182" s="276">
        <f>PI()/40000*K182^2</f>
        <v>9.2459035290556098E-3</v>
      </c>
      <c r="M182" s="276">
        <f t="shared" si="6"/>
        <v>0.93263943694080742</v>
      </c>
      <c r="N182" s="276">
        <f t="shared" si="7"/>
        <v>288.90653508023149</v>
      </c>
      <c r="O182" s="302">
        <f t="shared" si="8"/>
        <v>3.4493875749411762E-3</v>
      </c>
      <c r="P182" s="290">
        <v>0.37702369999344565</v>
      </c>
      <c r="Q182" s="98" t="str">
        <f>IF(P182&lt;O182,"tree dies","")</f>
        <v/>
      </c>
    </row>
    <row r="183" spans="2:17" x14ac:dyDescent="0.3">
      <c r="B183" s="289">
        <v>1</v>
      </c>
      <c r="C183" s="289">
        <v>104</v>
      </c>
      <c r="D183" s="289">
        <v>5</v>
      </c>
      <c r="E183" s="289">
        <v>2</v>
      </c>
      <c r="F183" s="289">
        <v>22.5</v>
      </c>
      <c r="G183" s="289">
        <v>9</v>
      </c>
      <c r="H183" s="289">
        <v>10.85</v>
      </c>
      <c r="I183" s="289">
        <v>10.85</v>
      </c>
      <c r="J183" s="289">
        <v>0</v>
      </c>
      <c r="K183" s="276">
        <f>AVERAGE(H183:I183)</f>
        <v>10.85</v>
      </c>
      <c r="L183" s="276">
        <f>PI()/40000*K183^2</f>
        <v>9.2459035290556098E-3</v>
      </c>
      <c r="M183" s="276">
        <f t="shared" si="6"/>
        <v>0.93263943694080742</v>
      </c>
      <c r="N183" s="276">
        <f t="shared" si="7"/>
        <v>288.90653508023149</v>
      </c>
      <c r="O183" s="302">
        <f t="shared" si="8"/>
        <v>3.4493875749411762E-3</v>
      </c>
      <c r="P183" s="290">
        <v>2.9686501202392579E-2</v>
      </c>
      <c r="Q183" s="98" t="str">
        <f>IF(P183&lt;O183,"tree dies","")</f>
        <v/>
      </c>
    </row>
    <row r="184" spans="2:17" x14ac:dyDescent="0.3">
      <c r="B184" s="289">
        <v>1</v>
      </c>
      <c r="C184" s="289">
        <v>131</v>
      </c>
      <c r="D184" s="289">
        <v>6</v>
      </c>
      <c r="E184" s="289">
        <v>1</v>
      </c>
      <c r="F184" s="289">
        <v>40.5</v>
      </c>
      <c r="G184" s="289">
        <v>11</v>
      </c>
      <c r="H184" s="289">
        <v>10.75</v>
      </c>
      <c r="I184" s="289">
        <v>10.75</v>
      </c>
      <c r="J184" s="289">
        <v>0</v>
      </c>
      <c r="K184" s="276">
        <f>AVERAGE(H184:I184)</f>
        <v>10.75</v>
      </c>
      <c r="L184" s="276">
        <f>PI()/40000*K184^2</f>
        <v>9.0762575257617613E-3</v>
      </c>
      <c r="M184" s="276">
        <f t="shared" si="6"/>
        <v>0.91552715013248998</v>
      </c>
      <c r="N184" s="276">
        <f t="shared" si="7"/>
        <v>273.53866413252234</v>
      </c>
      <c r="O184" s="302">
        <f t="shared" si="8"/>
        <v>3.6424741963386742E-3</v>
      </c>
      <c r="P184" s="290">
        <v>4.8687348693661314E-2</v>
      </c>
      <c r="Q184" s="98" t="str">
        <f>IF(P184&lt;O184,"tree dies","")</f>
        <v/>
      </c>
    </row>
    <row r="185" spans="2:17" x14ac:dyDescent="0.3">
      <c r="B185" s="289">
        <v>1</v>
      </c>
      <c r="C185" s="289">
        <v>245</v>
      </c>
      <c r="D185" s="289">
        <v>11</v>
      </c>
      <c r="E185" s="289">
        <v>1</v>
      </c>
      <c r="F185" s="289">
        <v>13.5</v>
      </c>
      <c r="G185" s="289">
        <v>21</v>
      </c>
      <c r="H185" s="289">
        <v>10.7</v>
      </c>
      <c r="I185" s="289">
        <v>10.7</v>
      </c>
      <c r="J185" s="289">
        <v>0</v>
      </c>
      <c r="K185" s="276">
        <f>AVERAGE(H185:I185)</f>
        <v>10.7</v>
      </c>
      <c r="L185" s="276">
        <f>PI()/40000*K185^2</f>
        <v>8.9920235727373836E-3</v>
      </c>
      <c r="M185" s="276">
        <f t="shared" si="6"/>
        <v>0.90703042439086001</v>
      </c>
      <c r="N185" s="276">
        <f t="shared" si="7"/>
        <v>266.18831316222196</v>
      </c>
      <c r="O185" s="302">
        <f t="shared" si="8"/>
        <v>3.7426786679582991E-3</v>
      </c>
      <c r="P185" s="290">
        <v>0.69786873297178831</v>
      </c>
      <c r="Q185" s="98" t="str">
        <f>IF(P185&lt;O185,"tree dies","")</f>
        <v/>
      </c>
    </row>
    <row r="186" spans="2:17" x14ac:dyDescent="0.3">
      <c r="B186" s="289">
        <v>1</v>
      </c>
      <c r="C186" s="289">
        <v>25</v>
      </c>
      <c r="D186" s="289">
        <v>2</v>
      </c>
      <c r="E186" s="289">
        <v>1</v>
      </c>
      <c r="F186" s="289">
        <v>70.5</v>
      </c>
      <c r="G186" s="289">
        <v>3</v>
      </c>
      <c r="H186" s="289">
        <v>10.65</v>
      </c>
      <c r="I186" s="289">
        <v>10.65</v>
      </c>
      <c r="J186" s="289">
        <v>0</v>
      </c>
      <c r="K186" s="276">
        <f>AVERAGE(H186:I186)</f>
        <v>10.65</v>
      </c>
      <c r="L186" s="276">
        <f>PI()/40000*K186^2</f>
        <v>8.9081823187947082E-3</v>
      </c>
      <c r="M186" s="276">
        <f t="shared" si="6"/>
        <v>0.8985733104242497</v>
      </c>
      <c r="N186" s="276">
        <f t="shared" si="7"/>
        <v>259.05121661582046</v>
      </c>
      <c r="O186" s="302">
        <f t="shared" si="8"/>
        <v>3.8453963531241975E-3</v>
      </c>
      <c r="P186" s="290">
        <v>0.96825391111748094</v>
      </c>
      <c r="Q186" s="98" t="str">
        <f>IF(P186&lt;O186,"tree dies","")</f>
        <v/>
      </c>
    </row>
    <row r="187" spans="2:17" x14ac:dyDescent="0.3">
      <c r="B187" s="289">
        <v>1</v>
      </c>
      <c r="C187" s="289">
        <v>127</v>
      </c>
      <c r="D187" s="289">
        <v>6</v>
      </c>
      <c r="E187" s="289">
        <v>1</v>
      </c>
      <c r="F187" s="289">
        <v>52.5</v>
      </c>
      <c r="G187" s="289">
        <v>11</v>
      </c>
      <c r="H187" s="289">
        <v>10.65</v>
      </c>
      <c r="I187" s="289">
        <v>10.65</v>
      </c>
      <c r="J187" s="289">
        <v>0</v>
      </c>
      <c r="K187" s="276">
        <f>AVERAGE(H187:I187)</f>
        <v>10.65</v>
      </c>
      <c r="L187" s="276">
        <f>PI()/40000*K187^2</f>
        <v>8.9081823187947082E-3</v>
      </c>
      <c r="M187" s="276">
        <f t="shared" si="6"/>
        <v>0.8985733104242497</v>
      </c>
      <c r="N187" s="276">
        <f t="shared" si="7"/>
        <v>259.05121661582046</v>
      </c>
      <c r="O187" s="302">
        <f t="shared" si="8"/>
        <v>3.8453963531241975E-3</v>
      </c>
      <c r="P187" s="290">
        <v>5.337616608655682E-2</v>
      </c>
      <c r="Q187" s="98" t="str">
        <f>IF(P187&lt;O187,"tree dies","")</f>
        <v/>
      </c>
    </row>
    <row r="188" spans="2:17" x14ac:dyDescent="0.3">
      <c r="B188" s="289">
        <v>1</v>
      </c>
      <c r="C188" s="289">
        <v>55</v>
      </c>
      <c r="D188" s="289">
        <v>3</v>
      </c>
      <c r="E188" s="289">
        <v>1</v>
      </c>
      <c r="F188" s="289">
        <v>19.5</v>
      </c>
      <c r="G188" s="289">
        <v>5</v>
      </c>
      <c r="H188" s="289">
        <v>10.6</v>
      </c>
      <c r="I188" s="289">
        <v>10.6</v>
      </c>
      <c r="J188" s="289">
        <v>0</v>
      </c>
      <c r="K188" s="276">
        <f>AVERAGE(H188:I188)</f>
        <v>10.6</v>
      </c>
      <c r="L188" s="276">
        <f>PI()/40000*K188^2</f>
        <v>8.8247337639337283E-3</v>
      </c>
      <c r="M188" s="276">
        <f t="shared" si="6"/>
        <v>0.89015580823265827</v>
      </c>
      <c r="N188" s="276">
        <f t="shared" si="7"/>
        <v>252.12080090953685</v>
      </c>
      <c r="O188" s="302">
        <f t="shared" si="8"/>
        <v>3.9506828218254242E-3</v>
      </c>
      <c r="P188" s="290">
        <v>0.4198934690681535</v>
      </c>
      <c r="Q188" s="98" t="str">
        <f>IF(P188&lt;O188,"tree dies","")</f>
        <v/>
      </c>
    </row>
    <row r="189" spans="2:17" x14ac:dyDescent="0.3">
      <c r="B189" s="289">
        <v>1</v>
      </c>
      <c r="C189" s="289">
        <v>164</v>
      </c>
      <c r="D189" s="289">
        <v>7</v>
      </c>
      <c r="E189" s="289">
        <v>2</v>
      </c>
      <c r="F189" s="289">
        <v>58.5</v>
      </c>
      <c r="G189" s="289">
        <v>13</v>
      </c>
      <c r="H189" s="289">
        <v>10.6</v>
      </c>
      <c r="I189" s="289">
        <v>10.6</v>
      </c>
      <c r="J189" s="289">
        <v>0</v>
      </c>
      <c r="K189" s="276">
        <f>AVERAGE(H189:I189)</f>
        <v>10.6</v>
      </c>
      <c r="L189" s="276">
        <f>PI()/40000*K189^2</f>
        <v>8.8247337639337283E-3</v>
      </c>
      <c r="M189" s="276">
        <f t="shared" si="6"/>
        <v>0.89015580823265827</v>
      </c>
      <c r="N189" s="276">
        <f t="shared" si="7"/>
        <v>252.12080090953685</v>
      </c>
      <c r="O189" s="302">
        <f t="shared" si="8"/>
        <v>3.9506828218254242E-3</v>
      </c>
      <c r="P189" s="290">
        <v>0.30646352759664519</v>
      </c>
      <c r="Q189" s="98" t="str">
        <f>IF(P189&lt;O189,"tree dies","")</f>
        <v/>
      </c>
    </row>
    <row r="190" spans="2:17" x14ac:dyDescent="0.3">
      <c r="B190" s="289">
        <v>1</v>
      </c>
      <c r="C190" s="289">
        <v>175</v>
      </c>
      <c r="D190" s="289">
        <v>8</v>
      </c>
      <c r="E190" s="289">
        <v>1</v>
      </c>
      <c r="F190" s="289">
        <v>52.5</v>
      </c>
      <c r="G190" s="289">
        <v>15</v>
      </c>
      <c r="H190" s="289">
        <v>10.6</v>
      </c>
      <c r="I190" s="289">
        <v>10.6</v>
      </c>
      <c r="J190" s="289">
        <v>0</v>
      </c>
      <c r="K190" s="276">
        <f>AVERAGE(H190:I190)</f>
        <v>10.6</v>
      </c>
      <c r="L190" s="276">
        <f>PI()/40000*K190^2</f>
        <v>8.8247337639337283E-3</v>
      </c>
      <c r="M190" s="276">
        <f t="shared" si="6"/>
        <v>0.89015580823265827</v>
      </c>
      <c r="N190" s="276">
        <f t="shared" si="7"/>
        <v>252.12080090953685</v>
      </c>
      <c r="O190" s="302">
        <f t="shared" si="8"/>
        <v>3.9506828218254242E-3</v>
      </c>
      <c r="P190" s="290">
        <v>0.15925893998863905</v>
      </c>
      <c r="Q190" s="98" t="str">
        <f>IF(P190&lt;O190,"tree dies","")</f>
        <v/>
      </c>
    </row>
    <row r="191" spans="2:17" x14ac:dyDescent="0.3">
      <c r="B191" s="289">
        <v>1</v>
      </c>
      <c r="C191" s="289">
        <v>33</v>
      </c>
      <c r="D191" s="289">
        <v>2</v>
      </c>
      <c r="E191" s="289">
        <v>1</v>
      </c>
      <c r="F191" s="289">
        <v>46.5</v>
      </c>
      <c r="G191" s="289">
        <v>3</v>
      </c>
      <c r="H191" s="289">
        <v>10.35</v>
      </c>
      <c r="I191" s="289">
        <v>10.35</v>
      </c>
      <c r="J191" s="289">
        <v>0</v>
      </c>
      <c r="K191" s="276">
        <f>AVERAGE(H191:I191)</f>
        <v>10.35</v>
      </c>
      <c r="L191" s="276">
        <f>PI()/40000*K191^2</f>
        <v>8.4133814758543136E-3</v>
      </c>
      <c r="M191" s="276">
        <f t="shared" si="6"/>
        <v>0.84866247389999039</v>
      </c>
      <c r="N191" s="276">
        <f t="shared" si="7"/>
        <v>220.35338794812338</v>
      </c>
      <c r="O191" s="302">
        <f t="shared" si="8"/>
        <v>4.5176629518512978E-3</v>
      </c>
      <c r="P191" s="290">
        <v>0.1210271786059588</v>
      </c>
      <c r="Q191" s="98" t="str">
        <f>IF(P191&lt;O191,"tree dies","")</f>
        <v/>
      </c>
    </row>
    <row r="192" spans="2:17" x14ac:dyDescent="0.3">
      <c r="B192" s="289">
        <v>1</v>
      </c>
      <c r="C192" s="289">
        <v>135</v>
      </c>
      <c r="D192" s="289">
        <v>6</v>
      </c>
      <c r="E192" s="289">
        <v>2</v>
      </c>
      <c r="F192" s="289">
        <v>28.5</v>
      </c>
      <c r="G192" s="289">
        <v>11</v>
      </c>
      <c r="H192" s="289">
        <v>10.35</v>
      </c>
      <c r="I192" s="289">
        <v>10.35</v>
      </c>
      <c r="J192" s="289">
        <v>0</v>
      </c>
      <c r="K192" s="276">
        <f>AVERAGE(H192:I192)</f>
        <v>10.35</v>
      </c>
      <c r="L192" s="276">
        <f>PI()/40000*K192^2</f>
        <v>8.4133814758543136E-3</v>
      </c>
      <c r="M192" s="276">
        <f t="shared" si="6"/>
        <v>0.84866247389999039</v>
      </c>
      <c r="N192" s="276">
        <f t="shared" si="7"/>
        <v>220.35338794812338</v>
      </c>
      <c r="O192" s="302">
        <f t="shared" si="8"/>
        <v>4.5176629518512978E-3</v>
      </c>
      <c r="P192" s="290">
        <v>0.35740022084113898</v>
      </c>
      <c r="Q192" s="98" t="str">
        <f>IF(P192&lt;O192,"tree dies","")</f>
        <v/>
      </c>
    </row>
    <row r="193" spans="2:17" x14ac:dyDescent="0.3">
      <c r="B193" s="289">
        <v>1</v>
      </c>
      <c r="C193" s="289">
        <v>92</v>
      </c>
      <c r="D193" s="289">
        <v>4</v>
      </c>
      <c r="E193" s="289">
        <v>1</v>
      </c>
      <c r="F193" s="289">
        <v>13.5</v>
      </c>
      <c r="G193" s="289">
        <v>7</v>
      </c>
      <c r="H193" s="289">
        <v>10.25</v>
      </c>
      <c r="I193" s="289">
        <v>10.25</v>
      </c>
      <c r="J193" s="289">
        <v>0</v>
      </c>
      <c r="K193" s="276">
        <f>AVERAGE(H193:I193)</f>
        <v>10.25</v>
      </c>
      <c r="L193" s="276">
        <f>PI()/40000*K193^2</f>
        <v>8.2515894541944409E-3</v>
      </c>
      <c r="M193" s="276">
        <f t="shared" si="6"/>
        <v>0.83234242259205826</v>
      </c>
      <c r="N193" s="276">
        <f t="shared" si="7"/>
        <v>208.88578258362813</v>
      </c>
      <c r="O193" s="302">
        <f t="shared" si="8"/>
        <v>4.7644961354232906E-3</v>
      </c>
      <c r="P193" s="290">
        <v>0.51654252179848359</v>
      </c>
      <c r="Q193" s="98" t="str">
        <f>IF(P193&lt;O193,"tree dies","")</f>
        <v/>
      </c>
    </row>
    <row r="194" spans="2:17" x14ac:dyDescent="0.3">
      <c r="B194" s="289">
        <v>1</v>
      </c>
      <c r="C194" s="289">
        <v>18</v>
      </c>
      <c r="D194" s="289">
        <v>1</v>
      </c>
      <c r="E194" s="289">
        <v>1</v>
      </c>
      <c r="F194" s="289">
        <v>52.5</v>
      </c>
      <c r="G194" s="289">
        <v>1</v>
      </c>
      <c r="H194" s="289">
        <v>10.15</v>
      </c>
      <c r="I194" s="289">
        <v>10.15</v>
      </c>
      <c r="J194" s="289">
        <v>0</v>
      </c>
      <c r="K194" s="276">
        <f>AVERAGE(H194:I194)</f>
        <v>10.15</v>
      </c>
      <c r="L194" s="276">
        <f>PI()/40000*K194^2</f>
        <v>8.091368228861362E-3</v>
      </c>
      <c r="M194" s="276">
        <f t="shared" si="6"/>
        <v>0.81618081838420298</v>
      </c>
      <c r="N194" s="276">
        <f t="shared" si="7"/>
        <v>198.0631079460378</v>
      </c>
      <c r="O194" s="302">
        <f t="shared" si="8"/>
        <v>5.0235325385911134E-3</v>
      </c>
      <c r="P194" s="290">
        <v>0.77005219105260059</v>
      </c>
      <c r="Q194" s="98" t="str">
        <f>IF(P194&lt;O194,"tree dies","")</f>
        <v/>
      </c>
    </row>
    <row r="195" spans="2:17" x14ac:dyDescent="0.3">
      <c r="B195" s="289">
        <v>1</v>
      </c>
      <c r="C195" s="289">
        <v>60</v>
      </c>
      <c r="D195" s="289">
        <v>3</v>
      </c>
      <c r="E195" s="289">
        <v>1</v>
      </c>
      <c r="F195" s="289">
        <v>34.5</v>
      </c>
      <c r="G195" s="289">
        <v>5</v>
      </c>
      <c r="H195" s="289">
        <v>10.1</v>
      </c>
      <c r="I195" s="289">
        <v>10.1</v>
      </c>
      <c r="J195" s="289">
        <v>0</v>
      </c>
      <c r="K195" s="276">
        <f>AVERAGE(H195:I195)</f>
        <v>10.1</v>
      </c>
      <c r="L195" s="276">
        <f>PI()/40000*K195^2</f>
        <v>8.0118466648173691E-3</v>
      </c>
      <c r="M195" s="276">
        <f t="shared" si="6"/>
        <v>0.8081594339428041</v>
      </c>
      <c r="N195" s="276">
        <f t="shared" si="7"/>
        <v>192.88147926142236</v>
      </c>
      <c r="O195" s="302">
        <f t="shared" si="8"/>
        <v>5.1577902325143921E-3</v>
      </c>
      <c r="P195" s="290">
        <v>0.44339362798418602</v>
      </c>
      <c r="Q195" s="98" t="str">
        <f>IF(P195&lt;O195,"tree dies","")</f>
        <v/>
      </c>
    </row>
    <row r="196" spans="2:17" x14ac:dyDescent="0.3">
      <c r="B196" s="289">
        <v>1</v>
      </c>
      <c r="C196" s="289">
        <v>218</v>
      </c>
      <c r="D196" s="289">
        <v>10</v>
      </c>
      <c r="E196" s="289">
        <v>1</v>
      </c>
      <c r="F196" s="289">
        <v>67.5</v>
      </c>
      <c r="G196" s="289">
        <v>19</v>
      </c>
      <c r="H196" s="289">
        <v>10</v>
      </c>
      <c r="I196" s="289">
        <v>10</v>
      </c>
      <c r="J196" s="289">
        <v>0</v>
      </c>
      <c r="K196" s="276">
        <f>AVERAGE(H196:I196)</f>
        <v>10</v>
      </c>
      <c r="L196" s="276">
        <f>PI()/40000*K196^2</f>
        <v>7.8539816339744835E-3</v>
      </c>
      <c r="M196" s="276">
        <f t="shared" si="6"/>
        <v>0.79223550038506452</v>
      </c>
      <c r="N196" s="276">
        <f t="shared" si="7"/>
        <v>182.95470144294546</v>
      </c>
      <c r="O196" s="302">
        <f t="shared" si="8"/>
        <v>5.4361209153991341E-3</v>
      </c>
      <c r="P196" s="290">
        <v>0.99086279848000747</v>
      </c>
      <c r="Q196" s="98" t="str">
        <f>IF(P196&lt;O196,"tree dies","")</f>
        <v/>
      </c>
    </row>
    <row r="197" spans="2:17" x14ac:dyDescent="0.3">
      <c r="B197" s="289">
        <v>1</v>
      </c>
      <c r="C197" s="289">
        <v>41</v>
      </c>
      <c r="D197" s="289">
        <v>2</v>
      </c>
      <c r="E197" s="289">
        <v>1</v>
      </c>
      <c r="F197" s="289">
        <v>22.5</v>
      </c>
      <c r="G197" s="289">
        <v>3</v>
      </c>
      <c r="H197" s="289">
        <v>9.9</v>
      </c>
      <c r="I197" s="289">
        <v>9.9</v>
      </c>
      <c r="J197" s="289">
        <v>0</v>
      </c>
      <c r="K197" s="276">
        <f>AVERAGE(H197:I197)</f>
        <v>9.9</v>
      </c>
      <c r="L197" s="276">
        <f>PI()/40000*K197^2</f>
        <v>7.6976873994583908E-3</v>
      </c>
      <c r="M197" s="276">
        <f t="shared" si="6"/>
        <v>0.77647001392740167</v>
      </c>
      <c r="N197" s="276">
        <f t="shared" si="7"/>
        <v>173.58099716081415</v>
      </c>
      <c r="O197" s="302">
        <f t="shared" si="8"/>
        <v>5.7280002764497073E-3</v>
      </c>
      <c r="P197" s="290">
        <v>0.12113931393565502</v>
      </c>
      <c r="Q197" s="98" t="str">
        <f>IF(P197&lt;O197,"tree dies","")</f>
        <v/>
      </c>
    </row>
    <row r="198" spans="2:17" x14ac:dyDescent="0.3">
      <c r="B198" s="289">
        <v>1</v>
      </c>
      <c r="C198" s="289">
        <v>106</v>
      </c>
      <c r="D198" s="289">
        <v>5</v>
      </c>
      <c r="E198" s="289">
        <v>2</v>
      </c>
      <c r="F198" s="289">
        <v>28.5</v>
      </c>
      <c r="G198" s="289">
        <v>9</v>
      </c>
      <c r="H198" s="289">
        <v>9.9</v>
      </c>
      <c r="I198" s="289">
        <v>9.9</v>
      </c>
      <c r="J198" s="289">
        <v>0</v>
      </c>
      <c r="K198" s="276">
        <f>AVERAGE(H198:I198)</f>
        <v>9.9</v>
      </c>
      <c r="L198" s="276">
        <f>PI()/40000*K198^2</f>
        <v>7.6976873994583908E-3</v>
      </c>
      <c r="M198" s="276">
        <f t="shared" si="6"/>
        <v>0.77647001392740167</v>
      </c>
      <c r="N198" s="276">
        <f t="shared" si="7"/>
        <v>173.58099716081415</v>
      </c>
      <c r="O198" s="302">
        <f t="shared" si="8"/>
        <v>5.7280002764497073E-3</v>
      </c>
      <c r="P198" s="290">
        <v>0.54475210654857131</v>
      </c>
      <c r="Q198" s="98" t="str">
        <f>IF(P198&lt;O198,"tree dies","")</f>
        <v/>
      </c>
    </row>
    <row r="199" spans="2:17" x14ac:dyDescent="0.3">
      <c r="B199" s="289">
        <v>1</v>
      </c>
      <c r="C199" s="289">
        <v>179</v>
      </c>
      <c r="D199" s="289">
        <v>8</v>
      </c>
      <c r="E199" s="289">
        <v>1</v>
      </c>
      <c r="F199" s="289">
        <v>40.5</v>
      </c>
      <c r="G199" s="289">
        <v>15</v>
      </c>
      <c r="H199" s="289">
        <v>9.9</v>
      </c>
      <c r="I199" s="289">
        <v>9.9</v>
      </c>
      <c r="J199" s="289">
        <v>0</v>
      </c>
      <c r="K199" s="276">
        <f>AVERAGE(H199:I199)</f>
        <v>9.9</v>
      </c>
      <c r="L199" s="276">
        <f>PI()/40000*K199^2</f>
        <v>7.6976873994583908E-3</v>
      </c>
      <c r="M199" s="276">
        <f t="shared" si="6"/>
        <v>0.77647001392740167</v>
      </c>
      <c r="N199" s="276">
        <f t="shared" si="7"/>
        <v>173.58099716081415</v>
      </c>
      <c r="O199" s="302">
        <f t="shared" si="8"/>
        <v>5.7280002764497073E-3</v>
      </c>
      <c r="P199" s="290">
        <v>0.38270074370149343</v>
      </c>
      <c r="Q199" s="98" t="str">
        <f>IF(P199&lt;O199,"tree dies","")</f>
        <v/>
      </c>
    </row>
    <row r="200" spans="2:17" x14ac:dyDescent="0.3">
      <c r="B200" s="289">
        <v>1</v>
      </c>
      <c r="C200" s="289">
        <v>22</v>
      </c>
      <c r="D200" s="289">
        <v>1</v>
      </c>
      <c r="E200" s="289">
        <v>1</v>
      </c>
      <c r="F200" s="289">
        <v>64.5</v>
      </c>
      <c r="G200" s="289">
        <v>1</v>
      </c>
      <c r="H200" s="289">
        <v>9.85</v>
      </c>
      <c r="I200" s="289">
        <v>9.85</v>
      </c>
      <c r="J200" s="289">
        <v>0</v>
      </c>
      <c r="K200" s="276">
        <f>AVERAGE(H200:I200)</f>
        <v>9.85</v>
      </c>
      <c r="L200" s="276">
        <f>PI()/40000*K200^2</f>
        <v>7.6201293308228923E-3</v>
      </c>
      <c r="M200" s="276">
        <f t="shared" si="6"/>
        <v>0.76864668836109906</v>
      </c>
      <c r="N200" s="276">
        <f t="shared" si="7"/>
        <v>169.09122318563837</v>
      </c>
      <c r="O200" s="302">
        <f t="shared" si="8"/>
        <v>5.8791981224604051E-3</v>
      </c>
      <c r="P200" s="290">
        <v>0.53997140176627567</v>
      </c>
      <c r="Q200" s="98" t="str">
        <f>IF(P200&lt;O200,"tree dies","")</f>
        <v/>
      </c>
    </row>
    <row r="201" spans="2:17" x14ac:dyDescent="0.3">
      <c r="B201" s="289">
        <v>1</v>
      </c>
      <c r="C201" s="289">
        <v>173</v>
      </c>
      <c r="D201" s="289">
        <v>8</v>
      </c>
      <c r="E201" s="289">
        <v>2</v>
      </c>
      <c r="F201" s="289">
        <v>58.5</v>
      </c>
      <c r="G201" s="289">
        <v>15</v>
      </c>
      <c r="H201" s="289">
        <v>9.85</v>
      </c>
      <c r="I201" s="289">
        <v>9.85</v>
      </c>
      <c r="J201" s="289">
        <v>0</v>
      </c>
      <c r="K201" s="276">
        <f>AVERAGE(H201:I201)</f>
        <v>9.85</v>
      </c>
      <c r="L201" s="276">
        <f>PI()/40000*K201^2</f>
        <v>7.6201293308228923E-3</v>
      </c>
      <c r="M201" s="276">
        <f t="shared" si="6"/>
        <v>0.76864668836109906</v>
      </c>
      <c r="N201" s="276">
        <f t="shared" si="7"/>
        <v>169.09122318563837</v>
      </c>
      <c r="O201" s="302">
        <f t="shared" si="8"/>
        <v>5.8791981224604051E-3</v>
      </c>
      <c r="P201" s="290">
        <v>0.89118158032862305</v>
      </c>
      <c r="Q201" s="98" t="str">
        <f>IF(P201&lt;O201,"tree dies","")</f>
        <v/>
      </c>
    </row>
    <row r="202" spans="2:17" x14ac:dyDescent="0.3">
      <c r="B202" s="289">
        <v>1</v>
      </c>
      <c r="C202" s="289">
        <v>202</v>
      </c>
      <c r="D202" s="289">
        <v>9</v>
      </c>
      <c r="E202" s="289">
        <v>2</v>
      </c>
      <c r="F202" s="289">
        <v>28.5</v>
      </c>
      <c r="G202" s="289">
        <v>17</v>
      </c>
      <c r="H202" s="289">
        <v>9.85</v>
      </c>
      <c r="I202" s="289">
        <v>9.85</v>
      </c>
      <c r="J202" s="289">
        <v>0</v>
      </c>
      <c r="K202" s="276">
        <f>AVERAGE(H202:I202)</f>
        <v>9.85</v>
      </c>
      <c r="L202" s="276">
        <f>PI()/40000*K202^2</f>
        <v>7.6201293308228923E-3</v>
      </c>
      <c r="M202" s="276">
        <f t="shared" si="6"/>
        <v>0.76864668836109906</v>
      </c>
      <c r="N202" s="276">
        <f t="shared" si="7"/>
        <v>169.09122318563837</v>
      </c>
      <c r="O202" s="302">
        <f t="shared" si="8"/>
        <v>5.8791981224604051E-3</v>
      </c>
      <c r="P202" s="290">
        <v>0.1535984282278775</v>
      </c>
      <c r="Q202" s="98" t="str">
        <f>IF(P202&lt;O202,"tree dies","")</f>
        <v/>
      </c>
    </row>
    <row r="203" spans="2:17" x14ac:dyDescent="0.3">
      <c r="B203" s="289">
        <v>1</v>
      </c>
      <c r="C203" s="289">
        <v>26</v>
      </c>
      <c r="D203" s="289">
        <v>2</v>
      </c>
      <c r="E203" s="289">
        <v>1</v>
      </c>
      <c r="F203" s="289">
        <v>67.5</v>
      </c>
      <c r="G203" s="289">
        <v>3</v>
      </c>
      <c r="H203" s="289">
        <v>9.8000000000000007</v>
      </c>
      <c r="I203" s="289">
        <v>9.8000000000000007</v>
      </c>
      <c r="J203" s="289">
        <v>0</v>
      </c>
      <c r="K203" s="276">
        <f>AVERAGE(H203:I203)</f>
        <v>9.8000000000000007</v>
      </c>
      <c r="L203" s="276">
        <f>PI()/40000*K203^2</f>
        <v>7.5429639612690945E-3</v>
      </c>
      <c r="M203" s="276">
        <f t="shared" si="6"/>
        <v>0.760862974569816</v>
      </c>
      <c r="N203" s="276">
        <f t="shared" si="7"/>
        <v>164.72758911863031</v>
      </c>
      <c r="O203" s="302">
        <f t="shared" si="8"/>
        <v>6.0339983542763154E-3</v>
      </c>
      <c r="P203" s="290">
        <v>0.80819905001396009</v>
      </c>
      <c r="Q203" s="98" t="str">
        <f>IF(P203&lt;O203,"tree dies","")</f>
        <v/>
      </c>
    </row>
    <row r="204" spans="2:17" x14ac:dyDescent="0.3">
      <c r="B204" s="289">
        <v>1</v>
      </c>
      <c r="C204" s="289">
        <v>95</v>
      </c>
      <c r="D204" s="289">
        <v>4</v>
      </c>
      <c r="E204" s="289">
        <v>1</v>
      </c>
      <c r="F204" s="289">
        <v>4.5</v>
      </c>
      <c r="G204" s="289">
        <v>7</v>
      </c>
      <c r="H204" s="289">
        <v>9.6999999999999993</v>
      </c>
      <c r="I204" s="289">
        <v>9.6999999999999993</v>
      </c>
      <c r="J204" s="289">
        <v>0</v>
      </c>
      <c r="K204" s="276">
        <f>AVERAGE(H204:I204)</f>
        <v>9.6999999999999993</v>
      </c>
      <c r="L204" s="276">
        <f>PI()/40000*K204^2</f>
        <v>7.3898113194065902E-3</v>
      </c>
      <c r="M204" s="276">
        <f t="shared" si="6"/>
        <v>0.74541438231230706</v>
      </c>
      <c r="N204" s="276">
        <f t="shared" si="7"/>
        <v>156.36374534422683</v>
      </c>
      <c r="O204" s="302">
        <f t="shared" si="8"/>
        <v>6.3547038602350669E-3</v>
      </c>
      <c r="P204" s="290">
        <v>0.77305197180965857</v>
      </c>
      <c r="Q204" s="98" t="str">
        <f>IF(P204&lt;O204,"tree dies","")</f>
        <v/>
      </c>
    </row>
    <row r="205" spans="2:17" x14ac:dyDescent="0.3">
      <c r="B205" s="289">
        <v>1</v>
      </c>
      <c r="C205" s="289">
        <v>120</v>
      </c>
      <c r="D205" s="289">
        <v>5</v>
      </c>
      <c r="E205" s="289">
        <v>1</v>
      </c>
      <c r="F205" s="289">
        <v>70.5</v>
      </c>
      <c r="G205" s="289">
        <v>9</v>
      </c>
      <c r="H205" s="289">
        <v>9.6999999999999993</v>
      </c>
      <c r="I205" s="289">
        <v>9.6999999999999993</v>
      </c>
      <c r="J205" s="289">
        <v>0</v>
      </c>
      <c r="K205" s="276">
        <f>AVERAGE(H205:I205)</f>
        <v>9.6999999999999993</v>
      </c>
      <c r="L205" s="276">
        <f>PI()/40000*K205^2</f>
        <v>7.3898113194065902E-3</v>
      </c>
      <c r="M205" s="276">
        <f t="shared" si="6"/>
        <v>0.74541438231230706</v>
      </c>
      <c r="N205" s="276">
        <f t="shared" si="7"/>
        <v>156.36374534422683</v>
      </c>
      <c r="O205" s="302">
        <f t="shared" si="8"/>
        <v>6.3547038602350669E-3</v>
      </c>
      <c r="P205" s="290">
        <v>0.82146835333041324</v>
      </c>
      <c r="Q205" s="98" t="str">
        <f>IF(P205&lt;O205,"tree dies","")</f>
        <v/>
      </c>
    </row>
    <row r="206" spans="2:17" x14ac:dyDescent="0.3">
      <c r="B206" s="289">
        <v>1</v>
      </c>
      <c r="C206" s="289">
        <v>144</v>
      </c>
      <c r="D206" s="289">
        <v>6</v>
      </c>
      <c r="E206" s="289">
        <v>1</v>
      </c>
      <c r="F206" s="289">
        <v>1.5</v>
      </c>
      <c r="G206" s="289">
        <v>11</v>
      </c>
      <c r="H206" s="289">
        <v>9.6999999999999993</v>
      </c>
      <c r="I206" s="289">
        <v>9.6999999999999993</v>
      </c>
      <c r="J206" s="289">
        <v>0</v>
      </c>
      <c r="K206" s="276">
        <f>AVERAGE(H206:I206)</f>
        <v>9.6999999999999993</v>
      </c>
      <c r="L206" s="276">
        <f>PI()/40000*K206^2</f>
        <v>7.3898113194065902E-3</v>
      </c>
      <c r="M206" s="276">
        <f t="shared" si="6"/>
        <v>0.74541438231230706</v>
      </c>
      <c r="N206" s="276">
        <f t="shared" si="7"/>
        <v>156.36374534422683</v>
      </c>
      <c r="O206" s="302">
        <f t="shared" si="8"/>
        <v>6.3547038602350669E-3</v>
      </c>
      <c r="P206" s="290">
        <v>0.68488572846223605</v>
      </c>
      <c r="Q206" s="98" t="str">
        <f>IF(P206&lt;O206,"tree dies","")</f>
        <v/>
      </c>
    </row>
    <row r="207" spans="2:17" x14ac:dyDescent="0.3">
      <c r="B207" s="289">
        <v>1</v>
      </c>
      <c r="C207" s="289">
        <v>204</v>
      </c>
      <c r="D207" s="289">
        <v>9</v>
      </c>
      <c r="E207" s="289">
        <v>1</v>
      </c>
      <c r="F207" s="289">
        <v>34.5</v>
      </c>
      <c r="G207" s="289">
        <v>17</v>
      </c>
      <c r="H207" s="289">
        <v>9.6</v>
      </c>
      <c r="I207" s="289">
        <v>9.6</v>
      </c>
      <c r="J207" s="289">
        <v>0</v>
      </c>
      <c r="K207" s="276">
        <f>AVERAGE(H207:I207)</f>
        <v>9.6</v>
      </c>
      <c r="L207" s="276">
        <f>PI()/40000*K207^2</f>
        <v>7.2382294738708832E-3</v>
      </c>
      <c r="M207" s="276">
        <f t="shared" si="6"/>
        <v>0.73012423715487529</v>
      </c>
      <c r="N207" s="276">
        <f t="shared" si="7"/>
        <v>148.46064574552591</v>
      </c>
      <c r="O207" s="302">
        <f t="shared" si="8"/>
        <v>6.6907244713944047E-3</v>
      </c>
      <c r="P207" s="290">
        <v>0.56640210178726413</v>
      </c>
      <c r="Q207" s="98" t="str">
        <f>IF(P207&lt;O207,"tree dies","")</f>
        <v/>
      </c>
    </row>
    <row r="208" spans="2:17" x14ac:dyDescent="0.3">
      <c r="B208" s="289">
        <v>1</v>
      </c>
      <c r="C208" s="289">
        <v>9</v>
      </c>
      <c r="D208" s="289">
        <v>1</v>
      </c>
      <c r="E208" s="289">
        <v>1</v>
      </c>
      <c r="F208" s="289">
        <v>25.5</v>
      </c>
      <c r="G208" s="289">
        <v>1</v>
      </c>
      <c r="H208" s="289">
        <v>9.5</v>
      </c>
      <c r="I208" s="289">
        <v>9.5</v>
      </c>
      <c r="J208" s="289">
        <v>0</v>
      </c>
      <c r="K208" s="276">
        <f>AVERAGE(H208:I208)</f>
        <v>9.5</v>
      </c>
      <c r="L208" s="276">
        <f>PI()/40000*K208^2</f>
        <v>7.0882184246619708E-3</v>
      </c>
      <c r="M208" s="276">
        <f t="shared" si="6"/>
        <v>0.71499253909752059</v>
      </c>
      <c r="N208" s="276">
        <f t="shared" si="7"/>
        <v>140.99125772227632</v>
      </c>
      <c r="O208" s="302">
        <f t="shared" si="8"/>
        <v>7.042687106525447E-3</v>
      </c>
      <c r="P208" s="290">
        <v>9.1789955819990943E-2</v>
      </c>
      <c r="Q208" s="98" t="str">
        <f>IF(P208&lt;O208,"tree dies","")</f>
        <v/>
      </c>
    </row>
    <row r="209" spans="2:17" x14ac:dyDescent="0.3">
      <c r="B209" s="289">
        <v>1</v>
      </c>
      <c r="C209" s="289">
        <v>69</v>
      </c>
      <c r="D209" s="289">
        <v>3</v>
      </c>
      <c r="E209" s="289">
        <v>1</v>
      </c>
      <c r="F209" s="289">
        <v>61.5</v>
      </c>
      <c r="G209" s="289">
        <v>5</v>
      </c>
      <c r="H209" s="289">
        <v>9.4</v>
      </c>
      <c r="I209" s="289">
        <v>9.4</v>
      </c>
      <c r="J209" s="289">
        <v>0</v>
      </c>
      <c r="K209" s="276">
        <f>AVERAGE(H209:I209)</f>
        <v>9.4</v>
      </c>
      <c r="L209" s="276">
        <f>PI()/40000*K209^2</f>
        <v>6.939778171779854E-3</v>
      </c>
      <c r="M209" s="276">
        <f t="shared" si="6"/>
        <v>0.70001928814024295</v>
      </c>
      <c r="N209" s="276">
        <f t="shared" si="7"/>
        <v>133.93022019701206</v>
      </c>
      <c r="O209" s="302">
        <f t="shared" si="8"/>
        <v>7.4112381832616148E-3</v>
      </c>
      <c r="P209" s="290">
        <v>0.56642177256181991</v>
      </c>
      <c r="Q209" s="98" t="str">
        <f>IF(P209&lt;O209,"tree dies","")</f>
        <v/>
      </c>
    </row>
    <row r="210" spans="2:17" x14ac:dyDescent="0.3">
      <c r="B210" s="289">
        <v>1</v>
      </c>
      <c r="C210" s="289">
        <v>79</v>
      </c>
      <c r="D210" s="289">
        <v>4</v>
      </c>
      <c r="E210" s="289">
        <v>1</v>
      </c>
      <c r="F210" s="289">
        <v>52.5</v>
      </c>
      <c r="G210" s="289">
        <v>7</v>
      </c>
      <c r="H210" s="289">
        <v>9.4</v>
      </c>
      <c r="I210" s="289">
        <v>9.4</v>
      </c>
      <c r="J210" s="289">
        <v>0</v>
      </c>
      <c r="K210" s="276">
        <f>AVERAGE(H210:I210)</f>
        <v>9.4</v>
      </c>
      <c r="L210" s="276">
        <f>PI()/40000*K210^2</f>
        <v>6.939778171779854E-3</v>
      </c>
      <c r="M210" s="276">
        <f t="shared" si="6"/>
        <v>0.70001928814024295</v>
      </c>
      <c r="N210" s="276">
        <f t="shared" si="7"/>
        <v>133.93022019701206</v>
      </c>
      <c r="O210" s="302">
        <f t="shared" si="8"/>
        <v>7.4112381832616148E-3</v>
      </c>
      <c r="P210" s="290">
        <v>0.1806159254621148</v>
      </c>
      <c r="Q210" s="98" t="str">
        <f>IF(P210&lt;O210,"tree dies","")</f>
        <v/>
      </c>
    </row>
    <row r="211" spans="2:17" x14ac:dyDescent="0.3">
      <c r="B211" s="289">
        <v>1</v>
      </c>
      <c r="C211" s="289">
        <v>65</v>
      </c>
      <c r="D211" s="289">
        <v>3</v>
      </c>
      <c r="E211" s="289">
        <v>1</v>
      </c>
      <c r="F211" s="289">
        <v>49.5</v>
      </c>
      <c r="G211" s="289">
        <v>5</v>
      </c>
      <c r="H211" s="289">
        <v>9.3000000000000007</v>
      </c>
      <c r="I211" s="289">
        <v>9.3000000000000007</v>
      </c>
      <c r="J211" s="289">
        <v>0</v>
      </c>
      <c r="K211" s="276">
        <f>AVERAGE(H211:I211)</f>
        <v>9.3000000000000007</v>
      </c>
      <c r="L211" s="276">
        <f>PI()/40000*K211^2</f>
        <v>6.7929087152245309E-3</v>
      </c>
      <c r="M211" s="276">
        <f t="shared" si="6"/>
        <v>0.68520448428304226</v>
      </c>
      <c r="N211" s="276">
        <f t="shared" si="7"/>
        <v>127.25373547479184</v>
      </c>
      <c r="O211" s="302">
        <f t="shared" si="8"/>
        <v>7.7970438544968657E-3</v>
      </c>
      <c r="P211" s="290">
        <v>0.71662866846935114</v>
      </c>
      <c r="Q211" s="98" t="str">
        <f>IF(P211&lt;O211,"tree dies","")</f>
        <v/>
      </c>
    </row>
    <row r="212" spans="2:17" x14ac:dyDescent="0.3">
      <c r="B212" s="289">
        <v>1</v>
      </c>
      <c r="C212" s="289">
        <v>264</v>
      </c>
      <c r="D212" s="289">
        <v>11</v>
      </c>
      <c r="E212" s="289">
        <v>1</v>
      </c>
      <c r="F212" s="289">
        <v>70.5</v>
      </c>
      <c r="G212" s="289">
        <v>21</v>
      </c>
      <c r="H212" s="289">
        <v>9.3000000000000007</v>
      </c>
      <c r="I212" s="289">
        <v>9.3000000000000007</v>
      </c>
      <c r="J212" s="289">
        <v>0</v>
      </c>
      <c r="K212" s="276">
        <f>AVERAGE(H212:I212)</f>
        <v>9.3000000000000007</v>
      </c>
      <c r="L212" s="276">
        <f>PI()/40000*K212^2</f>
        <v>6.7929087152245309E-3</v>
      </c>
      <c r="M212" s="276">
        <f t="shared" si="6"/>
        <v>0.68520448428304226</v>
      </c>
      <c r="N212" s="276">
        <f t="shared" si="7"/>
        <v>127.25373547479184</v>
      </c>
      <c r="O212" s="302">
        <f t="shared" si="8"/>
        <v>7.7970438544968657E-3</v>
      </c>
      <c r="P212" s="290">
        <v>0.42155391512489049</v>
      </c>
      <c r="Q212" s="98" t="str">
        <f>IF(P212&lt;O212,"tree dies","")</f>
        <v/>
      </c>
    </row>
    <row r="213" spans="2:17" x14ac:dyDescent="0.3">
      <c r="B213" s="289">
        <v>1</v>
      </c>
      <c r="C213" s="289">
        <v>102</v>
      </c>
      <c r="D213" s="289">
        <v>5</v>
      </c>
      <c r="E213" s="289">
        <v>1</v>
      </c>
      <c r="F213" s="289">
        <v>16.5</v>
      </c>
      <c r="G213" s="289">
        <v>9</v>
      </c>
      <c r="H213" s="289">
        <v>9.25</v>
      </c>
      <c r="I213" s="289">
        <v>9.25</v>
      </c>
      <c r="J213" s="289">
        <v>0</v>
      </c>
      <c r="K213" s="276">
        <f>AVERAGE(H213:I213)</f>
        <v>9.25</v>
      </c>
      <c r="L213" s="276">
        <f>PI()/40000*K213^2</f>
        <v>6.7200630355694164E-3</v>
      </c>
      <c r="M213" s="276">
        <f t="shared" si="6"/>
        <v>0.67785650001697073</v>
      </c>
      <c r="N213" s="276">
        <f t="shared" si="7"/>
        <v>124.05266616073723</v>
      </c>
      <c r="O213" s="302">
        <f t="shared" si="8"/>
        <v>7.9966307852616936E-3</v>
      </c>
      <c r="P213" s="290">
        <v>0.93501050934254748</v>
      </c>
      <c r="Q213" s="98" t="str">
        <f>IF(P213&lt;O213,"tree dies","")</f>
        <v/>
      </c>
    </row>
    <row r="214" spans="2:17" x14ac:dyDescent="0.3">
      <c r="B214" s="289">
        <v>1</v>
      </c>
      <c r="C214" s="289">
        <v>224</v>
      </c>
      <c r="D214" s="289">
        <v>10</v>
      </c>
      <c r="E214" s="289">
        <v>1</v>
      </c>
      <c r="F214" s="289">
        <v>49.5</v>
      </c>
      <c r="G214" s="289">
        <v>19</v>
      </c>
      <c r="H214" s="289">
        <v>9.1999999999999993</v>
      </c>
      <c r="I214" s="289">
        <v>9.1999999999999993</v>
      </c>
      <c r="J214" s="289">
        <v>0</v>
      </c>
      <c r="K214" s="276">
        <f>AVERAGE(H214:I214)</f>
        <v>9.1999999999999993</v>
      </c>
      <c r="L214" s="276">
        <f>PI()/40000*K214^2</f>
        <v>6.6476100549960008E-3</v>
      </c>
      <c r="M214" s="276">
        <f t="shared" si="6"/>
        <v>0.67054812752591841</v>
      </c>
      <c r="N214" s="276">
        <f t="shared" si="7"/>
        <v>120.93946838404824</v>
      </c>
      <c r="O214" s="302">
        <f t="shared" si="8"/>
        <v>8.2007902220018192E-3</v>
      </c>
      <c r="P214" s="290">
        <v>5.0335675836048144E-2</v>
      </c>
      <c r="Q214" s="98" t="str">
        <f>IF(P214&lt;O214,"tree dies","")</f>
        <v/>
      </c>
    </row>
    <row r="215" spans="2:17" x14ac:dyDescent="0.3">
      <c r="B215" s="289">
        <v>1</v>
      </c>
      <c r="C215" s="289">
        <v>105</v>
      </c>
      <c r="D215" s="289">
        <v>5</v>
      </c>
      <c r="E215" s="289">
        <v>2</v>
      </c>
      <c r="F215" s="289">
        <v>25.5</v>
      </c>
      <c r="G215" s="289">
        <v>9</v>
      </c>
      <c r="H215" s="289">
        <v>9.15</v>
      </c>
      <c r="I215" s="289">
        <v>9.15</v>
      </c>
      <c r="J215" s="289">
        <v>0</v>
      </c>
      <c r="K215" s="276">
        <f>AVERAGE(H215:I215)</f>
        <v>9.15</v>
      </c>
      <c r="L215" s="276">
        <f>PI()/40000*K215^2</f>
        <v>6.5755497735042875E-3</v>
      </c>
      <c r="M215" s="276">
        <f t="shared" si="6"/>
        <v>0.66327936680988564</v>
      </c>
      <c r="N215" s="276">
        <f t="shared" si="7"/>
        <v>117.91156333288988</v>
      </c>
      <c r="O215" s="302">
        <f t="shared" si="8"/>
        <v>8.409611075421819E-3</v>
      </c>
      <c r="P215" s="290">
        <v>0.56770795704808352</v>
      </c>
      <c r="Q215" s="98" t="str">
        <f>IF(P215&lt;O215,"tree dies","")</f>
        <v/>
      </c>
    </row>
    <row r="216" spans="2:17" x14ac:dyDescent="0.3">
      <c r="B216" s="289">
        <v>1</v>
      </c>
      <c r="C216" s="289">
        <v>159</v>
      </c>
      <c r="D216" s="289">
        <v>7</v>
      </c>
      <c r="E216" s="289">
        <v>1</v>
      </c>
      <c r="F216" s="289">
        <v>43.5</v>
      </c>
      <c r="G216" s="289">
        <v>13</v>
      </c>
      <c r="H216" s="289">
        <v>9.15</v>
      </c>
      <c r="I216" s="289">
        <v>9.15</v>
      </c>
      <c r="J216" s="289">
        <v>0</v>
      </c>
      <c r="K216" s="276">
        <f>AVERAGE(H216:I216)</f>
        <v>9.15</v>
      </c>
      <c r="L216" s="276">
        <f>PI()/40000*K216^2</f>
        <v>6.5755497735042875E-3</v>
      </c>
      <c r="M216" s="276">
        <f t="shared" si="6"/>
        <v>0.66327936680988564</v>
      </c>
      <c r="N216" s="276">
        <f t="shared" si="7"/>
        <v>117.91156333288988</v>
      </c>
      <c r="O216" s="302">
        <f t="shared" si="8"/>
        <v>8.409611075421819E-3</v>
      </c>
      <c r="P216" s="290">
        <v>0.49081487043621452</v>
      </c>
      <c r="Q216" s="98" t="str">
        <f>IF(P216&lt;O216,"tree dies","")</f>
        <v/>
      </c>
    </row>
    <row r="217" spans="2:17" x14ac:dyDescent="0.3">
      <c r="B217" s="289">
        <v>1</v>
      </c>
      <c r="C217" s="289">
        <v>260</v>
      </c>
      <c r="D217" s="289">
        <v>11</v>
      </c>
      <c r="E217" s="289">
        <v>1</v>
      </c>
      <c r="F217" s="289">
        <v>58.5</v>
      </c>
      <c r="G217" s="289">
        <v>21</v>
      </c>
      <c r="H217" s="289">
        <v>9.15</v>
      </c>
      <c r="I217" s="289">
        <v>9.15</v>
      </c>
      <c r="J217" s="289">
        <v>0</v>
      </c>
      <c r="K217" s="276">
        <f>AVERAGE(H217:I217)</f>
        <v>9.15</v>
      </c>
      <c r="L217" s="276">
        <f>PI()/40000*K217^2</f>
        <v>6.5755497735042875E-3</v>
      </c>
      <c r="M217" s="276">
        <f t="shared" si="6"/>
        <v>0.66327936680988564</v>
      </c>
      <c r="N217" s="276">
        <f t="shared" si="7"/>
        <v>117.91156333288988</v>
      </c>
      <c r="O217" s="302">
        <f t="shared" si="8"/>
        <v>8.409611075421819E-3</v>
      </c>
      <c r="P217" s="290">
        <v>0.99643003006544029</v>
      </c>
      <c r="Q217" s="98" t="str">
        <f>IF(P217&lt;O217,"tree dies","")</f>
        <v/>
      </c>
    </row>
    <row r="218" spans="2:17" x14ac:dyDescent="0.3">
      <c r="B218" s="289">
        <v>1</v>
      </c>
      <c r="C218" s="289">
        <v>71</v>
      </c>
      <c r="D218" s="289">
        <v>3</v>
      </c>
      <c r="E218" s="289">
        <v>1</v>
      </c>
      <c r="F218" s="289">
        <v>67.5</v>
      </c>
      <c r="G218" s="289">
        <v>5</v>
      </c>
      <c r="H218" s="289">
        <v>9.1</v>
      </c>
      <c r="I218" s="289">
        <v>9.1</v>
      </c>
      <c r="J218" s="289">
        <v>0</v>
      </c>
      <c r="K218" s="276">
        <f>AVERAGE(H218:I218)</f>
        <v>9.1</v>
      </c>
      <c r="L218" s="276">
        <f>PI()/40000*K218^2</f>
        <v>6.5038821910942679E-3</v>
      </c>
      <c r="M218" s="276">
        <f t="shared" si="6"/>
        <v>0.65605021786887174</v>
      </c>
      <c r="N218" s="276">
        <f t="shared" si="7"/>
        <v>114.96645219044098</v>
      </c>
      <c r="O218" s="302">
        <f t="shared" si="8"/>
        <v>8.6231835251611155E-3</v>
      </c>
      <c r="P218" s="290">
        <v>0.59478432884095545</v>
      </c>
      <c r="Q218" s="98" t="str">
        <f>IF(P218&lt;O218,"tree dies","")</f>
        <v/>
      </c>
    </row>
    <row r="219" spans="2:17" x14ac:dyDescent="0.3">
      <c r="B219" s="289">
        <v>1</v>
      </c>
      <c r="C219" s="289">
        <v>64</v>
      </c>
      <c r="D219" s="289">
        <v>3</v>
      </c>
      <c r="E219" s="289">
        <v>1</v>
      </c>
      <c r="F219" s="289">
        <v>46.5</v>
      </c>
      <c r="G219" s="289">
        <v>5</v>
      </c>
      <c r="H219" s="289">
        <v>9.0500000000000007</v>
      </c>
      <c r="I219" s="289">
        <v>9.0500000000000007</v>
      </c>
      <c r="J219" s="289">
        <v>0</v>
      </c>
      <c r="K219" s="276">
        <f>AVERAGE(H219:I219)</f>
        <v>9.0500000000000007</v>
      </c>
      <c r="L219" s="276">
        <f>PI()/40000*K219^2</f>
        <v>6.4326073077659524E-3</v>
      </c>
      <c r="M219" s="276">
        <f t="shared" si="6"/>
        <v>0.6488606807028775</v>
      </c>
      <c r="N219" s="276">
        <f t="shared" si="7"/>
        <v>112.10171353230876</v>
      </c>
      <c r="O219" s="302">
        <f t="shared" si="8"/>
        <v>8.841599024176916E-3</v>
      </c>
      <c r="P219" s="290">
        <v>0.32057328390022033</v>
      </c>
      <c r="Q219" s="98" t="str">
        <f>IF(P219&lt;O219,"tree dies","")</f>
        <v/>
      </c>
    </row>
    <row r="220" spans="2:17" x14ac:dyDescent="0.3">
      <c r="B220" s="289">
        <v>1</v>
      </c>
      <c r="C220" s="289">
        <v>27</v>
      </c>
      <c r="D220" s="289">
        <v>2</v>
      </c>
      <c r="E220" s="289">
        <v>1</v>
      </c>
      <c r="F220" s="289">
        <v>64.5</v>
      </c>
      <c r="G220" s="289">
        <v>3</v>
      </c>
      <c r="H220" s="289">
        <v>8.9499999999999993</v>
      </c>
      <c r="I220" s="289">
        <v>8.9499999999999993</v>
      </c>
      <c r="J220" s="289">
        <v>0</v>
      </c>
      <c r="K220" s="276">
        <f>AVERAGE(H220:I220)</f>
        <v>8.9499999999999993</v>
      </c>
      <c r="L220" s="276">
        <f>PI()/40000*K220^2</f>
        <v>6.2912356383544093E-3</v>
      </c>
      <c r="M220" s="276">
        <f t="shared" si="6"/>
        <v>0.63460044169594609</v>
      </c>
      <c r="N220" s="276">
        <f t="shared" si="7"/>
        <v>106.60403993305205</v>
      </c>
      <c r="O220" s="302">
        <f t="shared" si="8"/>
        <v>9.2933313714073096E-3</v>
      </c>
      <c r="P220" s="290">
        <v>0.97380428508034833</v>
      </c>
      <c r="Q220" s="98" t="str">
        <f>IF(P220&lt;O220,"tree dies","")</f>
        <v/>
      </c>
    </row>
    <row r="221" spans="2:17" x14ac:dyDescent="0.3">
      <c r="B221" s="289">
        <v>1</v>
      </c>
      <c r="C221" s="289">
        <v>88</v>
      </c>
      <c r="D221" s="289">
        <v>4</v>
      </c>
      <c r="E221" s="289">
        <v>1</v>
      </c>
      <c r="F221" s="289">
        <v>25.5</v>
      </c>
      <c r="G221" s="289">
        <v>7</v>
      </c>
      <c r="H221" s="289">
        <v>8.9499999999999993</v>
      </c>
      <c r="I221" s="289">
        <v>8.9499999999999993</v>
      </c>
      <c r="J221" s="289">
        <v>0</v>
      </c>
      <c r="K221" s="276">
        <f>AVERAGE(H221:I221)</f>
        <v>8.9499999999999993</v>
      </c>
      <c r="L221" s="276">
        <f>PI()/40000*K221^2</f>
        <v>6.2912356383544093E-3</v>
      </c>
      <c r="M221" s="276">
        <f t="shared" si="6"/>
        <v>0.63460044169594609</v>
      </c>
      <c r="N221" s="276">
        <f t="shared" si="7"/>
        <v>106.60403993305205</v>
      </c>
      <c r="O221" s="302">
        <f t="shared" si="8"/>
        <v>9.2933313714073096E-3</v>
      </c>
      <c r="P221" s="290">
        <v>0.65122259258656223</v>
      </c>
      <c r="Q221" s="98" t="str">
        <f>IF(P221&lt;O221,"tree dies","")</f>
        <v/>
      </c>
    </row>
    <row r="222" spans="2:17" x14ac:dyDescent="0.3">
      <c r="B222" s="289">
        <v>1</v>
      </c>
      <c r="C222" s="289">
        <v>51</v>
      </c>
      <c r="D222" s="289">
        <v>3</v>
      </c>
      <c r="E222" s="289">
        <v>1</v>
      </c>
      <c r="F222" s="289">
        <v>7.5</v>
      </c>
      <c r="G222" s="289">
        <v>5</v>
      </c>
      <c r="H222" s="289">
        <v>8.8000000000000007</v>
      </c>
      <c r="I222" s="289">
        <v>8.8000000000000007</v>
      </c>
      <c r="J222" s="289">
        <v>0</v>
      </c>
      <c r="K222" s="276">
        <f>AVERAGE(H222:I222)</f>
        <v>8.8000000000000007</v>
      </c>
      <c r="L222" s="276">
        <f>PI()/40000*K222^2</f>
        <v>6.0821233773498407E-3</v>
      </c>
      <c r="M222" s="276">
        <f t="shared" si="6"/>
        <v>0.613507171498194</v>
      </c>
      <c r="N222" s="276">
        <f t="shared" si="7"/>
        <v>98.903965372163142</v>
      </c>
      <c r="O222" s="302">
        <f t="shared" si="8"/>
        <v>1.0009612694298897E-2</v>
      </c>
      <c r="P222" s="290">
        <v>0.28794108767714621</v>
      </c>
      <c r="Q222" s="98" t="str">
        <f>IF(P222&lt;O222,"tree dies","")</f>
        <v/>
      </c>
    </row>
    <row r="223" spans="2:17" x14ac:dyDescent="0.3">
      <c r="B223" s="289">
        <v>1</v>
      </c>
      <c r="C223" s="289">
        <v>230</v>
      </c>
      <c r="D223" s="289">
        <v>10</v>
      </c>
      <c r="E223" s="289">
        <v>1</v>
      </c>
      <c r="F223" s="289">
        <v>31.5</v>
      </c>
      <c r="G223" s="289">
        <v>19</v>
      </c>
      <c r="H223" s="289">
        <v>8.8000000000000007</v>
      </c>
      <c r="I223" s="289">
        <v>8.8000000000000007</v>
      </c>
      <c r="J223" s="289">
        <v>0</v>
      </c>
      <c r="K223" s="276">
        <f>AVERAGE(H223:I223)</f>
        <v>8.8000000000000007</v>
      </c>
      <c r="L223" s="276">
        <f>PI()/40000*K223^2</f>
        <v>6.0821233773498407E-3</v>
      </c>
      <c r="M223" s="276">
        <f t="shared" si="6"/>
        <v>0.613507171498194</v>
      </c>
      <c r="N223" s="276">
        <f t="shared" si="7"/>
        <v>98.903965372163142</v>
      </c>
      <c r="O223" s="302">
        <f t="shared" si="8"/>
        <v>1.0009612694298897E-2</v>
      </c>
      <c r="P223" s="290">
        <v>0.92478574221787568</v>
      </c>
      <c r="Q223" s="98" t="str">
        <f>IF(P223&lt;O223,"tree dies","")</f>
        <v/>
      </c>
    </row>
    <row r="224" spans="2:17" x14ac:dyDescent="0.3">
      <c r="B224" s="289">
        <v>1</v>
      </c>
      <c r="C224" s="289">
        <v>70</v>
      </c>
      <c r="D224" s="289">
        <v>3</v>
      </c>
      <c r="E224" s="289">
        <v>1</v>
      </c>
      <c r="F224" s="289">
        <v>64.5</v>
      </c>
      <c r="G224" s="289">
        <v>5</v>
      </c>
      <c r="H224" s="289">
        <v>8.6999999999999993</v>
      </c>
      <c r="I224" s="289">
        <v>8.6999999999999993</v>
      </c>
      <c r="J224" s="289">
        <v>0</v>
      </c>
      <c r="K224" s="276">
        <f>AVERAGE(H224:I224)</f>
        <v>8.6999999999999993</v>
      </c>
      <c r="L224" s="276">
        <f>PI()/40000*K224^2</f>
        <v>5.9446786987552847E-3</v>
      </c>
      <c r="M224" s="276">
        <f t="shared" si="6"/>
        <v>0.59964305024145514</v>
      </c>
      <c r="N224" s="276">
        <f t="shared" si="7"/>
        <v>94.110702035963726</v>
      </c>
      <c r="O224" s="302">
        <f t="shared" si="8"/>
        <v>1.0514063912827387E-2</v>
      </c>
      <c r="P224" s="290">
        <v>0.84304709635357089</v>
      </c>
      <c r="Q224" s="98" t="str">
        <f>IF(P224&lt;O224,"tree dies","")</f>
        <v/>
      </c>
    </row>
    <row r="225" spans="2:17" x14ac:dyDescent="0.3">
      <c r="B225" s="289">
        <v>1</v>
      </c>
      <c r="C225" s="289">
        <v>93</v>
      </c>
      <c r="D225" s="289">
        <v>4</v>
      </c>
      <c r="E225" s="289">
        <v>1</v>
      </c>
      <c r="F225" s="289">
        <v>10.5</v>
      </c>
      <c r="G225" s="289">
        <v>7</v>
      </c>
      <c r="H225" s="289">
        <v>8.65</v>
      </c>
      <c r="I225" s="289">
        <v>8.65</v>
      </c>
      <c r="J225" s="289">
        <v>0</v>
      </c>
      <c r="K225" s="276">
        <f>AVERAGE(H225:I225)</f>
        <v>8.65</v>
      </c>
      <c r="L225" s="276">
        <f>PI()/40000*K225^2</f>
        <v>5.8765454080805576E-3</v>
      </c>
      <c r="M225" s="276">
        <f t="shared" si="6"/>
        <v>0.59277040727561481</v>
      </c>
      <c r="N225" s="276">
        <f t="shared" si="7"/>
        <v>91.810267361748544</v>
      </c>
      <c r="O225" s="302">
        <f t="shared" si="8"/>
        <v>1.0774669962993144E-2</v>
      </c>
      <c r="P225" s="290">
        <v>0.32683886068453794</v>
      </c>
      <c r="Q225" s="98" t="str">
        <f>IF(P225&lt;O225,"tree dies","")</f>
        <v/>
      </c>
    </row>
    <row r="226" spans="2:17" x14ac:dyDescent="0.3">
      <c r="B226" s="289">
        <v>1</v>
      </c>
      <c r="C226" s="289">
        <v>191</v>
      </c>
      <c r="D226" s="289">
        <v>8</v>
      </c>
      <c r="E226" s="289">
        <v>1</v>
      </c>
      <c r="F226" s="289">
        <v>4.5</v>
      </c>
      <c r="G226" s="289">
        <v>15</v>
      </c>
      <c r="H226" s="289">
        <v>8.6</v>
      </c>
      <c r="I226" s="289">
        <v>8.6</v>
      </c>
      <c r="J226" s="289">
        <v>0</v>
      </c>
      <c r="K226" s="276">
        <f>AVERAGE(H226:I226)</f>
        <v>8.6</v>
      </c>
      <c r="L226" s="276">
        <f>PI()/40000*K226^2</f>
        <v>5.8088048164875268E-3</v>
      </c>
      <c r="M226" s="276">
        <f t="shared" si="6"/>
        <v>0.58593737608479357</v>
      </c>
      <c r="N226" s="276">
        <f t="shared" si="7"/>
        <v>89.571506932773161</v>
      </c>
      <c r="O226" s="302">
        <f t="shared" si="8"/>
        <v>1.1040999911177907E-2</v>
      </c>
      <c r="P226" s="290">
        <v>0.20261369294737253</v>
      </c>
      <c r="Q226" s="98" t="str">
        <f>IF(P226&lt;O226,"tree dies","")</f>
        <v/>
      </c>
    </row>
    <row r="227" spans="2:17" x14ac:dyDescent="0.3">
      <c r="B227" s="289">
        <v>1</v>
      </c>
      <c r="C227" s="289">
        <v>193</v>
      </c>
      <c r="D227" s="289">
        <v>9</v>
      </c>
      <c r="E227" s="289">
        <v>1</v>
      </c>
      <c r="F227" s="289">
        <v>1.5</v>
      </c>
      <c r="G227" s="289">
        <v>17</v>
      </c>
      <c r="H227" s="289">
        <v>8.6</v>
      </c>
      <c r="I227" s="289">
        <v>8.6</v>
      </c>
      <c r="J227" s="289">
        <v>0</v>
      </c>
      <c r="K227" s="276">
        <f>AVERAGE(H227:I227)</f>
        <v>8.6</v>
      </c>
      <c r="L227" s="276">
        <f>PI()/40000*K227^2</f>
        <v>5.8088048164875268E-3</v>
      </c>
      <c r="M227" s="276">
        <f t="shared" si="6"/>
        <v>0.58593737608479357</v>
      </c>
      <c r="N227" s="276">
        <f t="shared" si="7"/>
        <v>89.571506932773161</v>
      </c>
      <c r="O227" s="302">
        <f t="shared" si="8"/>
        <v>1.1040999911177907E-2</v>
      </c>
      <c r="P227" s="290">
        <v>0.50797452036553203</v>
      </c>
      <c r="Q227" s="98" t="str">
        <f>IF(P227&lt;O227,"tree dies","")</f>
        <v/>
      </c>
    </row>
    <row r="228" spans="2:17" x14ac:dyDescent="0.3">
      <c r="B228" s="289">
        <v>1</v>
      </c>
      <c r="C228" s="289">
        <v>52</v>
      </c>
      <c r="D228" s="289">
        <v>3</v>
      </c>
      <c r="E228" s="289">
        <v>1</v>
      </c>
      <c r="F228" s="289">
        <v>10.5</v>
      </c>
      <c r="G228" s="289">
        <v>5</v>
      </c>
      <c r="H228" s="289">
        <v>8.5500000000000007</v>
      </c>
      <c r="I228" s="289">
        <v>8.5500000000000007</v>
      </c>
      <c r="J228" s="289">
        <v>0</v>
      </c>
      <c r="K228" s="276">
        <f>AVERAGE(H228:I228)</f>
        <v>8.5500000000000007</v>
      </c>
      <c r="L228" s="276">
        <f>PI()/40000*K228^2</f>
        <v>5.7414569239761966E-3</v>
      </c>
      <c r="M228" s="276">
        <f t="shared" si="6"/>
        <v>0.57914395666899177</v>
      </c>
      <c r="N228" s="276">
        <f t="shared" si="7"/>
        <v>87.392648079595318</v>
      </c>
      <c r="O228" s="302">
        <f t="shared" si="8"/>
        <v>1.1313158070561768E-2</v>
      </c>
      <c r="P228" s="290">
        <v>0.65451172863791385</v>
      </c>
      <c r="Q228" s="98" t="str">
        <f>IF(P228&lt;O228,"tree dies","")</f>
        <v/>
      </c>
    </row>
    <row r="229" spans="2:17" x14ac:dyDescent="0.3">
      <c r="B229" s="289">
        <v>1</v>
      </c>
      <c r="C229" s="289">
        <v>85</v>
      </c>
      <c r="D229" s="289">
        <v>4</v>
      </c>
      <c r="E229" s="289">
        <v>1</v>
      </c>
      <c r="F229" s="289">
        <v>34.5</v>
      </c>
      <c r="G229" s="289">
        <v>7</v>
      </c>
      <c r="H229" s="289">
        <v>8.5500000000000007</v>
      </c>
      <c r="I229" s="289">
        <v>8.5500000000000007</v>
      </c>
      <c r="J229" s="289">
        <v>0</v>
      </c>
      <c r="K229" s="276">
        <f>AVERAGE(H229:I229)</f>
        <v>8.5500000000000007</v>
      </c>
      <c r="L229" s="276">
        <f>PI()/40000*K229^2</f>
        <v>5.7414569239761966E-3</v>
      </c>
      <c r="M229" s="276">
        <f t="shared" si="6"/>
        <v>0.57914395666899177</v>
      </c>
      <c r="N229" s="276">
        <f t="shared" si="7"/>
        <v>87.392648079595318</v>
      </c>
      <c r="O229" s="302">
        <f t="shared" si="8"/>
        <v>1.1313158070561768E-2</v>
      </c>
      <c r="P229" s="290">
        <v>0.8786201141834723</v>
      </c>
      <c r="Q229" s="98" t="str">
        <f>IF(P229&lt;O229,"tree dies","")</f>
        <v/>
      </c>
    </row>
    <row r="230" spans="2:17" x14ac:dyDescent="0.3">
      <c r="B230" s="289">
        <v>1</v>
      </c>
      <c r="C230" s="289">
        <v>156</v>
      </c>
      <c r="D230" s="289">
        <v>7</v>
      </c>
      <c r="E230" s="289">
        <v>1</v>
      </c>
      <c r="F230" s="289">
        <v>34.5</v>
      </c>
      <c r="G230" s="289">
        <v>13</v>
      </c>
      <c r="H230" s="289">
        <v>8.4499999999999993</v>
      </c>
      <c r="I230" s="289">
        <v>8.4499999999999993</v>
      </c>
      <c r="J230" s="289">
        <v>0</v>
      </c>
      <c r="K230" s="276">
        <f>AVERAGE(H230:I230)</f>
        <v>8.4499999999999993</v>
      </c>
      <c r="L230" s="276">
        <f>PI()/40000*K230^2</f>
        <v>5.6079392361986294E-3</v>
      </c>
      <c r="M230" s="276">
        <f t="shared" si="6"/>
        <v>0.56567595316244557</v>
      </c>
      <c r="N230" s="276">
        <f t="shared" si="7"/>
        <v>83.207812500224222</v>
      </c>
      <c r="O230" s="302">
        <f t="shared" si="8"/>
        <v>1.1875382702731252E-2</v>
      </c>
      <c r="P230" s="290">
        <v>0.86700509924897196</v>
      </c>
      <c r="Q230" s="98" t="str">
        <f>IF(P230&lt;O230,"tree dies","")</f>
        <v/>
      </c>
    </row>
    <row r="231" spans="2:17" x14ac:dyDescent="0.3">
      <c r="B231" s="289">
        <v>1</v>
      </c>
      <c r="C231" s="289">
        <v>237</v>
      </c>
      <c r="D231" s="289">
        <v>10</v>
      </c>
      <c r="E231" s="289">
        <v>1</v>
      </c>
      <c r="F231" s="289">
        <v>10.5</v>
      </c>
      <c r="G231" s="289">
        <v>19</v>
      </c>
      <c r="H231" s="289">
        <v>8.4499999999999993</v>
      </c>
      <c r="I231" s="289">
        <v>8.4499999999999993</v>
      </c>
      <c r="J231" s="289">
        <v>0</v>
      </c>
      <c r="K231" s="276">
        <f>AVERAGE(H231:I231)</f>
        <v>8.4499999999999993</v>
      </c>
      <c r="L231" s="276">
        <f>PI()/40000*K231^2</f>
        <v>5.6079392361986294E-3</v>
      </c>
      <c r="M231" s="276">
        <f t="shared" si="6"/>
        <v>0.56567595316244557</v>
      </c>
      <c r="N231" s="276">
        <f t="shared" si="7"/>
        <v>83.207812500224222</v>
      </c>
      <c r="O231" s="302">
        <f t="shared" si="8"/>
        <v>1.1875382702731252E-2</v>
      </c>
      <c r="P231" s="290">
        <v>0.46819020702188907</v>
      </c>
      <c r="Q231" s="98" t="str">
        <f>IF(P231&lt;O231,"tree dies","")</f>
        <v/>
      </c>
    </row>
    <row r="232" spans="2:17" x14ac:dyDescent="0.3">
      <c r="B232" s="289">
        <v>1</v>
      </c>
      <c r="C232" s="289">
        <v>63</v>
      </c>
      <c r="D232" s="289">
        <v>3</v>
      </c>
      <c r="E232" s="289">
        <v>1</v>
      </c>
      <c r="F232" s="289">
        <v>43.5</v>
      </c>
      <c r="G232" s="289">
        <v>5</v>
      </c>
      <c r="H232" s="289">
        <v>8.4</v>
      </c>
      <c r="I232" s="289">
        <v>8.4</v>
      </c>
      <c r="J232" s="289">
        <v>0</v>
      </c>
      <c r="K232" s="276">
        <f>AVERAGE(H232:I232)</f>
        <v>8.4</v>
      </c>
      <c r="L232" s="276">
        <f>PI()/40000*K232^2</f>
        <v>5.541769440932395E-3</v>
      </c>
      <c r="M232" s="276">
        <f t="shared" si="6"/>
        <v>0.55900136907170139</v>
      </c>
      <c r="N232" s="276">
        <f t="shared" si="7"/>
        <v>81.198553394209455</v>
      </c>
      <c r="O232" s="302">
        <f t="shared" si="8"/>
        <v>1.2165664220441741E-2</v>
      </c>
      <c r="P232" s="290">
        <v>0.75838356615969105</v>
      </c>
      <c r="Q232" s="98" t="str">
        <f>IF(P232&lt;O232,"tree dies","")</f>
        <v/>
      </c>
    </row>
    <row r="233" spans="2:17" x14ac:dyDescent="0.3">
      <c r="B233" s="289">
        <v>1</v>
      </c>
      <c r="C233" s="289">
        <v>148</v>
      </c>
      <c r="D233" s="289">
        <v>7</v>
      </c>
      <c r="E233" s="289">
        <v>1</v>
      </c>
      <c r="F233" s="289">
        <v>10.5</v>
      </c>
      <c r="G233" s="289">
        <v>13</v>
      </c>
      <c r="H233" s="289">
        <v>8.4</v>
      </c>
      <c r="I233" s="289">
        <v>8.4</v>
      </c>
      <c r="J233" s="289">
        <v>0</v>
      </c>
      <c r="K233" s="276">
        <f>AVERAGE(H233:I233)</f>
        <v>8.4</v>
      </c>
      <c r="L233" s="276">
        <f>PI()/40000*K233^2</f>
        <v>5.541769440932395E-3</v>
      </c>
      <c r="M233" s="276">
        <f t="shared" si="6"/>
        <v>0.55900136907170139</v>
      </c>
      <c r="N233" s="276">
        <f t="shared" si="7"/>
        <v>81.198553394209455</v>
      </c>
      <c r="O233" s="302">
        <f t="shared" si="8"/>
        <v>1.2165664220441741E-2</v>
      </c>
      <c r="P233" s="290">
        <v>0.62738207897379861</v>
      </c>
      <c r="Q233" s="98" t="str">
        <f>IF(P233&lt;O233,"tree dies","")</f>
        <v/>
      </c>
    </row>
    <row r="234" spans="2:17" x14ac:dyDescent="0.3">
      <c r="B234" s="289">
        <v>1</v>
      </c>
      <c r="C234" s="289">
        <v>209</v>
      </c>
      <c r="D234" s="289">
        <v>9</v>
      </c>
      <c r="E234" s="289">
        <v>1</v>
      </c>
      <c r="F234" s="289">
        <v>49.5</v>
      </c>
      <c r="G234" s="289">
        <v>17</v>
      </c>
      <c r="H234" s="289">
        <v>8.25</v>
      </c>
      <c r="I234" s="289">
        <v>8.25</v>
      </c>
      <c r="J234" s="289">
        <v>0</v>
      </c>
      <c r="K234" s="276">
        <f>AVERAGE(H234:I234)</f>
        <v>8.25</v>
      </c>
      <c r="L234" s="276">
        <f>PI()/40000*K234^2</f>
        <v>5.3456162496238824E-3</v>
      </c>
      <c r="M234" s="276">
        <f t="shared" si="6"/>
        <v>0.53921528744958447</v>
      </c>
      <c r="N234" s="276">
        <f t="shared" si="7"/>
        <v>75.484744969728226</v>
      </c>
      <c r="O234" s="302">
        <f t="shared" si="8"/>
        <v>1.3074502639654373E-2</v>
      </c>
      <c r="P234" s="290">
        <v>0.58440822440115969</v>
      </c>
      <c r="Q234" s="98" t="str">
        <f>IF(P234&lt;O234,"tree dies","")</f>
        <v/>
      </c>
    </row>
    <row r="235" spans="2:17" x14ac:dyDescent="0.3">
      <c r="B235" s="289">
        <v>1</v>
      </c>
      <c r="C235" s="289">
        <v>205</v>
      </c>
      <c r="D235" s="289">
        <v>9</v>
      </c>
      <c r="E235" s="289">
        <v>1</v>
      </c>
      <c r="F235" s="289">
        <v>37.5</v>
      </c>
      <c r="G235" s="289">
        <v>17</v>
      </c>
      <c r="H235" s="289">
        <v>8.1999999999999993</v>
      </c>
      <c r="I235" s="289">
        <v>8.1999999999999993</v>
      </c>
      <c r="J235" s="289">
        <v>0</v>
      </c>
      <c r="K235" s="276">
        <f>AVERAGE(H235:I235)</f>
        <v>8.1999999999999993</v>
      </c>
      <c r="L235" s="276">
        <f>PI()/40000*K235^2</f>
        <v>5.2810172506844418E-3</v>
      </c>
      <c r="M235" s="276">
        <f t="shared" ref="M235:M298" si="9">L235/$N$39</f>
        <v>0.53269915045891725</v>
      </c>
      <c r="N235" s="276">
        <f t="shared" ref="N235:N298" si="10">EXP($D$30+$D$31*$L$39+$D$32*M235+$D$33*K235)</f>
        <v>73.679884791656818</v>
      </c>
      <c r="O235" s="302">
        <f t="shared" ref="O235:O282" si="11">1-(N235/(1+N235))</f>
        <v>1.3390486645631805E-2</v>
      </c>
      <c r="P235" s="290">
        <v>4.4928929206662693E-2</v>
      </c>
      <c r="Q235" s="98" t="str">
        <f>IF(P235&lt;O235,"tree dies","")</f>
        <v/>
      </c>
    </row>
    <row r="236" spans="2:17" x14ac:dyDescent="0.3">
      <c r="B236" s="289">
        <v>1</v>
      </c>
      <c r="C236" s="289">
        <v>87</v>
      </c>
      <c r="D236" s="289">
        <v>4</v>
      </c>
      <c r="E236" s="289">
        <v>1</v>
      </c>
      <c r="F236" s="289">
        <v>28.5</v>
      </c>
      <c r="G236" s="289">
        <v>7</v>
      </c>
      <c r="H236" s="289">
        <v>8.1</v>
      </c>
      <c r="I236" s="289">
        <v>8.1</v>
      </c>
      <c r="J236" s="289">
        <v>0</v>
      </c>
      <c r="K236" s="276">
        <f>AVERAGE(H236:I236)</f>
        <v>8.1</v>
      </c>
      <c r="L236" s="276">
        <f>PI()/40000*K236^2</f>
        <v>5.152997350050658E-3</v>
      </c>
      <c r="M236" s="276">
        <f t="shared" si="9"/>
        <v>0.51978571180264077</v>
      </c>
      <c r="N236" s="276">
        <f t="shared" si="10"/>
        <v>70.211394552026263</v>
      </c>
      <c r="O236" s="302">
        <f t="shared" si="11"/>
        <v>1.4042696485453754E-2</v>
      </c>
      <c r="P236" s="290">
        <v>0.69325459448926519</v>
      </c>
      <c r="Q236" s="98" t="str">
        <f>IF(P236&lt;O236,"tree dies","")</f>
        <v/>
      </c>
    </row>
    <row r="237" spans="2:17" x14ac:dyDescent="0.3">
      <c r="B237" s="289">
        <v>1</v>
      </c>
      <c r="C237" s="289">
        <v>123</v>
      </c>
      <c r="D237" s="289">
        <v>6</v>
      </c>
      <c r="E237" s="289">
        <v>2</v>
      </c>
      <c r="F237" s="289">
        <v>64.5</v>
      </c>
      <c r="G237" s="289">
        <v>11</v>
      </c>
      <c r="H237" s="289">
        <v>8.1</v>
      </c>
      <c r="I237" s="289">
        <v>8.1</v>
      </c>
      <c r="J237" s="289">
        <v>0</v>
      </c>
      <c r="K237" s="276">
        <f>AVERAGE(H237:I237)</f>
        <v>8.1</v>
      </c>
      <c r="L237" s="276">
        <f>PI()/40000*K237^2</f>
        <v>5.152997350050658E-3</v>
      </c>
      <c r="M237" s="276">
        <f t="shared" si="9"/>
        <v>0.51978571180264077</v>
      </c>
      <c r="N237" s="276">
        <f t="shared" si="10"/>
        <v>70.211394552026263</v>
      </c>
      <c r="O237" s="302">
        <f t="shared" si="11"/>
        <v>1.4042696485453754E-2</v>
      </c>
      <c r="P237" s="290">
        <v>0.84938577144650029</v>
      </c>
      <c r="Q237" s="98" t="str">
        <f>IF(P237&lt;O237,"tree dies","")</f>
        <v/>
      </c>
    </row>
    <row r="238" spans="2:17" x14ac:dyDescent="0.3">
      <c r="B238" s="289">
        <v>1</v>
      </c>
      <c r="C238" s="289">
        <v>8</v>
      </c>
      <c r="D238" s="289">
        <v>1</v>
      </c>
      <c r="E238" s="289">
        <v>1</v>
      </c>
      <c r="F238" s="289">
        <v>22.5</v>
      </c>
      <c r="G238" s="289">
        <v>1</v>
      </c>
      <c r="H238" s="289">
        <v>7.9</v>
      </c>
      <c r="I238" s="289">
        <v>7.9</v>
      </c>
      <c r="J238" s="289">
        <v>0</v>
      </c>
      <c r="K238" s="276">
        <f>AVERAGE(H238:I238)</f>
        <v>7.9</v>
      </c>
      <c r="L238" s="276">
        <f>PI()/40000*K238^2</f>
        <v>4.9016699377634754E-3</v>
      </c>
      <c r="M238" s="276">
        <f t="shared" si="9"/>
        <v>0.49443417579031873</v>
      </c>
      <c r="N238" s="276">
        <f t="shared" si="10"/>
        <v>63.803073117273527</v>
      </c>
      <c r="O238" s="302">
        <f t="shared" si="11"/>
        <v>1.5431366938267077E-2</v>
      </c>
      <c r="P238" s="290">
        <v>0.18414417624813317</v>
      </c>
      <c r="Q238" s="98" t="str">
        <f>IF(P238&lt;O238,"tree dies","")</f>
        <v/>
      </c>
    </row>
    <row r="239" spans="2:17" x14ac:dyDescent="0.3">
      <c r="B239" s="289">
        <v>1</v>
      </c>
      <c r="C239" s="289">
        <v>19</v>
      </c>
      <c r="D239" s="289">
        <v>1</v>
      </c>
      <c r="E239" s="289">
        <v>1</v>
      </c>
      <c r="F239" s="289">
        <v>55.5</v>
      </c>
      <c r="G239" s="289">
        <v>1</v>
      </c>
      <c r="H239" s="289">
        <v>7.7</v>
      </c>
      <c r="I239" s="289">
        <v>7.7</v>
      </c>
      <c r="J239" s="289">
        <v>0</v>
      </c>
      <c r="K239" s="276">
        <f>AVERAGE(H239:I239)</f>
        <v>7.7</v>
      </c>
      <c r="L239" s="276">
        <f>PI()/40000*K239^2</f>
        <v>4.6566257107834713E-3</v>
      </c>
      <c r="M239" s="276">
        <f t="shared" si="9"/>
        <v>0.46971642817830472</v>
      </c>
      <c r="N239" s="276">
        <f t="shared" si="10"/>
        <v>58.03604786130952</v>
      </c>
      <c r="O239" s="302">
        <f t="shared" si="11"/>
        <v>1.6938803260496904E-2</v>
      </c>
      <c r="P239" s="290">
        <v>3.3242880643563955E-2</v>
      </c>
      <c r="Q239" s="98" t="str">
        <f>IF(P239&lt;O239,"tree dies","")</f>
        <v/>
      </c>
    </row>
    <row r="240" spans="2:17" x14ac:dyDescent="0.3">
      <c r="B240" s="289">
        <v>1</v>
      </c>
      <c r="C240" s="289">
        <v>117</v>
      </c>
      <c r="D240" s="289">
        <v>5</v>
      </c>
      <c r="E240" s="289">
        <v>2</v>
      </c>
      <c r="F240" s="289">
        <v>61.5</v>
      </c>
      <c r="G240" s="289">
        <v>9</v>
      </c>
      <c r="H240" s="289">
        <v>7.65</v>
      </c>
      <c r="I240" s="289">
        <v>7.65</v>
      </c>
      <c r="J240" s="289">
        <v>0</v>
      </c>
      <c r="K240" s="276">
        <f>AVERAGE(H240:I240)</f>
        <v>7.65</v>
      </c>
      <c r="L240" s="276">
        <f>PI()/40000*K240^2</f>
        <v>4.5963464017427175E-3</v>
      </c>
      <c r="M240" s="276">
        <f t="shared" si="9"/>
        <v>0.46363602071284937</v>
      </c>
      <c r="N240" s="276">
        <f t="shared" si="10"/>
        <v>56.686267593636138</v>
      </c>
      <c r="O240" s="302">
        <f t="shared" si="11"/>
        <v>1.7335148237434539E-2</v>
      </c>
      <c r="P240" s="290">
        <v>0.62516511115058371</v>
      </c>
      <c r="Q240" s="98" t="str">
        <f>IF(P240&lt;O240,"tree dies","")</f>
        <v/>
      </c>
    </row>
    <row r="241" spans="2:17" x14ac:dyDescent="0.3">
      <c r="B241" s="289">
        <v>1</v>
      </c>
      <c r="C241" s="289">
        <v>151</v>
      </c>
      <c r="D241" s="289">
        <v>7</v>
      </c>
      <c r="E241" s="289">
        <v>2</v>
      </c>
      <c r="F241" s="289">
        <v>19.5</v>
      </c>
      <c r="G241" s="289">
        <v>13</v>
      </c>
      <c r="H241" s="289">
        <v>7.65</v>
      </c>
      <c r="I241" s="289">
        <v>7.65</v>
      </c>
      <c r="J241" s="289">
        <v>0</v>
      </c>
      <c r="K241" s="276">
        <f>AVERAGE(H241:I241)</f>
        <v>7.65</v>
      </c>
      <c r="L241" s="276">
        <f>PI()/40000*K241^2</f>
        <v>4.5963464017427175E-3</v>
      </c>
      <c r="M241" s="276">
        <f t="shared" si="9"/>
        <v>0.46363602071284937</v>
      </c>
      <c r="N241" s="276">
        <f t="shared" si="10"/>
        <v>56.686267593636138</v>
      </c>
      <c r="O241" s="302">
        <f t="shared" si="11"/>
        <v>1.7335148237434539E-2</v>
      </c>
      <c r="P241" s="290">
        <v>0.67018446121900821</v>
      </c>
      <c r="Q241" s="98" t="str">
        <f>IF(P241&lt;O241,"tree dies","")</f>
        <v/>
      </c>
    </row>
    <row r="242" spans="2:17" x14ac:dyDescent="0.3">
      <c r="B242" s="289">
        <v>1</v>
      </c>
      <c r="C242" s="289">
        <v>128</v>
      </c>
      <c r="D242" s="289">
        <v>6</v>
      </c>
      <c r="E242" s="289">
        <v>1</v>
      </c>
      <c r="F242" s="289">
        <v>49.5</v>
      </c>
      <c r="G242" s="289">
        <v>11</v>
      </c>
      <c r="H242" s="289">
        <v>7.6</v>
      </c>
      <c r="I242" s="289">
        <v>7.6</v>
      </c>
      <c r="J242" s="289">
        <v>0</v>
      </c>
      <c r="K242" s="276">
        <f>AVERAGE(H242:I242)</f>
        <v>7.6</v>
      </c>
      <c r="L242" s="276">
        <f>PI()/40000*K242^2</f>
        <v>4.5364597917836608E-3</v>
      </c>
      <c r="M242" s="276">
        <f t="shared" si="9"/>
        <v>0.45759522502241318</v>
      </c>
      <c r="N242" s="276">
        <f t="shared" si="10"/>
        <v>55.371244502365137</v>
      </c>
      <c r="O242" s="302">
        <f t="shared" si="11"/>
        <v>1.7739540945526655E-2</v>
      </c>
      <c r="P242" s="290">
        <v>0.15982430074690568</v>
      </c>
      <c r="Q242" s="98" t="str">
        <f>IF(P242&lt;O242,"tree dies","")</f>
        <v/>
      </c>
    </row>
    <row r="243" spans="2:17" x14ac:dyDescent="0.3">
      <c r="B243" s="289">
        <v>1</v>
      </c>
      <c r="C243" s="289">
        <v>217</v>
      </c>
      <c r="D243" s="289">
        <v>10</v>
      </c>
      <c r="E243" s="289">
        <v>1</v>
      </c>
      <c r="F243" s="289">
        <v>70.5</v>
      </c>
      <c r="G243" s="289">
        <v>19</v>
      </c>
      <c r="H243" s="289">
        <v>7.55</v>
      </c>
      <c r="I243" s="289">
        <v>7.55</v>
      </c>
      <c r="J243" s="289">
        <v>0</v>
      </c>
      <c r="K243" s="276">
        <f>AVERAGE(H243:I243)</f>
        <v>7.55</v>
      </c>
      <c r="L243" s="276">
        <f>PI()/40000*K243^2</f>
        <v>4.4769658809063039E-3</v>
      </c>
      <c r="M243" s="276">
        <f t="shared" si="9"/>
        <v>0.45159404110699625</v>
      </c>
      <c r="N243" s="276">
        <f t="shared" si="10"/>
        <v>54.090014316840346</v>
      </c>
      <c r="O243" s="302">
        <f t="shared" si="11"/>
        <v>1.8152110003977873E-2</v>
      </c>
      <c r="P243" s="290">
        <v>0.86591018429947519</v>
      </c>
      <c r="Q243" s="98" t="str">
        <f>IF(P243&lt;O243,"tree dies","")</f>
        <v/>
      </c>
    </row>
    <row r="244" spans="2:17" x14ac:dyDescent="0.3">
      <c r="B244" s="289">
        <v>1</v>
      </c>
      <c r="C244" s="289">
        <v>220</v>
      </c>
      <c r="D244" s="289">
        <v>10</v>
      </c>
      <c r="E244" s="289">
        <v>1</v>
      </c>
      <c r="F244" s="289">
        <v>61.5</v>
      </c>
      <c r="G244" s="289">
        <v>19</v>
      </c>
      <c r="H244" s="289">
        <v>7.55</v>
      </c>
      <c r="I244" s="289">
        <v>7.55</v>
      </c>
      <c r="J244" s="289">
        <v>0</v>
      </c>
      <c r="K244" s="276">
        <f>AVERAGE(H244:I244)</f>
        <v>7.55</v>
      </c>
      <c r="L244" s="276">
        <f>PI()/40000*K244^2</f>
        <v>4.4769658809063039E-3</v>
      </c>
      <c r="M244" s="276">
        <f t="shared" si="9"/>
        <v>0.45159404110699625</v>
      </c>
      <c r="N244" s="276">
        <f t="shared" si="10"/>
        <v>54.090014316840346</v>
      </c>
      <c r="O244" s="302">
        <f t="shared" si="11"/>
        <v>1.8152110003977873E-2</v>
      </c>
      <c r="P244" s="290">
        <v>0.13420633970075058</v>
      </c>
      <c r="Q244" s="98" t="str">
        <f>IF(P244&lt;O244,"tree dies","")</f>
        <v/>
      </c>
    </row>
    <row r="245" spans="2:17" x14ac:dyDescent="0.3">
      <c r="B245" s="289">
        <v>1</v>
      </c>
      <c r="C245" s="289">
        <v>44</v>
      </c>
      <c r="D245" s="289">
        <v>2</v>
      </c>
      <c r="E245" s="289">
        <v>1</v>
      </c>
      <c r="F245" s="289">
        <v>13.5</v>
      </c>
      <c r="G245" s="289">
        <v>3</v>
      </c>
      <c r="H245" s="289">
        <v>7.3</v>
      </c>
      <c r="I245" s="289">
        <v>7.3</v>
      </c>
      <c r="J245" s="289">
        <v>0</v>
      </c>
      <c r="K245" s="276">
        <f>AVERAGE(H245:I245)</f>
        <v>7.3</v>
      </c>
      <c r="L245" s="276">
        <f>PI()/40000*K245^2</f>
        <v>4.1853868127450016E-3</v>
      </c>
      <c r="M245" s="276">
        <f t="shared" si="9"/>
        <v>0.42218229815520081</v>
      </c>
      <c r="N245" s="276">
        <f t="shared" si="10"/>
        <v>48.158948961860034</v>
      </c>
      <c r="O245" s="302">
        <f t="shared" si="11"/>
        <v>2.0342176167676973E-2</v>
      </c>
      <c r="P245" s="290">
        <v>0.91109561791457183</v>
      </c>
      <c r="Q245" s="98" t="str">
        <f>IF(P245&lt;O245,"tree dies","")</f>
        <v/>
      </c>
    </row>
    <row r="246" spans="2:17" x14ac:dyDescent="0.3">
      <c r="B246" s="289">
        <v>1</v>
      </c>
      <c r="C246" s="289">
        <v>45</v>
      </c>
      <c r="D246" s="289">
        <v>2</v>
      </c>
      <c r="E246" s="289">
        <v>1</v>
      </c>
      <c r="F246" s="289">
        <v>10.5</v>
      </c>
      <c r="G246" s="289">
        <v>3</v>
      </c>
      <c r="H246" s="289">
        <v>7.3</v>
      </c>
      <c r="I246" s="289">
        <v>7.3</v>
      </c>
      <c r="J246" s="289">
        <v>0</v>
      </c>
      <c r="K246" s="276">
        <f>AVERAGE(H246:I246)</f>
        <v>7.3</v>
      </c>
      <c r="L246" s="276">
        <f>PI()/40000*K246^2</f>
        <v>4.1853868127450016E-3</v>
      </c>
      <c r="M246" s="276">
        <f t="shared" si="9"/>
        <v>0.42218229815520081</v>
      </c>
      <c r="N246" s="276">
        <f t="shared" si="10"/>
        <v>48.158948961860034</v>
      </c>
      <c r="O246" s="302">
        <f t="shared" si="11"/>
        <v>2.0342176167676973E-2</v>
      </c>
      <c r="P246" s="290">
        <v>0.85017480991732142</v>
      </c>
      <c r="Q246" s="98" t="str">
        <f>IF(P246&lt;O246,"tree dies","")</f>
        <v/>
      </c>
    </row>
    <row r="247" spans="2:17" x14ac:dyDescent="0.3">
      <c r="B247" s="289">
        <v>1</v>
      </c>
      <c r="C247" s="289">
        <v>68</v>
      </c>
      <c r="D247" s="289">
        <v>3</v>
      </c>
      <c r="E247" s="289">
        <v>1</v>
      </c>
      <c r="F247" s="289">
        <v>58.5</v>
      </c>
      <c r="G247" s="289">
        <v>5</v>
      </c>
      <c r="H247" s="289">
        <v>7.2</v>
      </c>
      <c r="I247" s="289">
        <v>7.2</v>
      </c>
      <c r="J247" s="289">
        <v>0</v>
      </c>
      <c r="K247" s="276">
        <f>AVERAGE(H247:I247)</f>
        <v>7.2</v>
      </c>
      <c r="L247" s="276">
        <f>PI()/40000*K247^2</f>
        <v>4.0715040790523724E-3</v>
      </c>
      <c r="M247" s="276">
        <f t="shared" si="9"/>
        <v>0.41069488339961746</v>
      </c>
      <c r="N247" s="276">
        <f t="shared" si="10"/>
        <v>45.99235939782686</v>
      </c>
      <c r="O247" s="302">
        <f t="shared" si="11"/>
        <v>2.1280055158206079E-2</v>
      </c>
      <c r="P247" s="290">
        <v>9.1620594166399671E-2</v>
      </c>
      <c r="Q247" s="98" t="str">
        <f>IF(P247&lt;O247,"tree dies","")</f>
        <v/>
      </c>
    </row>
    <row r="248" spans="2:17" x14ac:dyDescent="0.3">
      <c r="B248" s="289">
        <v>1</v>
      </c>
      <c r="C248" s="289">
        <v>53</v>
      </c>
      <c r="D248" s="289">
        <v>3</v>
      </c>
      <c r="E248" s="289">
        <v>1</v>
      </c>
      <c r="F248" s="289">
        <v>13.5</v>
      </c>
      <c r="G248" s="289">
        <v>5</v>
      </c>
      <c r="H248" s="289">
        <v>7.1</v>
      </c>
      <c r="I248" s="289">
        <v>7.1</v>
      </c>
      <c r="J248" s="289">
        <v>0</v>
      </c>
      <c r="K248" s="276">
        <f>AVERAGE(H248:I248)</f>
        <v>7.1</v>
      </c>
      <c r="L248" s="276">
        <f>PI()/40000*K248^2</f>
        <v>3.9591921416865369E-3</v>
      </c>
      <c r="M248" s="276">
        <f t="shared" si="9"/>
        <v>0.39936591574411096</v>
      </c>
      <c r="N248" s="276">
        <f t="shared" si="10"/>
        <v>43.933918215624637</v>
      </c>
      <c r="O248" s="302">
        <f t="shared" si="11"/>
        <v>2.2254903193647535E-2</v>
      </c>
      <c r="P248" s="290">
        <v>0.23717728017509632</v>
      </c>
      <c r="Q248" s="98" t="str">
        <f>IF(P248&lt;O248,"tree dies","")</f>
        <v/>
      </c>
    </row>
    <row r="249" spans="2:17" x14ac:dyDescent="0.3">
      <c r="B249" s="289">
        <v>1</v>
      </c>
      <c r="C249" s="289">
        <v>176</v>
      </c>
      <c r="D249" s="289">
        <v>8</v>
      </c>
      <c r="E249" s="289">
        <v>1</v>
      </c>
      <c r="F249" s="289">
        <v>49.5</v>
      </c>
      <c r="G249" s="289">
        <v>15</v>
      </c>
      <c r="H249" s="289">
        <v>7.05</v>
      </c>
      <c r="I249" s="289">
        <v>7.05</v>
      </c>
      <c r="J249" s="289">
        <v>0</v>
      </c>
      <c r="K249" s="276">
        <f>AVERAGE(H249:I249)</f>
        <v>7.05</v>
      </c>
      <c r="L249" s="276">
        <f>PI()/40000*K249^2</f>
        <v>3.9036252216261675E-3</v>
      </c>
      <c r="M249" s="276">
        <f t="shared" si="9"/>
        <v>0.39376084957888663</v>
      </c>
      <c r="N249" s="276">
        <f t="shared" si="10"/>
        <v>42.943421694888919</v>
      </c>
      <c r="O249" s="302">
        <f t="shared" si="11"/>
        <v>2.2756534685516083E-2</v>
      </c>
      <c r="P249" s="290">
        <v>0.37456527818819541</v>
      </c>
      <c r="Q249" s="98" t="str">
        <f>IF(P249&lt;O249,"tree dies","")</f>
        <v/>
      </c>
    </row>
    <row r="250" spans="2:17" x14ac:dyDescent="0.3">
      <c r="B250" s="289">
        <v>1</v>
      </c>
      <c r="C250" s="289">
        <v>226</v>
      </c>
      <c r="D250" s="289">
        <v>10</v>
      </c>
      <c r="E250" s="289">
        <v>1</v>
      </c>
      <c r="F250" s="289">
        <v>43.5</v>
      </c>
      <c r="G250" s="289">
        <v>19</v>
      </c>
      <c r="H250" s="289">
        <v>6.9</v>
      </c>
      <c r="I250" s="289">
        <v>6.9</v>
      </c>
      <c r="J250" s="289">
        <v>0</v>
      </c>
      <c r="K250" s="276">
        <f>AVERAGE(H250:I250)</f>
        <v>6.9</v>
      </c>
      <c r="L250" s="276">
        <f>PI()/40000*K250^2</f>
        <v>3.7392806559352516E-3</v>
      </c>
      <c r="M250" s="276">
        <f t="shared" si="9"/>
        <v>0.37718332173332919</v>
      </c>
      <c r="N250" s="276">
        <f t="shared" si="10"/>
        <v>40.118539014912173</v>
      </c>
      <c r="O250" s="302">
        <f t="shared" si="11"/>
        <v>2.4319930229946607E-2</v>
      </c>
      <c r="P250" s="290">
        <v>0.56924385722606308</v>
      </c>
      <c r="Q250" s="98" t="str">
        <f>IF(P250&lt;O250,"tree dies","")</f>
        <v/>
      </c>
    </row>
    <row r="251" spans="2:17" x14ac:dyDescent="0.3">
      <c r="B251" s="289">
        <v>1</v>
      </c>
      <c r="C251" s="289">
        <v>229</v>
      </c>
      <c r="D251" s="289">
        <v>10</v>
      </c>
      <c r="E251" s="289">
        <v>1</v>
      </c>
      <c r="F251" s="289">
        <v>34.5</v>
      </c>
      <c r="G251" s="289">
        <v>19</v>
      </c>
      <c r="H251" s="289">
        <v>6.8</v>
      </c>
      <c r="I251" s="289">
        <v>6.8</v>
      </c>
      <c r="J251" s="289">
        <v>0</v>
      </c>
      <c r="K251" s="276">
        <f>AVERAGE(H251:I251)</f>
        <v>6.8</v>
      </c>
      <c r="L251" s="276">
        <f>PI()/40000*K251^2</f>
        <v>3.6316811075498005E-3</v>
      </c>
      <c r="M251" s="276">
        <f t="shared" si="9"/>
        <v>0.36632969537805377</v>
      </c>
      <c r="N251" s="276">
        <f t="shared" si="10"/>
        <v>38.350941749785527</v>
      </c>
      <c r="O251" s="302">
        <f t="shared" si="11"/>
        <v>2.5412352424969642E-2</v>
      </c>
      <c r="P251" s="290">
        <v>0.14803476009336525</v>
      </c>
      <c r="Q251" s="98" t="str">
        <f>IF(P251&lt;O251,"tree dies","")</f>
        <v/>
      </c>
    </row>
    <row r="252" spans="2:17" x14ac:dyDescent="0.3">
      <c r="B252" s="289">
        <v>1</v>
      </c>
      <c r="C252" s="289">
        <v>251</v>
      </c>
      <c r="D252" s="289">
        <v>11</v>
      </c>
      <c r="E252" s="289">
        <v>1</v>
      </c>
      <c r="F252" s="289">
        <v>31.5</v>
      </c>
      <c r="G252" s="289">
        <v>21</v>
      </c>
      <c r="H252" s="289">
        <v>6.8</v>
      </c>
      <c r="I252" s="289">
        <v>6.8</v>
      </c>
      <c r="J252" s="289">
        <v>0</v>
      </c>
      <c r="K252" s="276">
        <f>AVERAGE(H252:I252)</f>
        <v>6.8</v>
      </c>
      <c r="L252" s="276">
        <f>PI()/40000*K252^2</f>
        <v>3.6316811075498005E-3</v>
      </c>
      <c r="M252" s="276">
        <f t="shared" si="9"/>
        <v>0.36632969537805377</v>
      </c>
      <c r="N252" s="276">
        <f t="shared" si="10"/>
        <v>38.350941749785527</v>
      </c>
      <c r="O252" s="302">
        <f t="shared" si="11"/>
        <v>2.5412352424969642E-2</v>
      </c>
      <c r="P252" s="290">
        <v>0.86361352740492303</v>
      </c>
      <c r="Q252" s="98" t="str">
        <f>IF(P252&lt;O252,"tree dies","")</f>
        <v/>
      </c>
    </row>
    <row r="253" spans="2:17" x14ac:dyDescent="0.3">
      <c r="B253" s="289">
        <v>1</v>
      </c>
      <c r="C253" s="289">
        <v>214</v>
      </c>
      <c r="D253" s="289">
        <v>9</v>
      </c>
      <c r="E253" s="289">
        <v>2</v>
      </c>
      <c r="F253" s="289">
        <v>64.5</v>
      </c>
      <c r="G253" s="289">
        <v>17</v>
      </c>
      <c r="H253" s="289">
        <v>6.75</v>
      </c>
      <c r="I253" s="289">
        <v>6.75</v>
      </c>
      <c r="J253" s="289">
        <v>0</v>
      </c>
      <c r="K253" s="276">
        <f>AVERAGE(H253:I253)</f>
        <v>6.75</v>
      </c>
      <c r="L253" s="276">
        <f>PI()/40000*K253^2</f>
        <v>3.5784703819796235E-3</v>
      </c>
      <c r="M253" s="276">
        <f t="shared" si="9"/>
        <v>0.36096229986294492</v>
      </c>
      <c r="N253" s="276">
        <f t="shared" si="10"/>
        <v>37.499983744656937</v>
      </c>
      <c r="O253" s="302">
        <f t="shared" si="11"/>
        <v>2.597403694069822E-2</v>
      </c>
      <c r="P253" s="290">
        <v>0.36956286782638459</v>
      </c>
      <c r="Q253" s="98" t="str">
        <f>IF(P253&lt;O253,"tree dies","")</f>
        <v/>
      </c>
    </row>
    <row r="254" spans="2:17" x14ac:dyDescent="0.3">
      <c r="B254" s="289">
        <v>1</v>
      </c>
      <c r="C254" s="289">
        <v>38</v>
      </c>
      <c r="D254" s="289">
        <v>2</v>
      </c>
      <c r="E254" s="289">
        <v>1</v>
      </c>
      <c r="F254" s="289">
        <v>31.5</v>
      </c>
      <c r="G254" s="289">
        <v>3</v>
      </c>
      <c r="H254" s="289">
        <v>6.7</v>
      </c>
      <c r="I254" s="289">
        <v>6.7</v>
      </c>
      <c r="J254" s="289">
        <v>0</v>
      </c>
      <c r="K254" s="276">
        <f>AVERAGE(H254:I254)</f>
        <v>6.7</v>
      </c>
      <c r="L254" s="276">
        <f>PI()/40000*K254^2</f>
        <v>3.5256523554911454E-3</v>
      </c>
      <c r="M254" s="276">
        <f t="shared" si="9"/>
        <v>0.3556345161228554</v>
      </c>
      <c r="N254" s="276">
        <f t="shared" si="10"/>
        <v>36.670135575105043</v>
      </c>
      <c r="O254" s="302">
        <f t="shared" si="11"/>
        <v>2.6546227793798227E-2</v>
      </c>
      <c r="P254" s="290">
        <v>0.89955581321495659</v>
      </c>
      <c r="Q254" s="98" t="str">
        <f>IF(P254&lt;O254,"tree dies","")</f>
        <v/>
      </c>
    </row>
    <row r="255" spans="2:17" x14ac:dyDescent="0.3">
      <c r="B255" s="289">
        <v>1</v>
      </c>
      <c r="C255" s="289">
        <v>137</v>
      </c>
      <c r="D255" s="289">
        <v>6</v>
      </c>
      <c r="E255" s="289">
        <v>2</v>
      </c>
      <c r="F255" s="289">
        <v>22.5</v>
      </c>
      <c r="G255" s="289">
        <v>11</v>
      </c>
      <c r="H255" s="289">
        <v>6.6</v>
      </c>
      <c r="I255" s="289">
        <v>6.6</v>
      </c>
      <c r="J255" s="289">
        <v>0</v>
      </c>
      <c r="K255" s="276">
        <f>AVERAGE(H255:I255)</f>
        <v>6.6</v>
      </c>
      <c r="L255" s="276">
        <f>PI()/40000*K255^2</f>
        <v>3.4211943997592845E-3</v>
      </c>
      <c r="M255" s="276">
        <f t="shared" si="9"/>
        <v>0.34509778396773405</v>
      </c>
      <c r="N255" s="276">
        <f t="shared" si="10"/>
        <v>35.071517440364659</v>
      </c>
      <c r="O255" s="302">
        <f t="shared" si="11"/>
        <v>2.7722703976988283E-2</v>
      </c>
      <c r="P255" s="290">
        <v>0.59889008170329727</v>
      </c>
      <c r="Q255" s="98" t="str">
        <f>IF(P255&lt;O255,"tree dies","")</f>
        <v/>
      </c>
    </row>
    <row r="256" spans="2:17" x14ac:dyDescent="0.3">
      <c r="B256" s="289">
        <v>1</v>
      </c>
      <c r="C256" s="289">
        <v>61</v>
      </c>
      <c r="D256" s="289">
        <v>3</v>
      </c>
      <c r="E256" s="289">
        <v>1</v>
      </c>
      <c r="F256" s="289">
        <v>37.5</v>
      </c>
      <c r="G256" s="289">
        <v>5</v>
      </c>
      <c r="H256" s="289">
        <v>6.3</v>
      </c>
      <c r="I256" s="289">
        <v>6.3</v>
      </c>
      <c r="J256" s="289">
        <v>0</v>
      </c>
      <c r="K256" s="276">
        <f>AVERAGE(H256:I256)</f>
        <v>6.3</v>
      </c>
      <c r="L256" s="276">
        <f>PI()/40000*K256^2</f>
        <v>3.1172453105244718E-3</v>
      </c>
      <c r="M256" s="276">
        <f t="shared" si="9"/>
        <v>0.31443827010283204</v>
      </c>
      <c r="N256" s="276">
        <f t="shared" si="10"/>
        <v>30.72656647405865</v>
      </c>
      <c r="O256" s="302">
        <f t="shared" si="11"/>
        <v>3.151932626613263E-2</v>
      </c>
      <c r="P256" s="290">
        <v>0.62556149128706084</v>
      </c>
      <c r="Q256" s="98" t="str">
        <f>IF(P256&lt;O256,"tree dies","")</f>
        <v/>
      </c>
    </row>
    <row r="257" spans="2:17" x14ac:dyDescent="0.3">
      <c r="B257" s="289">
        <v>1</v>
      </c>
      <c r="C257" s="289">
        <v>167</v>
      </c>
      <c r="D257" s="289">
        <v>7</v>
      </c>
      <c r="E257" s="289">
        <v>2</v>
      </c>
      <c r="F257" s="289">
        <v>67.5</v>
      </c>
      <c r="G257" s="289">
        <v>13</v>
      </c>
      <c r="H257" s="289">
        <v>6.3</v>
      </c>
      <c r="I257" s="289">
        <v>6.3</v>
      </c>
      <c r="J257" s="289">
        <v>0</v>
      </c>
      <c r="K257" s="276">
        <f>AVERAGE(H257:I257)</f>
        <v>6.3</v>
      </c>
      <c r="L257" s="276">
        <f>PI()/40000*K257^2</f>
        <v>3.1172453105244718E-3</v>
      </c>
      <c r="M257" s="276">
        <f t="shared" si="9"/>
        <v>0.31443827010283204</v>
      </c>
      <c r="N257" s="276">
        <f t="shared" si="10"/>
        <v>30.72656647405865</v>
      </c>
      <c r="O257" s="302">
        <f t="shared" si="11"/>
        <v>3.151932626613263E-2</v>
      </c>
      <c r="P257" s="290">
        <v>0.20121784599241521</v>
      </c>
      <c r="Q257" s="98" t="str">
        <f>IF(P257&lt;O257,"tree dies","")</f>
        <v/>
      </c>
    </row>
    <row r="258" spans="2:17" x14ac:dyDescent="0.3">
      <c r="B258" s="289">
        <v>1</v>
      </c>
      <c r="C258" s="289">
        <v>32</v>
      </c>
      <c r="D258" s="289">
        <v>2</v>
      </c>
      <c r="E258" s="289">
        <v>1</v>
      </c>
      <c r="F258" s="289">
        <v>49.5</v>
      </c>
      <c r="G258" s="289">
        <v>3</v>
      </c>
      <c r="H258" s="289">
        <v>6.2</v>
      </c>
      <c r="I258" s="289">
        <v>6.2</v>
      </c>
      <c r="J258" s="289">
        <v>0</v>
      </c>
      <c r="K258" s="276">
        <f>AVERAGE(H258:I258)</f>
        <v>6.2</v>
      </c>
      <c r="L258" s="276">
        <f>PI()/40000*K258^2</f>
        <v>3.0190705400997917E-3</v>
      </c>
      <c r="M258" s="276">
        <f t="shared" si="9"/>
        <v>0.30453532634801883</v>
      </c>
      <c r="N258" s="276">
        <f t="shared" si="10"/>
        <v>29.415640483656979</v>
      </c>
      <c r="O258" s="302">
        <f t="shared" si="11"/>
        <v>3.2877821545047592E-2</v>
      </c>
      <c r="P258" s="290">
        <v>0.21657320665325464</v>
      </c>
      <c r="Q258" s="98" t="str">
        <f>IF(P258&lt;O258,"tree dies","")</f>
        <v/>
      </c>
    </row>
    <row r="259" spans="2:17" x14ac:dyDescent="0.3">
      <c r="B259" s="289">
        <v>1</v>
      </c>
      <c r="C259" s="289">
        <v>37</v>
      </c>
      <c r="D259" s="289">
        <v>2</v>
      </c>
      <c r="E259" s="289">
        <v>1</v>
      </c>
      <c r="F259" s="289">
        <v>34.5</v>
      </c>
      <c r="G259" s="289">
        <v>3</v>
      </c>
      <c r="H259" s="289">
        <v>6.2</v>
      </c>
      <c r="I259" s="289">
        <v>6.2</v>
      </c>
      <c r="J259" s="289">
        <v>0</v>
      </c>
      <c r="K259" s="276">
        <f>AVERAGE(H259:I259)</f>
        <v>6.2</v>
      </c>
      <c r="L259" s="276">
        <f>PI()/40000*K259^2</f>
        <v>3.0190705400997917E-3</v>
      </c>
      <c r="M259" s="276">
        <f t="shared" si="9"/>
        <v>0.30453532634801883</v>
      </c>
      <c r="N259" s="276">
        <f t="shared" si="10"/>
        <v>29.415640483656979</v>
      </c>
      <c r="O259" s="302">
        <f t="shared" si="11"/>
        <v>3.2877821545047592E-2</v>
      </c>
      <c r="P259" s="290">
        <v>0.18192254839570832</v>
      </c>
      <c r="Q259" s="98" t="str">
        <f>IF(P259&lt;O259,"tree dies","")</f>
        <v/>
      </c>
    </row>
    <row r="260" spans="2:17" x14ac:dyDescent="0.3">
      <c r="B260" s="289">
        <v>1</v>
      </c>
      <c r="C260" s="289">
        <v>261</v>
      </c>
      <c r="D260" s="289">
        <v>11</v>
      </c>
      <c r="E260" s="289">
        <v>1</v>
      </c>
      <c r="F260" s="289">
        <v>61.5</v>
      </c>
      <c r="G260" s="289">
        <v>21</v>
      </c>
      <c r="H260" s="289">
        <v>6.1</v>
      </c>
      <c r="I260" s="289">
        <v>6.1</v>
      </c>
      <c r="J260" s="289">
        <v>0</v>
      </c>
      <c r="K260" s="276">
        <f>AVERAGE(H260:I260)</f>
        <v>6.1</v>
      </c>
      <c r="L260" s="276">
        <f>PI()/40000*K260^2</f>
        <v>2.9224665660019045E-3</v>
      </c>
      <c r="M260" s="276">
        <f t="shared" si="9"/>
        <v>0.29479082969328241</v>
      </c>
      <c r="N260" s="276">
        <f t="shared" si="10"/>
        <v>28.167489668275856</v>
      </c>
      <c r="O260" s="302">
        <f t="shared" si="11"/>
        <v>3.4284746866222626E-2</v>
      </c>
      <c r="P260" s="290">
        <v>0.34184094624779637</v>
      </c>
      <c r="Q260" s="98" t="str">
        <f>IF(P260&lt;O260,"tree dies","")</f>
        <v/>
      </c>
    </row>
    <row r="261" spans="2:17" x14ac:dyDescent="0.3">
      <c r="B261" s="289">
        <v>1</v>
      </c>
      <c r="C261" s="289">
        <v>150</v>
      </c>
      <c r="D261" s="289">
        <v>7</v>
      </c>
      <c r="E261" s="289">
        <v>1</v>
      </c>
      <c r="F261" s="289">
        <v>16.5</v>
      </c>
      <c r="G261" s="289">
        <v>13</v>
      </c>
      <c r="H261" s="289">
        <v>5.8</v>
      </c>
      <c r="I261" s="289">
        <v>5.8</v>
      </c>
      <c r="J261" s="289">
        <v>0</v>
      </c>
      <c r="K261" s="276">
        <f>AVERAGE(H261:I261)</f>
        <v>5.8</v>
      </c>
      <c r="L261" s="276">
        <f>PI()/40000*K261^2</f>
        <v>2.642079421669016E-3</v>
      </c>
      <c r="M261" s="276">
        <f t="shared" si="9"/>
        <v>0.26650802232953569</v>
      </c>
      <c r="N261" s="276">
        <f t="shared" si="10"/>
        <v>24.768003476359699</v>
      </c>
      <c r="O261" s="302">
        <f t="shared" si="11"/>
        <v>3.8807818421688345E-2</v>
      </c>
      <c r="P261" s="290">
        <v>0.32581356173256493</v>
      </c>
      <c r="Q261" s="98" t="str">
        <f>IF(P261&lt;O261,"tree dies","")</f>
        <v/>
      </c>
    </row>
    <row r="262" spans="2:17" x14ac:dyDescent="0.3">
      <c r="B262" s="289">
        <v>1</v>
      </c>
      <c r="C262" s="289">
        <v>187</v>
      </c>
      <c r="D262" s="289">
        <v>8</v>
      </c>
      <c r="E262" s="289">
        <v>1</v>
      </c>
      <c r="F262" s="289">
        <v>16.5</v>
      </c>
      <c r="G262" s="289">
        <v>15</v>
      </c>
      <c r="H262" s="289">
        <v>5.8</v>
      </c>
      <c r="I262" s="289">
        <v>5.8</v>
      </c>
      <c r="J262" s="289">
        <v>0</v>
      </c>
      <c r="K262" s="276">
        <f>AVERAGE(H262:I262)</f>
        <v>5.8</v>
      </c>
      <c r="L262" s="276">
        <f>PI()/40000*K262^2</f>
        <v>2.642079421669016E-3</v>
      </c>
      <c r="M262" s="276">
        <f t="shared" si="9"/>
        <v>0.26650802232953569</v>
      </c>
      <c r="N262" s="276">
        <f t="shared" si="10"/>
        <v>24.768003476359699</v>
      </c>
      <c r="O262" s="302">
        <f t="shared" si="11"/>
        <v>3.8807818421688345E-2</v>
      </c>
      <c r="P262" s="290">
        <v>0.71774085877431937</v>
      </c>
      <c r="Q262" s="98" t="str">
        <f>IF(P262&lt;O262,"tree dies","")</f>
        <v/>
      </c>
    </row>
    <row r="263" spans="2:17" x14ac:dyDescent="0.3">
      <c r="B263" s="289">
        <v>1</v>
      </c>
      <c r="C263" s="289">
        <v>145</v>
      </c>
      <c r="D263" s="289">
        <v>7</v>
      </c>
      <c r="E263" s="289">
        <v>1</v>
      </c>
      <c r="F263" s="289">
        <v>1.5</v>
      </c>
      <c r="G263" s="289">
        <v>13</v>
      </c>
      <c r="H263" s="289">
        <v>5.5</v>
      </c>
      <c r="I263" s="289">
        <v>5.5</v>
      </c>
      <c r="J263" s="289">
        <v>0</v>
      </c>
      <c r="K263" s="276">
        <f>AVERAGE(H263:I263)</f>
        <v>5.5</v>
      </c>
      <c r="L263" s="276">
        <f>PI()/40000*K263^2</f>
        <v>2.3758294442772811E-3</v>
      </c>
      <c r="M263" s="276">
        <f t="shared" si="9"/>
        <v>0.23965123886648199</v>
      </c>
      <c r="N263" s="276">
        <f t="shared" si="10"/>
        <v>21.826489175053464</v>
      </c>
      <c r="O263" s="302">
        <f t="shared" si="11"/>
        <v>4.3808751855404782E-2</v>
      </c>
      <c r="P263" s="290">
        <v>0.85821378296549122</v>
      </c>
      <c r="Q263" s="98" t="str">
        <f>IF(P263&lt;O263,"tree dies","")</f>
        <v/>
      </c>
    </row>
    <row r="264" spans="2:17" x14ac:dyDescent="0.3">
      <c r="B264" s="289">
        <v>1</v>
      </c>
      <c r="C264" s="289">
        <v>121</v>
      </c>
      <c r="D264" s="289">
        <v>6</v>
      </c>
      <c r="E264" s="289">
        <v>1</v>
      </c>
      <c r="F264" s="289">
        <v>70.5</v>
      </c>
      <c r="G264" s="289">
        <v>11</v>
      </c>
      <c r="H264" s="289">
        <v>5.45</v>
      </c>
      <c r="I264" s="289">
        <v>5.45</v>
      </c>
      <c r="J264" s="289">
        <v>0</v>
      </c>
      <c r="K264" s="276">
        <f>AVERAGE(H264:I264)</f>
        <v>5.45</v>
      </c>
      <c r="L264" s="276">
        <f>PI()/40000*K264^2</f>
        <v>2.3328288948312706E-3</v>
      </c>
      <c r="M264" s="276">
        <f t="shared" si="9"/>
        <v>0.23531374950187373</v>
      </c>
      <c r="N264" s="276">
        <f t="shared" si="10"/>
        <v>21.375932150382305</v>
      </c>
      <c r="O264" s="302">
        <f t="shared" si="11"/>
        <v>4.4690875592546586E-2</v>
      </c>
      <c r="P264" s="290">
        <v>0.37685678018831215</v>
      </c>
      <c r="Q264" s="98" t="str">
        <f>IF(P264&lt;O264,"tree dies","")</f>
        <v/>
      </c>
    </row>
    <row r="265" spans="2:17" x14ac:dyDescent="0.3">
      <c r="B265" s="289">
        <v>1</v>
      </c>
      <c r="C265" s="289">
        <v>142</v>
      </c>
      <c r="D265" s="289">
        <v>6</v>
      </c>
      <c r="E265" s="289">
        <v>1</v>
      </c>
      <c r="F265" s="289">
        <v>7.5</v>
      </c>
      <c r="G265" s="289">
        <v>11</v>
      </c>
      <c r="H265" s="289">
        <v>5.45</v>
      </c>
      <c r="I265" s="289">
        <v>5.45</v>
      </c>
      <c r="J265" s="289">
        <v>0</v>
      </c>
      <c r="K265" s="276">
        <f>AVERAGE(H265:I265)</f>
        <v>5.45</v>
      </c>
      <c r="L265" s="276">
        <f>PI()/40000*K265^2</f>
        <v>2.3328288948312706E-3</v>
      </c>
      <c r="M265" s="276">
        <f t="shared" si="9"/>
        <v>0.23531374950187373</v>
      </c>
      <c r="N265" s="276">
        <f t="shared" si="10"/>
        <v>21.375932150382305</v>
      </c>
      <c r="O265" s="302">
        <f t="shared" si="11"/>
        <v>4.4690875592546586E-2</v>
      </c>
      <c r="P265" s="290">
        <v>0.23025547007204961</v>
      </c>
      <c r="Q265" s="98" t="str">
        <f>IF(P265&lt;O265,"tree dies","")</f>
        <v/>
      </c>
    </row>
    <row r="266" spans="2:17" x14ac:dyDescent="0.3">
      <c r="B266" s="289">
        <v>1</v>
      </c>
      <c r="C266" s="289">
        <v>82</v>
      </c>
      <c r="D266" s="289">
        <v>4</v>
      </c>
      <c r="E266" s="289">
        <v>1</v>
      </c>
      <c r="F266" s="289">
        <v>43.5</v>
      </c>
      <c r="G266" s="289">
        <v>7</v>
      </c>
      <c r="H266" s="289">
        <v>5.3</v>
      </c>
      <c r="I266" s="289">
        <v>5.3</v>
      </c>
      <c r="J266" s="289">
        <v>0</v>
      </c>
      <c r="K266" s="276">
        <f>AVERAGE(H266:I266)</f>
        <v>5.3</v>
      </c>
      <c r="L266" s="276">
        <f>PI()/40000*K266^2</f>
        <v>2.2061834409834321E-3</v>
      </c>
      <c r="M266" s="276">
        <f t="shared" si="9"/>
        <v>0.22253895205816457</v>
      </c>
      <c r="N266" s="276">
        <f t="shared" si="10"/>
        <v>20.086623258098729</v>
      </c>
      <c r="O266" s="302">
        <f t="shared" si="11"/>
        <v>4.7423429904355663E-2</v>
      </c>
      <c r="P266" s="290">
        <v>4.6838109488913648E-3</v>
      </c>
      <c r="Q266" s="98" t="str">
        <f>IF(P266&lt;O266,"tree dies","")</f>
        <v>tree dies</v>
      </c>
    </row>
    <row r="267" spans="2:17" x14ac:dyDescent="0.3">
      <c r="B267" s="289">
        <v>1</v>
      </c>
      <c r="C267" s="289">
        <v>215</v>
      </c>
      <c r="D267" s="289">
        <v>9</v>
      </c>
      <c r="E267" s="289">
        <v>2</v>
      </c>
      <c r="F267" s="289">
        <v>67.5</v>
      </c>
      <c r="G267" s="289">
        <v>17</v>
      </c>
      <c r="H267" s="289">
        <v>5.05</v>
      </c>
      <c r="I267" s="289">
        <v>5.05</v>
      </c>
      <c r="J267" s="289">
        <v>0</v>
      </c>
      <c r="K267" s="276">
        <f>AVERAGE(H267:I267)</f>
        <v>5.05</v>
      </c>
      <c r="L267" s="276">
        <f>PI()/40000*K267^2</f>
        <v>2.0029616662043423E-3</v>
      </c>
      <c r="M267" s="276">
        <f t="shared" si="9"/>
        <v>0.20203985848570102</v>
      </c>
      <c r="N267" s="276">
        <f t="shared" si="10"/>
        <v>18.130280104517773</v>
      </c>
      <c r="O267" s="302">
        <f t="shared" si="11"/>
        <v>5.2273149924440543E-2</v>
      </c>
      <c r="P267" s="290">
        <v>7.0419068458891343E-2</v>
      </c>
      <c r="Q267" s="98" t="str">
        <f>IF(P267&lt;O267,"tree dies","")</f>
        <v/>
      </c>
    </row>
    <row r="268" spans="2:17" x14ac:dyDescent="0.3">
      <c r="B268" s="289">
        <v>1</v>
      </c>
      <c r="C268" s="289">
        <v>54</v>
      </c>
      <c r="D268" s="289">
        <v>3</v>
      </c>
      <c r="E268" s="289">
        <v>1</v>
      </c>
      <c r="F268" s="289">
        <v>16.5</v>
      </c>
      <c r="G268" s="289">
        <v>5</v>
      </c>
      <c r="H268" s="289">
        <v>4.9000000000000004</v>
      </c>
      <c r="I268" s="289">
        <v>4.9000000000000004</v>
      </c>
      <c r="J268" s="289">
        <v>0</v>
      </c>
      <c r="K268" s="276">
        <f>AVERAGE(H268:I268)</f>
        <v>4.9000000000000004</v>
      </c>
      <c r="L268" s="276">
        <f>PI()/40000*K268^2</f>
        <v>1.8857409903172736E-3</v>
      </c>
      <c r="M268" s="276">
        <f t="shared" si="9"/>
        <v>0.190215743642454</v>
      </c>
      <c r="N268" s="276">
        <f t="shared" si="10"/>
        <v>17.061599282678788</v>
      </c>
      <c r="O268" s="302">
        <f t="shared" si="11"/>
        <v>5.536608272330612E-2</v>
      </c>
      <c r="P268" s="290">
        <v>0.31029036967627788</v>
      </c>
      <c r="Q268" s="98" t="str">
        <f>IF(P268&lt;O268,"tree dies","")</f>
        <v/>
      </c>
    </row>
    <row r="269" spans="2:17" x14ac:dyDescent="0.3">
      <c r="B269" s="289">
        <v>1</v>
      </c>
      <c r="C269" s="289">
        <v>185</v>
      </c>
      <c r="D269" s="289">
        <v>8</v>
      </c>
      <c r="E269" s="289">
        <v>2</v>
      </c>
      <c r="F269" s="289">
        <v>22.5</v>
      </c>
      <c r="G269" s="289">
        <v>15</v>
      </c>
      <c r="H269" s="289">
        <v>4.8</v>
      </c>
      <c r="I269" s="289">
        <v>4.8</v>
      </c>
      <c r="J269" s="289">
        <v>0</v>
      </c>
      <c r="K269" s="276">
        <f>AVERAGE(H269:I269)</f>
        <v>4.8</v>
      </c>
      <c r="L269" s="276">
        <f>PI()/40000*K269^2</f>
        <v>1.8095573684677208E-3</v>
      </c>
      <c r="M269" s="276">
        <f t="shared" si="9"/>
        <v>0.18253105928871882</v>
      </c>
      <c r="N269" s="276">
        <f t="shared" si="10"/>
        <v>16.389353979638138</v>
      </c>
      <c r="O269" s="302">
        <f t="shared" si="11"/>
        <v>5.7506449128066461E-2</v>
      </c>
      <c r="P269" s="290">
        <v>0.53231348495229025</v>
      </c>
      <c r="Q269" s="98" t="str">
        <f>IF(P269&lt;O269,"tree dies","")</f>
        <v/>
      </c>
    </row>
    <row r="270" spans="2:17" x14ac:dyDescent="0.3">
      <c r="B270" s="289">
        <v>1</v>
      </c>
      <c r="C270" s="289">
        <v>10</v>
      </c>
      <c r="D270" s="289">
        <v>1</v>
      </c>
      <c r="E270" s="289">
        <v>1</v>
      </c>
      <c r="F270" s="289">
        <v>28.5</v>
      </c>
      <c r="G270" s="289">
        <v>1</v>
      </c>
      <c r="H270" s="289">
        <v>4.7</v>
      </c>
      <c r="I270" s="289">
        <v>4.7</v>
      </c>
      <c r="J270" s="289">
        <v>0</v>
      </c>
      <c r="K270" s="276">
        <f>AVERAGE(H270:I270)</f>
        <v>4.7</v>
      </c>
      <c r="L270" s="276">
        <f>PI()/40000*K270^2</f>
        <v>1.7349445429449635E-3</v>
      </c>
      <c r="M270" s="276">
        <f t="shared" si="9"/>
        <v>0.17500482203506074</v>
      </c>
      <c r="N270" s="276">
        <f t="shared" si="10"/>
        <v>15.747422931900516</v>
      </c>
      <c r="O270" s="302">
        <f t="shared" si="11"/>
        <v>5.9710679312648063E-2</v>
      </c>
      <c r="P270" s="290">
        <v>0.12241137478334552</v>
      </c>
      <c r="Q270" s="98" t="str">
        <f>IF(P270&lt;O270,"tree dies","")</f>
        <v/>
      </c>
    </row>
    <row r="271" spans="2:17" x14ac:dyDescent="0.3">
      <c r="B271" s="289">
        <v>1</v>
      </c>
      <c r="C271" s="289">
        <v>190</v>
      </c>
      <c r="D271" s="289">
        <v>8</v>
      </c>
      <c r="E271" s="289">
        <v>1</v>
      </c>
      <c r="F271" s="289">
        <v>7.5</v>
      </c>
      <c r="G271" s="289">
        <v>15</v>
      </c>
      <c r="H271" s="289">
        <v>4.7</v>
      </c>
      <c r="I271" s="289">
        <v>4.7</v>
      </c>
      <c r="J271" s="289">
        <v>0</v>
      </c>
      <c r="K271" s="276">
        <f>AVERAGE(H271:I271)</f>
        <v>4.7</v>
      </c>
      <c r="L271" s="276">
        <f>PI()/40000*K271^2</f>
        <v>1.7349445429449635E-3</v>
      </c>
      <c r="M271" s="276">
        <f t="shared" si="9"/>
        <v>0.17500482203506074</v>
      </c>
      <c r="N271" s="276">
        <f t="shared" si="10"/>
        <v>15.747422931900516</v>
      </c>
      <c r="O271" s="302">
        <f t="shared" si="11"/>
        <v>5.9710679312648063E-2</v>
      </c>
      <c r="P271" s="290">
        <v>0.99608960437159277</v>
      </c>
      <c r="Q271" s="98" t="str">
        <f>IF(P271&lt;O271,"tree dies","")</f>
        <v/>
      </c>
    </row>
    <row r="272" spans="2:17" x14ac:dyDescent="0.3">
      <c r="B272" s="289">
        <v>1</v>
      </c>
      <c r="C272" s="289">
        <v>74</v>
      </c>
      <c r="D272" s="289">
        <v>4</v>
      </c>
      <c r="E272" s="289">
        <v>1</v>
      </c>
      <c r="F272" s="289">
        <v>67.5</v>
      </c>
      <c r="G272" s="289">
        <v>7</v>
      </c>
      <c r="H272" s="289">
        <v>4.55</v>
      </c>
      <c r="I272" s="289">
        <v>4.55</v>
      </c>
      <c r="J272" s="289">
        <v>0</v>
      </c>
      <c r="K272" s="276">
        <f>AVERAGE(H272:I272)</f>
        <v>4.55</v>
      </c>
      <c r="L272" s="276">
        <f>PI()/40000*K272^2</f>
        <v>1.625970547773567E-3</v>
      </c>
      <c r="M272" s="276">
        <f t="shared" si="9"/>
        <v>0.16401255446721794</v>
      </c>
      <c r="N272" s="276">
        <f t="shared" si="10"/>
        <v>14.838120667499846</v>
      </c>
      <c r="O272" s="302">
        <f t="shared" si="11"/>
        <v>6.3138804217600208E-2</v>
      </c>
      <c r="P272" s="290">
        <v>0.4447929957127098</v>
      </c>
      <c r="Q272" s="98" t="str">
        <f>IF(P272&lt;O272,"tree dies","")</f>
        <v/>
      </c>
    </row>
    <row r="273" spans="2:17" x14ac:dyDescent="0.3">
      <c r="B273" s="289">
        <v>1</v>
      </c>
      <c r="C273" s="289">
        <v>197</v>
      </c>
      <c r="D273" s="289">
        <v>9</v>
      </c>
      <c r="E273" s="289">
        <v>1</v>
      </c>
      <c r="F273" s="289">
        <v>13.5</v>
      </c>
      <c r="G273" s="289">
        <v>17</v>
      </c>
      <c r="H273" s="289">
        <v>4.45</v>
      </c>
      <c r="I273" s="289">
        <v>4.45</v>
      </c>
      <c r="J273" s="289">
        <v>0</v>
      </c>
      <c r="K273" s="276">
        <f>AVERAGE(H273:I273)</f>
        <v>4.45</v>
      </c>
      <c r="L273" s="276">
        <f>PI()/40000*K273^2</f>
        <v>1.5552847130677972E-3</v>
      </c>
      <c r="M273" s="276">
        <f t="shared" si="9"/>
        <v>0.1568824349637524</v>
      </c>
      <c r="N273" s="276">
        <f t="shared" si="10"/>
        <v>14.265613437855409</v>
      </c>
      <c r="O273" s="302">
        <f t="shared" si="11"/>
        <v>6.5506702634053116E-2</v>
      </c>
      <c r="P273" s="290">
        <v>0.67733495347236305</v>
      </c>
      <c r="Q273" s="98" t="str">
        <f>IF(P273&lt;O273,"tree dies","")</f>
        <v/>
      </c>
    </row>
    <row r="274" spans="2:17" x14ac:dyDescent="0.3">
      <c r="B274" s="289">
        <v>1</v>
      </c>
      <c r="C274" s="289">
        <v>36</v>
      </c>
      <c r="D274" s="289">
        <v>2</v>
      </c>
      <c r="E274" s="289">
        <v>1</v>
      </c>
      <c r="F274" s="289">
        <v>37.5</v>
      </c>
      <c r="G274" s="289">
        <v>3</v>
      </c>
      <c r="H274" s="289">
        <v>4.4000000000000004</v>
      </c>
      <c r="I274" s="289">
        <v>4.4000000000000004</v>
      </c>
      <c r="J274" s="289">
        <v>0</v>
      </c>
      <c r="K274" s="276">
        <f>AVERAGE(H274:I274)</f>
        <v>4.4000000000000004</v>
      </c>
      <c r="L274" s="276">
        <f>PI()/40000*K274^2</f>
        <v>1.5205308443374602E-3</v>
      </c>
      <c r="M274" s="276">
        <f t="shared" si="9"/>
        <v>0.1533767928745485</v>
      </c>
      <c r="N274" s="276">
        <f t="shared" si="10"/>
        <v>13.988972375752615</v>
      </c>
      <c r="O274" s="302">
        <f t="shared" si="11"/>
        <v>6.6715714388644876E-2</v>
      </c>
      <c r="P274" s="290">
        <v>0.80138167559257389</v>
      </c>
      <c r="Q274" s="98" t="str">
        <f>IF(P274&lt;O274,"tree dies","")</f>
        <v/>
      </c>
    </row>
    <row r="275" spans="2:17" x14ac:dyDescent="0.3">
      <c r="B275" s="289">
        <v>1</v>
      </c>
      <c r="C275" s="289">
        <v>28</v>
      </c>
      <c r="D275" s="289">
        <v>2</v>
      </c>
      <c r="E275" s="289">
        <v>1</v>
      </c>
      <c r="F275" s="289">
        <v>61.5</v>
      </c>
      <c r="G275" s="289">
        <v>3</v>
      </c>
      <c r="H275" s="289">
        <v>4.3499999999999996</v>
      </c>
      <c r="I275" s="289">
        <v>4.3499999999999996</v>
      </c>
      <c r="J275" s="289">
        <v>0</v>
      </c>
      <c r="K275" s="276">
        <f>AVERAGE(H275:I275)</f>
        <v>4.3499999999999996</v>
      </c>
      <c r="L275" s="276">
        <f>PI()/40000*K275^2</f>
        <v>1.4861696746888212E-3</v>
      </c>
      <c r="M275" s="276">
        <f t="shared" si="9"/>
        <v>0.14991076256036379</v>
      </c>
      <c r="N275" s="276">
        <f t="shared" si="10"/>
        <v>13.718529555216547</v>
      </c>
      <c r="O275" s="302">
        <f t="shared" si="11"/>
        <v>6.7941569587403494E-2</v>
      </c>
      <c r="P275" s="290">
        <v>0.89825149481170774</v>
      </c>
      <c r="Q275" s="98" t="str">
        <f>IF(P275&lt;O275,"tree dies","")</f>
        <v/>
      </c>
    </row>
    <row r="276" spans="2:17" x14ac:dyDescent="0.3">
      <c r="B276" s="289">
        <v>1</v>
      </c>
      <c r="C276" s="289">
        <v>98</v>
      </c>
      <c r="D276" s="289">
        <v>5</v>
      </c>
      <c r="E276" s="289">
        <v>1</v>
      </c>
      <c r="F276" s="289">
        <v>4.5</v>
      </c>
      <c r="G276" s="289">
        <v>9</v>
      </c>
      <c r="H276" s="289">
        <v>4.3</v>
      </c>
      <c r="I276" s="289">
        <v>4.3</v>
      </c>
      <c r="J276" s="289">
        <v>0</v>
      </c>
      <c r="K276" s="276">
        <f>AVERAGE(H276:I276)</f>
        <v>4.3</v>
      </c>
      <c r="L276" s="276">
        <f>PI()/40000*K276^2</f>
        <v>1.4522012041218817E-3</v>
      </c>
      <c r="M276" s="276">
        <f t="shared" si="9"/>
        <v>0.14648434402119839</v>
      </c>
      <c r="N276" s="276">
        <f t="shared" si="10"/>
        <v>13.454132598377514</v>
      </c>
      <c r="O276" s="302">
        <f t="shared" si="11"/>
        <v>6.9184366007009723E-2</v>
      </c>
      <c r="P276" s="290">
        <v>0.83716728317733236</v>
      </c>
      <c r="Q276" s="98" t="str">
        <f>IF(P276&lt;O276,"tree dies","")</f>
        <v/>
      </c>
    </row>
    <row r="277" spans="2:17" x14ac:dyDescent="0.3">
      <c r="B277" s="289">
        <v>1</v>
      </c>
      <c r="C277" s="289">
        <v>196</v>
      </c>
      <c r="D277" s="289">
        <v>9</v>
      </c>
      <c r="E277" s="289">
        <v>1</v>
      </c>
      <c r="F277" s="289">
        <v>10.5</v>
      </c>
      <c r="G277" s="289">
        <v>17</v>
      </c>
      <c r="H277" s="289">
        <v>4.3</v>
      </c>
      <c r="I277" s="289">
        <v>4.3</v>
      </c>
      <c r="J277" s="289">
        <v>0</v>
      </c>
      <c r="K277" s="276">
        <f>AVERAGE(H277:I277)</f>
        <v>4.3</v>
      </c>
      <c r="L277" s="276">
        <f>PI()/40000*K277^2</f>
        <v>1.4522012041218817E-3</v>
      </c>
      <c r="M277" s="276">
        <f t="shared" si="9"/>
        <v>0.14648434402119839</v>
      </c>
      <c r="N277" s="276">
        <f t="shared" si="10"/>
        <v>13.454132598377514</v>
      </c>
      <c r="O277" s="302">
        <f t="shared" si="11"/>
        <v>6.9184366007009723E-2</v>
      </c>
      <c r="P277" s="290">
        <v>0.16718042529414789</v>
      </c>
      <c r="Q277" s="98" t="str">
        <f>IF(P277&lt;O277,"tree dies","")</f>
        <v/>
      </c>
    </row>
    <row r="278" spans="2:17" x14ac:dyDescent="0.3">
      <c r="B278" s="289">
        <v>1</v>
      </c>
      <c r="C278" s="289">
        <v>182</v>
      </c>
      <c r="D278" s="289">
        <v>8</v>
      </c>
      <c r="E278" s="289">
        <v>2</v>
      </c>
      <c r="F278" s="289">
        <v>31.5</v>
      </c>
      <c r="G278" s="289">
        <v>15</v>
      </c>
      <c r="H278" s="289">
        <v>4.2</v>
      </c>
      <c r="I278" s="289">
        <v>4.2</v>
      </c>
      <c r="J278" s="289">
        <v>0</v>
      </c>
      <c r="K278" s="276">
        <f>AVERAGE(H278:I278)</f>
        <v>4.2</v>
      </c>
      <c r="L278" s="276">
        <f>PI()/40000*K278^2</f>
        <v>1.3854423602330987E-3</v>
      </c>
      <c r="M278" s="276">
        <f t="shared" si="9"/>
        <v>0.13975034226792535</v>
      </c>
      <c r="N278" s="276">
        <f t="shared" si="10"/>
        <v>12.942886815116946</v>
      </c>
      <c r="O278" s="302">
        <f t="shared" si="11"/>
        <v>7.1721158843217059E-2</v>
      </c>
      <c r="P278" s="290">
        <v>0.96614393174136315</v>
      </c>
      <c r="Q278" s="98" t="str">
        <f>IF(P278&lt;O278,"tree dies","")</f>
        <v/>
      </c>
    </row>
    <row r="279" spans="2:17" x14ac:dyDescent="0.3">
      <c r="B279" s="289">
        <v>1</v>
      </c>
      <c r="C279" s="289">
        <v>40</v>
      </c>
      <c r="D279" s="289">
        <v>2</v>
      </c>
      <c r="E279" s="289">
        <v>1</v>
      </c>
      <c r="F279" s="289">
        <v>25.5</v>
      </c>
      <c r="G279" s="289">
        <v>3</v>
      </c>
      <c r="H279" s="289">
        <v>3.95</v>
      </c>
      <c r="I279" s="289">
        <v>3.95</v>
      </c>
      <c r="J279" s="289">
        <v>0</v>
      </c>
      <c r="K279" s="276">
        <f>AVERAGE(H279:I279)</f>
        <v>3.95</v>
      </c>
      <c r="L279" s="276">
        <f>PI()/40000*K279^2</f>
        <v>1.2254174844408688E-3</v>
      </c>
      <c r="M279" s="276">
        <f t="shared" si="9"/>
        <v>0.12360854394757968</v>
      </c>
      <c r="N279" s="276">
        <f t="shared" si="10"/>
        <v>11.760657348931511</v>
      </c>
      <c r="O279" s="302">
        <f t="shared" si="11"/>
        <v>7.8365868830709839E-2</v>
      </c>
      <c r="P279" s="290">
        <v>0.1782307472321667</v>
      </c>
      <c r="Q279" s="98" t="str">
        <f>IF(P279&lt;O279,"tree dies","")</f>
        <v/>
      </c>
    </row>
    <row r="280" spans="2:17" x14ac:dyDescent="0.3">
      <c r="B280" s="289">
        <v>1</v>
      </c>
      <c r="C280" s="289">
        <v>7</v>
      </c>
      <c r="D280" s="289">
        <v>1</v>
      </c>
      <c r="E280" s="289">
        <v>1</v>
      </c>
      <c r="F280" s="289">
        <v>19.5</v>
      </c>
      <c r="G280" s="289">
        <v>1</v>
      </c>
      <c r="H280" s="289">
        <v>2.9</v>
      </c>
      <c r="I280" s="289">
        <v>2.9</v>
      </c>
      <c r="J280" s="289">
        <v>0</v>
      </c>
      <c r="K280" s="276">
        <f>AVERAGE(H280:I280)</f>
        <v>2.9</v>
      </c>
      <c r="L280" s="276">
        <f>PI()/40000*K280^2</f>
        <v>6.6051985541725399E-4</v>
      </c>
      <c r="M280" s="276">
        <f t="shared" si="9"/>
        <v>6.6627005582383922E-2</v>
      </c>
      <c r="N280" s="276">
        <f t="shared" si="10"/>
        <v>7.9968295595507399</v>
      </c>
      <c r="O280" s="302">
        <f t="shared" si="11"/>
        <v>0.11115026614441448</v>
      </c>
      <c r="P280" s="290">
        <v>0.73753170873339069</v>
      </c>
      <c r="Q280" s="98" t="str">
        <f>IF(P280&lt;O280,"tree dies","")</f>
        <v/>
      </c>
    </row>
    <row r="281" spans="2:17" x14ac:dyDescent="0.3">
      <c r="B281" s="289">
        <v>1</v>
      </c>
      <c r="C281" s="289">
        <v>192</v>
      </c>
      <c r="D281" s="289">
        <v>8</v>
      </c>
      <c r="E281" s="289">
        <v>1</v>
      </c>
      <c r="F281" s="289">
        <v>1.5</v>
      </c>
      <c r="G281" s="289">
        <v>15</v>
      </c>
      <c r="H281" s="289">
        <v>2.75</v>
      </c>
      <c r="I281" s="289">
        <v>2.75</v>
      </c>
      <c r="J281" s="289">
        <v>0</v>
      </c>
      <c r="K281" s="276">
        <f>AVERAGE(H281:I281)</f>
        <v>2.75</v>
      </c>
      <c r="L281" s="276">
        <f>PI()/40000*K281^2</f>
        <v>5.9395736106932027E-4</v>
      </c>
      <c r="M281" s="276">
        <f t="shared" si="9"/>
        <v>5.9912809716620496E-2</v>
      </c>
      <c r="N281" s="276">
        <f t="shared" si="10"/>
        <v>7.5846812001653747</v>
      </c>
      <c r="O281" s="302">
        <f t="shared" si="11"/>
        <v>0.11648656213124553</v>
      </c>
      <c r="P281" s="290">
        <v>0.95123446546242152</v>
      </c>
      <c r="Q281" s="98" t="str">
        <f>IF(P281&lt;O281,"tree dies","")</f>
        <v/>
      </c>
    </row>
    <row r="282" spans="2:17" x14ac:dyDescent="0.3">
      <c r="B282" s="289">
        <v>1</v>
      </c>
      <c r="C282" s="289">
        <v>89</v>
      </c>
      <c r="D282" s="289">
        <v>4</v>
      </c>
      <c r="E282" s="289">
        <v>1</v>
      </c>
      <c r="F282" s="289">
        <v>22.5</v>
      </c>
      <c r="G282" s="289">
        <v>7</v>
      </c>
      <c r="H282" s="289">
        <v>2.2000000000000002</v>
      </c>
      <c r="I282" s="289">
        <v>2.2000000000000002</v>
      </c>
      <c r="J282" s="289">
        <v>0</v>
      </c>
      <c r="K282" s="276">
        <f>AVERAGE(H282:I282)</f>
        <v>2.2000000000000002</v>
      </c>
      <c r="L282" s="276">
        <f>PI()/40000*K282^2</f>
        <v>3.8013271108436504E-4</v>
      </c>
      <c r="M282" s="276">
        <f t="shared" si="9"/>
        <v>3.8344198218637125E-2</v>
      </c>
      <c r="N282" s="276">
        <f t="shared" si="10"/>
        <v>6.2763545833513303</v>
      </c>
      <c r="O282" s="302">
        <f t="shared" si="11"/>
        <v>0.13743145534551748</v>
      </c>
      <c r="P282" s="290">
        <v>0.73813168344383961</v>
      </c>
      <c r="Q282" s="98" t="str">
        <f>IF(P282&lt;O282,"tree dies","")</f>
        <v/>
      </c>
    </row>
    <row r="283" spans="2:17" x14ac:dyDescent="0.3">
      <c r="B283" s="289">
        <v>1</v>
      </c>
      <c r="C283" s="289">
        <v>66</v>
      </c>
      <c r="D283" s="289">
        <v>3</v>
      </c>
      <c r="E283" s="289">
        <v>1</v>
      </c>
      <c r="F283" s="289">
        <v>52.5</v>
      </c>
      <c r="G283" s="289">
        <v>5</v>
      </c>
      <c r="H283" s="289">
        <v>0.65</v>
      </c>
      <c r="I283" s="289">
        <v>0.65</v>
      </c>
      <c r="J283" s="289">
        <v>0</v>
      </c>
      <c r="K283" s="276">
        <f>AVERAGE(H283:I283)</f>
        <v>0.65</v>
      </c>
      <c r="L283" s="276">
        <f>PI()/40000*K283^2</f>
        <v>3.3183072403542191E-5</v>
      </c>
      <c r="M283" s="276">
        <f t="shared" si="9"/>
        <v>3.3471949891268971E-3</v>
      </c>
      <c r="N283" s="276">
        <f t="shared" si="10"/>
        <v>3.8295562261140619</v>
      </c>
      <c r="O283" s="302"/>
      <c r="P283" s="290"/>
      <c r="Q283" s="98"/>
    </row>
    <row r="284" spans="2:17" x14ac:dyDescent="0.3">
      <c r="B284" s="289">
        <v>1</v>
      </c>
      <c r="C284" s="289">
        <v>2</v>
      </c>
      <c r="D284" s="289">
        <v>1</v>
      </c>
      <c r="E284" s="289">
        <v>1</v>
      </c>
      <c r="F284" s="289">
        <v>4.5</v>
      </c>
      <c r="G284" s="289">
        <v>1</v>
      </c>
      <c r="H284" s="289">
        <v>0</v>
      </c>
      <c r="I284" s="289">
        <v>0</v>
      </c>
      <c r="J284" s="289">
        <v>0</v>
      </c>
      <c r="K284" s="276">
        <f>AVERAGE(H284:I284)</f>
        <v>0</v>
      </c>
      <c r="L284" s="276">
        <f>PI()/40000*K284^2</f>
        <v>0</v>
      </c>
      <c r="M284" s="276">
        <f t="shared" si="9"/>
        <v>0</v>
      </c>
      <c r="N284" s="276">
        <f t="shared" si="10"/>
        <v>3.1675212169285225</v>
      </c>
      <c r="O284" s="302"/>
      <c r="P284" s="290"/>
      <c r="Q284" s="98"/>
    </row>
    <row r="285" spans="2:17" x14ac:dyDescent="0.3">
      <c r="B285" s="289">
        <v>1</v>
      </c>
      <c r="C285" s="289">
        <v>5</v>
      </c>
      <c r="D285" s="289">
        <v>1</v>
      </c>
      <c r="E285" s="289">
        <v>1</v>
      </c>
      <c r="F285" s="289">
        <v>13.5</v>
      </c>
      <c r="G285" s="289">
        <v>1</v>
      </c>
      <c r="H285" s="289">
        <v>0</v>
      </c>
      <c r="I285" s="289">
        <v>0</v>
      </c>
      <c r="J285" s="289">
        <v>0</v>
      </c>
      <c r="K285" s="276">
        <f>AVERAGE(H285:I285)</f>
        <v>0</v>
      </c>
      <c r="L285" s="276">
        <f>PI()/40000*K285^2</f>
        <v>0</v>
      </c>
      <c r="M285" s="276">
        <f t="shared" si="9"/>
        <v>0</v>
      </c>
      <c r="N285" s="276">
        <f t="shared" si="10"/>
        <v>3.1675212169285225</v>
      </c>
      <c r="O285" s="302"/>
      <c r="P285" s="290"/>
      <c r="Q285" s="98"/>
    </row>
    <row r="286" spans="2:17" x14ac:dyDescent="0.3">
      <c r="B286" s="289">
        <v>1</v>
      </c>
      <c r="C286" s="289">
        <v>15</v>
      </c>
      <c r="D286" s="289">
        <v>1</v>
      </c>
      <c r="E286" s="289">
        <v>1</v>
      </c>
      <c r="F286" s="289">
        <v>43.5</v>
      </c>
      <c r="G286" s="289">
        <v>1</v>
      </c>
      <c r="H286" s="289">
        <v>0</v>
      </c>
      <c r="I286" s="289">
        <v>0</v>
      </c>
      <c r="J286" s="289">
        <v>0</v>
      </c>
      <c r="K286" s="276">
        <f>AVERAGE(H286:I286)</f>
        <v>0</v>
      </c>
      <c r="L286" s="276">
        <f>PI()/40000*K286^2</f>
        <v>0</v>
      </c>
      <c r="M286" s="276">
        <f t="shared" si="9"/>
        <v>0</v>
      </c>
      <c r="N286" s="276">
        <f t="shared" si="10"/>
        <v>3.1675212169285225</v>
      </c>
      <c r="O286" s="302"/>
      <c r="P286" s="290"/>
      <c r="Q286" s="98"/>
    </row>
    <row r="287" spans="2:17" x14ac:dyDescent="0.3">
      <c r="B287" s="289">
        <v>1</v>
      </c>
      <c r="C287" s="289">
        <v>47</v>
      </c>
      <c r="D287" s="289">
        <v>2</v>
      </c>
      <c r="E287" s="289">
        <v>1</v>
      </c>
      <c r="F287" s="289">
        <v>4.5</v>
      </c>
      <c r="G287" s="289">
        <v>3</v>
      </c>
      <c r="H287" s="289">
        <v>0</v>
      </c>
      <c r="I287" s="289">
        <v>0</v>
      </c>
      <c r="J287" s="289">
        <v>0</v>
      </c>
      <c r="K287" s="276">
        <f>AVERAGE(H287:I287)</f>
        <v>0</v>
      </c>
      <c r="L287" s="276">
        <f>PI()/40000*K287^2</f>
        <v>0</v>
      </c>
      <c r="M287" s="276">
        <f t="shared" si="9"/>
        <v>0</v>
      </c>
      <c r="N287" s="276">
        <f t="shared" si="10"/>
        <v>3.1675212169285225</v>
      </c>
      <c r="O287" s="302"/>
      <c r="P287" s="290"/>
      <c r="Q287" s="98"/>
    </row>
    <row r="288" spans="2:17" x14ac:dyDescent="0.3">
      <c r="B288" s="289">
        <v>1</v>
      </c>
      <c r="C288" s="289">
        <v>49</v>
      </c>
      <c r="D288" s="289">
        <v>3</v>
      </c>
      <c r="E288" s="289">
        <v>1</v>
      </c>
      <c r="F288" s="289">
        <v>1.5</v>
      </c>
      <c r="G288" s="289">
        <v>5</v>
      </c>
      <c r="H288" s="289">
        <v>0</v>
      </c>
      <c r="I288" s="289">
        <v>0</v>
      </c>
      <c r="J288" s="289">
        <v>0</v>
      </c>
      <c r="K288" s="276">
        <f>AVERAGE(H288:I288)</f>
        <v>0</v>
      </c>
      <c r="L288" s="276">
        <f>PI()/40000*K288^2</f>
        <v>0</v>
      </c>
      <c r="M288" s="276">
        <f t="shared" si="9"/>
        <v>0</v>
      </c>
      <c r="N288" s="276">
        <f t="shared" si="10"/>
        <v>3.1675212169285225</v>
      </c>
      <c r="O288" s="302"/>
      <c r="P288" s="290"/>
      <c r="Q288" s="98"/>
    </row>
    <row r="289" spans="2:17" x14ac:dyDescent="0.3">
      <c r="B289" s="289">
        <v>1</v>
      </c>
      <c r="C289" s="289">
        <v>50</v>
      </c>
      <c r="D289" s="289">
        <v>3</v>
      </c>
      <c r="E289" s="289">
        <v>1</v>
      </c>
      <c r="F289" s="289">
        <v>4.5</v>
      </c>
      <c r="G289" s="289">
        <v>5</v>
      </c>
      <c r="H289" s="289">
        <v>0</v>
      </c>
      <c r="I289" s="289">
        <v>0</v>
      </c>
      <c r="J289" s="289">
        <v>0</v>
      </c>
      <c r="K289" s="276">
        <f>AVERAGE(H289:I289)</f>
        <v>0</v>
      </c>
      <c r="L289" s="276">
        <f>PI()/40000*K289^2</f>
        <v>0</v>
      </c>
      <c r="M289" s="276">
        <f t="shared" si="9"/>
        <v>0</v>
      </c>
      <c r="N289" s="276">
        <f t="shared" si="10"/>
        <v>3.1675212169285225</v>
      </c>
      <c r="O289" s="302"/>
      <c r="P289" s="290"/>
      <c r="Q289" s="98"/>
    </row>
    <row r="290" spans="2:17" x14ac:dyDescent="0.3">
      <c r="B290" s="289">
        <v>1</v>
      </c>
      <c r="C290" s="289">
        <v>56</v>
      </c>
      <c r="D290" s="289">
        <v>3</v>
      </c>
      <c r="E290" s="289">
        <v>1</v>
      </c>
      <c r="F290" s="289">
        <v>22.5</v>
      </c>
      <c r="G290" s="289">
        <v>5</v>
      </c>
      <c r="H290" s="289">
        <v>0</v>
      </c>
      <c r="I290" s="289">
        <v>0</v>
      </c>
      <c r="J290" s="289">
        <v>0</v>
      </c>
      <c r="K290" s="276">
        <f>AVERAGE(H290:I290)</f>
        <v>0</v>
      </c>
      <c r="L290" s="276">
        <f>PI()/40000*K290^2</f>
        <v>0</v>
      </c>
      <c r="M290" s="276">
        <f t="shared" si="9"/>
        <v>0</v>
      </c>
      <c r="N290" s="276">
        <f t="shared" si="10"/>
        <v>3.1675212169285225</v>
      </c>
      <c r="O290" s="302"/>
      <c r="P290" s="290"/>
      <c r="Q290" s="98"/>
    </row>
    <row r="291" spans="2:17" x14ac:dyDescent="0.3">
      <c r="B291" s="289">
        <v>1</v>
      </c>
      <c r="C291" s="289">
        <v>59</v>
      </c>
      <c r="D291" s="289">
        <v>3</v>
      </c>
      <c r="E291" s="289">
        <v>1</v>
      </c>
      <c r="F291" s="289">
        <v>31.5</v>
      </c>
      <c r="G291" s="289">
        <v>5</v>
      </c>
      <c r="H291" s="289">
        <v>0</v>
      </c>
      <c r="I291" s="289">
        <v>0</v>
      </c>
      <c r="J291" s="289">
        <v>0</v>
      </c>
      <c r="K291" s="276">
        <f>AVERAGE(H291:I291)</f>
        <v>0</v>
      </c>
      <c r="L291" s="276">
        <f>PI()/40000*K291^2</f>
        <v>0</v>
      </c>
      <c r="M291" s="276">
        <f t="shared" si="9"/>
        <v>0</v>
      </c>
      <c r="N291" s="276">
        <f t="shared" si="10"/>
        <v>3.1675212169285225</v>
      </c>
      <c r="O291" s="302"/>
      <c r="P291" s="290"/>
      <c r="Q291" s="98"/>
    </row>
    <row r="292" spans="2:17" x14ac:dyDescent="0.3">
      <c r="B292" s="289">
        <v>1</v>
      </c>
      <c r="C292" s="289">
        <v>84</v>
      </c>
      <c r="D292" s="289">
        <v>4</v>
      </c>
      <c r="E292" s="289">
        <v>1</v>
      </c>
      <c r="F292" s="289">
        <v>37.5</v>
      </c>
      <c r="G292" s="289">
        <v>7</v>
      </c>
      <c r="H292" s="289">
        <v>0</v>
      </c>
      <c r="I292" s="289">
        <v>0</v>
      </c>
      <c r="J292" s="289">
        <v>0</v>
      </c>
      <c r="K292" s="276">
        <f>AVERAGE(H292:I292)</f>
        <v>0</v>
      </c>
      <c r="L292" s="276">
        <f>PI()/40000*K292^2</f>
        <v>0</v>
      </c>
      <c r="M292" s="276">
        <f t="shared" si="9"/>
        <v>0</v>
      </c>
      <c r="N292" s="276">
        <f t="shared" si="10"/>
        <v>3.1675212169285225</v>
      </c>
      <c r="O292" s="302"/>
      <c r="P292" s="290"/>
      <c r="Q292" s="98"/>
    </row>
    <row r="293" spans="2:17" x14ac:dyDescent="0.3">
      <c r="B293" s="289">
        <v>1</v>
      </c>
      <c r="C293" s="289">
        <v>91</v>
      </c>
      <c r="D293" s="289">
        <v>4</v>
      </c>
      <c r="E293" s="289">
        <v>1</v>
      </c>
      <c r="F293" s="289">
        <v>16.5</v>
      </c>
      <c r="G293" s="289">
        <v>7</v>
      </c>
      <c r="H293" s="289">
        <v>0</v>
      </c>
      <c r="I293" s="289">
        <v>0</v>
      </c>
      <c r="J293" s="289">
        <v>0</v>
      </c>
      <c r="K293" s="276">
        <f>AVERAGE(H293:I293)</f>
        <v>0</v>
      </c>
      <c r="L293" s="276">
        <f>PI()/40000*K293^2</f>
        <v>0</v>
      </c>
      <c r="M293" s="276">
        <f t="shared" si="9"/>
        <v>0</v>
      </c>
      <c r="N293" s="276">
        <f t="shared" si="10"/>
        <v>3.1675212169285225</v>
      </c>
      <c r="O293" s="302"/>
      <c r="P293" s="290"/>
      <c r="Q293" s="98"/>
    </row>
    <row r="294" spans="2:17" x14ac:dyDescent="0.3">
      <c r="B294" s="289">
        <v>1</v>
      </c>
      <c r="C294" s="289">
        <v>97</v>
      </c>
      <c r="D294" s="289">
        <v>5</v>
      </c>
      <c r="E294" s="289">
        <v>1</v>
      </c>
      <c r="F294" s="289">
        <v>1.5</v>
      </c>
      <c r="G294" s="289">
        <v>9</v>
      </c>
      <c r="H294" s="289">
        <v>0</v>
      </c>
      <c r="I294" s="289">
        <v>0</v>
      </c>
      <c r="J294" s="289">
        <v>0</v>
      </c>
      <c r="K294" s="276">
        <f>AVERAGE(H294:I294)</f>
        <v>0</v>
      </c>
      <c r="L294" s="276">
        <f>PI()/40000*K294^2</f>
        <v>0</v>
      </c>
      <c r="M294" s="276">
        <f t="shared" si="9"/>
        <v>0</v>
      </c>
      <c r="N294" s="276">
        <f t="shared" si="10"/>
        <v>3.1675212169285225</v>
      </c>
      <c r="O294" s="302"/>
      <c r="P294" s="290"/>
      <c r="Q294" s="98"/>
    </row>
    <row r="295" spans="2:17" x14ac:dyDescent="0.3">
      <c r="B295" s="289">
        <v>1</v>
      </c>
      <c r="C295" s="289">
        <v>100</v>
      </c>
      <c r="D295" s="289">
        <v>5</v>
      </c>
      <c r="E295" s="289">
        <v>1</v>
      </c>
      <c r="F295" s="289">
        <v>10.5</v>
      </c>
      <c r="G295" s="289">
        <v>9</v>
      </c>
      <c r="H295" s="289">
        <v>0</v>
      </c>
      <c r="I295" s="289">
        <v>0</v>
      </c>
      <c r="J295" s="289">
        <v>0</v>
      </c>
      <c r="K295" s="276">
        <f>AVERAGE(H295:I295)</f>
        <v>0</v>
      </c>
      <c r="L295" s="276">
        <f>PI()/40000*K295^2</f>
        <v>0</v>
      </c>
      <c r="M295" s="276">
        <f t="shared" si="9"/>
        <v>0</v>
      </c>
      <c r="N295" s="276">
        <f t="shared" si="10"/>
        <v>3.1675212169285225</v>
      </c>
      <c r="O295" s="302"/>
      <c r="P295" s="290"/>
      <c r="Q295" s="98"/>
    </row>
    <row r="296" spans="2:17" x14ac:dyDescent="0.3">
      <c r="B296" s="289">
        <v>1</v>
      </c>
      <c r="C296" s="289">
        <v>133</v>
      </c>
      <c r="D296" s="289">
        <v>6</v>
      </c>
      <c r="E296" s="289">
        <v>1</v>
      </c>
      <c r="F296" s="289">
        <v>34.5</v>
      </c>
      <c r="G296" s="289">
        <v>11</v>
      </c>
      <c r="H296" s="289">
        <v>0</v>
      </c>
      <c r="I296" s="289">
        <v>0</v>
      </c>
      <c r="J296" s="289">
        <v>0</v>
      </c>
      <c r="K296" s="276">
        <f>AVERAGE(H296:I296)</f>
        <v>0</v>
      </c>
      <c r="L296" s="276">
        <f>PI()/40000*K296^2</f>
        <v>0</v>
      </c>
      <c r="M296" s="276">
        <f t="shared" si="9"/>
        <v>0</v>
      </c>
      <c r="N296" s="276">
        <f t="shared" si="10"/>
        <v>3.1675212169285225</v>
      </c>
      <c r="O296" s="302"/>
      <c r="P296" s="290"/>
      <c r="Q296" s="98"/>
    </row>
    <row r="297" spans="2:17" x14ac:dyDescent="0.3">
      <c r="B297" s="289">
        <v>1</v>
      </c>
      <c r="C297" s="289">
        <v>140</v>
      </c>
      <c r="D297" s="289">
        <v>6</v>
      </c>
      <c r="E297" s="289">
        <v>1</v>
      </c>
      <c r="F297" s="289">
        <v>13.5</v>
      </c>
      <c r="G297" s="289">
        <v>11</v>
      </c>
      <c r="H297" s="289">
        <v>0</v>
      </c>
      <c r="I297" s="289">
        <v>0</v>
      </c>
      <c r="J297" s="289">
        <v>0</v>
      </c>
      <c r="K297" s="276">
        <f>AVERAGE(H297:I297)</f>
        <v>0</v>
      </c>
      <c r="L297" s="276">
        <f>PI()/40000*K297^2</f>
        <v>0</v>
      </c>
      <c r="M297" s="276">
        <f t="shared" si="9"/>
        <v>0</v>
      </c>
      <c r="N297" s="276">
        <f t="shared" si="10"/>
        <v>3.1675212169285225</v>
      </c>
      <c r="O297" s="302"/>
      <c r="P297" s="290"/>
      <c r="Q297" s="98"/>
    </row>
    <row r="298" spans="2:17" x14ac:dyDescent="0.3">
      <c r="B298" s="289">
        <v>1</v>
      </c>
      <c r="C298" s="289">
        <v>149</v>
      </c>
      <c r="D298" s="289">
        <v>7</v>
      </c>
      <c r="E298" s="289">
        <v>1</v>
      </c>
      <c r="F298" s="289">
        <v>13.5</v>
      </c>
      <c r="G298" s="289">
        <v>13</v>
      </c>
      <c r="H298" s="289">
        <v>0</v>
      </c>
      <c r="I298" s="289">
        <v>0</v>
      </c>
      <c r="J298" s="289">
        <v>0</v>
      </c>
      <c r="K298" s="276">
        <f>AVERAGE(H298:I298)</f>
        <v>0</v>
      </c>
      <c r="L298" s="276">
        <f>PI()/40000*K298^2</f>
        <v>0</v>
      </c>
      <c r="M298" s="276">
        <f t="shared" si="9"/>
        <v>0</v>
      </c>
      <c r="N298" s="276">
        <f t="shared" si="10"/>
        <v>3.1675212169285225</v>
      </c>
      <c r="O298" s="302"/>
      <c r="P298" s="290"/>
      <c r="Q298" s="98"/>
    </row>
    <row r="299" spans="2:17" x14ac:dyDescent="0.3">
      <c r="B299" s="289">
        <v>1</v>
      </c>
      <c r="C299" s="289">
        <v>158</v>
      </c>
      <c r="D299" s="289">
        <v>7</v>
      </c>
      <c r="E299" s="289">
        <v>1</v>
      </c>
      <c r="F299" s="289">
        <v>40.5</v>
      </c>
      <c r="G299" s="289">
        <v>13</v>
      </c>
      <c r="H299" s="289">
        <v>0</v>
      </c>
      <c r="I299" s="289">
        <v>0</v>
      </c>
      <c r="J299" s="289">
        <v>0</v>
      </c>
      <c r="K299" s="276">
        <f>AVERAGE(H299:I299)</f>
        <v>0</v>
      </c>
      <c r="L299" s="276">
        <f>PI()/40000*K299^2</f>
        <v>0</v>
      </c>
      <c r="M299" s="276">
        <f t="shared" ref="M299:M305" si="12">L299/$N$39</f>
        <v>0</v>
      </c>
      <c r="N299" s="276">
        <f t="shared" ref="N299:N305" si="13">EXP($D$30+$D$31*$L$39+$D$32*M299+$D$33*K299)</f>
        <v>3.1675212169285225</v>
      </c>
      <c r="O299" s="302"/>
      <c r="P299" s="290"/>
      <c r="Q299" s="98"/>
    </row>
    <row r="300" spans="2:17" x14ac:dyDescent="0.3">
      <c r="B300" s="289">
        <v>1</v>
      </c>
      <c r="C300" s="289">
        <v>177</v>
      </c>
      <c r="D300" s="289">
        <v>8</v>
      </c>
      <c r="E300" s="289">
        <v>1</v>
      </c>
      <c r="F300" s="289">
        <v>46.5</v>
      </c>
      <c r="G300" s="289">
        <v>15</v>
      </c>
      <c r="H300" s="289">
        <v>0</v>
      </c>
      <c r="I300" s="289">
        <v>0</v>
      </c>
      <c r="J300" s="289">
        <v>0</v>
      </c>
      <c r="K300" s="276">
        <f>AVERAGE(H300:I300)</f>
        <v>0</v>
      </c>
      <c r="L300" s="276">
        <f>PI()/40000*K300^2</f>
        <v>0</v>
      </c>
      <c r="M300" s="276">
        <f t="shared" si="12"/>
        <v>0</v>
      </c>
      <c r="N300" s="276">
        <f t="shared" si="13"/>
        <v>3.1675212169285225</v>
      </c>
      <c r="O300" s="302"/>
      <c r="P300" s="290"/>
      <c r="Q300" s="98"/>
    </row>
    <row r="301" spans="2:17" x14ac:dyDescent="0.3">
      <c r="B301" s="289">
        <v>1</v>
      </c>
      <c r="C301" s="289">
        <v>186</v>
      </c>
      <c r="D301" s="289">
        <v>8</v>
      </c>
      <c r="E301" s="289">
        <v>2</v>
      </c>
      <c r="F301" s="289">
        <v>19.5</v>
      </c>
      <c r="G301" s="289">
        <v>15</v>
      </c>
      <c r="H301" s="289">
        <v>0</v>
      </c>
      <c r="I301" s="289">
        <v>0</v>
      </c>
      <c r="J301" s="289">
        <v>0</v>
      </c>
      <c r="K301" s="276">
        <f>AVERAGE(H301:I301)</f>
        <v>0</v>
      </c>
      <c r="L301" s="276">
        <f>PI()/40000*K301^2</f>
        <v>0</v>
      </c>
      <c r="M301" s="276">
        <f t="shared" si="12"/>
        <v>0</v>
      </c>
      <c r="N301" s="276">
        <f t="shared" si="13"/>
        <v>3.1675212169285225</v>
      </c>
      <c r="O301" s="302"/>
      <c r="P301" s="290"/>
      <c r="Q301" s="98"/>
    </row>
    <row r="302" spans="2:17" x14ac:dyDescent="0.3">
      <c r="B302" s="289">
        <v>1</v>
      </c>
      <c r="C302" s="289">
        <v>198</v>
      </c>
      <c r="D302" s="289">
        <v>9</v>
      </c>
      <c r="E302" s="289">
        <v>1</v>
      </c>
      <c r="F302" s="289">
        <v>16.5</v>
      </c>
      <c r="G302" s="289">
        <v>17</v>
      </c>
      <c r="H302" s="289">
        <v>0</v>
      </c>
      <c r="I302" s="289">
        <v>0</v>
      </c>
      <c r="J302" s="289">
        <v>0</v>
      </c>
      <c r="K302" s="276">
        <f>AVERAGE(H302:I302)</f>
        <v>0</v>
      </c>
      <c r="L302" s="276">
        <f>PI()/40000*K302^2</f>
        <v>0</v>
      </c>
      <c r="M302" s="276">
        <f t="shared" si="12"/>
        <v>0</v>
      </c>
      <c r="N302" s="276">
        <f t="shared" si="13"/>
        <v>3.1675212169285225</v>
      </c>
      <c r="O302" s="302"/>
      <c r="P302" s="290"/>
      <c r="Q302" s="98"/>
    </row>
    <row r="303" spans="2:17" x14ac:dyDescent="0.3">
      <c r="B303" s="289">
        <v>1</v>
      </c>
      <c r="C303" s="289">
        <v>232</v>
      </c>
      <c r="D303" s="289">
        <v>10</v>
      </c>
      <c r="E303" s="289">
        <v>1</v>
      </c>
      <c r="F303" s="289">
        <v>25.5</v>
      </c>
      <c r="G303" s="289">
        <v>19</v>
      </c>
      <c r="H303" s="289">
        <v>0</v>
      </c>
      <c r="I303" s="289">
        <v>0</v>
      </c>
      <c r="J303" s="289">
        <v>0</v>
      </c>
      <c r="K303" s="276">
        <f>AVERAGE(H303:I303)</f>
        <v>0</v>
      </c>
      <c r="L303" s="276">
        <f>PI()/40000*K303^2</f>
        <v>0</v>
      </c>
      <c r="M303" s="276">
        <f t="shared" si="12"/>
        <v>0</v>
      </c>
      <c r="N303" s="276">
        <f t="shared" si="13"/>
        <v>3.1675212169285225</v>
      </c>
      <c r="O303" s="302"/>
      <c r="P303" s="290"/>
      <c r="Q303" s="98"/>
    </row>
    <row r="304" spans="2:17" x14ac:dyDescent="0.3">
      <c r="B304" s="289">
        <v>1</v>
      </c>
      <c r="C304" s="289">
        <v>242</v>
      </c>
      <c r="D304" s="289">
        <v>11</v>
      </c>
      <c r="E304" s="289">
        <v>1</v>
      </c>
      <c r="F304" s="289">
        <v>4.5</v>
      </c>
      <c r="G304" s="289">
        <v>21</v>
      </c>
      <c r="H304" s="289">
        <v>0</v>
      </c>
      <c r="I304" s="289">
        <v>0</v>
      </c>
      <c r="J304" s="289">
        <v>0</v>
      </c>
      <c r="K304" s="276">
        <f>AVERAGE(H304:I304)</f>
        <v>0</v>
      </c>
      <c r="L304" s="276">
        <f>PI()/40000*K304^2</f>
        <v>0</v>
      </c>
      <c r="M304" s="276">
        <f t="shared" si="12"/>
        <v>0</v>
      </c>
      <c r="N304" s="276">
        <f t="shared" si="13"/>
        <v>3.1675212169285225</v>
      </c>
      <c r="O304" s="302"/>
      <c r="P304" s="290"/>
      <c r="Q304" s="98"/>
    </row>
    <row r="305" spans="2:17" x14ac:dyDescent="0.3">
      <c r="B305" s="289">
        <v>1</v>
      </c>
      <c r="C305" s="289">
        <v>254</v>
      </c>
      <c r="D305" s="289">
        <v>11</v>
      </c>
      <c r="E305" s="289">
        <v>1</v>
      </c>
      <c r="F305" s="289">
        <v>40.5</v>
      </c>
      <c r="G305" s="289">
        <v>21</v>
      </c>
      <c r="H305" s="289">
        <v>0</v>
      </c>
      <c r="I305" s="289">
        <v>0</v>
      </c>
      <c r="J305" s="289">
        <v>0</v>
      </c>
      <c r="K305" s="276">
        <f>AVERAGE(H305:I305)</f>
        <v>0</v>
      </c>
      <c r="L305" s="276">
        <f>PI()/40000*K305^2</f>
        <v>0</v>
      </c>
      <c r="M305" s="276">
        <f t="shared" si="12"/>
        <v>0</v>
      </c>
      <c r="N305" s="276">
        <f t="shared" si="13"/>
        <v>3.1675212169285225</v>
      </c>
      <c r="O305" s="302"/>
      <c r="P305" s="290"/>
      <c r="Q305" s="98"/>
    </row>
    <row r="306" spans="2:17" x14ac:dyDescent="0.3">
      <c r="O306" s="291"/>
      <c r="Q306" s="98"/>
    </row>
  </sheetData>
  <sortState ref="B42:Q305">
    <sortCondition descending="1" ref="K42:K305"/>
  </sortState>
  <mergeCells count="6">
    <mergeCell ref="B2:O3"/>
    <mergeCell ref="G30:O30"/>
    <mergeCell ref="G31:O31"/>
    <mergeCell ref="G32:O32"/>
    <mergeCell ref="G33:O33"/>
    <mergeCell ref="L37:N37"/>
  </mergeCells>
  <pageMargins left="0.7" right="0.7" top="0.75" bottom="0.75" header="0.3" footer="0.3"/>
  <drawing r:id="rId1"/>
  <legacyDrawing r:id="rId2"/>
  <oleObjects>
    <mc:AlternateContent xmlns:mc="http://schemas.openxmlformats.org/markup-compatibility/2006">
      <mc:Choice Requires="x14">
        <oleObject progId="Equation.3" shapeId="6145" r:id="rId3">
          <objectPr defaultSize="0" autoPict="0" r:id="rId4">
            <anchor moveWithCells="1" sizeWithCells="1">
              <from>
                <xdr:col>7</xdr:col>
                <xdr:colOff>0</xdr:colOff>
                <xdr:row>3</xdr:row>
                <xdr:rowOff>99060</xdr:rowOff>
              </from>
              <to>
                <xdr:col>7</xdr:col>
                <xdr:colOff>0</xdr:colOff>
                <xdr:row>7</xdr:row>
                <xdr:rowOff>30480</xdr:rowOff>
              </to>
            </anchor>
          </objectPr>
        </oleObject>
      </mc:Choice>
      <mc:Fallback>
        <oleObject progId="Equation.3" shapeId="6145" r:id="rId3"/>
      </mc:Fallback>
    </mc:AlternateContent>
    <mc:AlternateContent xmlns:mc="http://schemas.openxmlformats.org/markup-compatibility/2006">
      <mc:Choice Requires="x14">
        <oleObject progId="Equation.3" shapeId="6146" r:id="rId5">
          <objectPr defaultSize="0" autoPict="0" r:id="rId6">
            <anchor moveWithCells="1" sizeWithCells="1">
              <from>
                <xdr:col>14</xdr:col>
                <xdr:colOff>350520</xdr:colOff>
                <xdr:row>23</xdr:row>
                <xdr:rowOff>137160</xdr:rowOff>
              </from>
              <to>
                <xdr:col>15</xdr:col>
                <xdr:colOff>480060</xdr:colOff>
                <xdr:row>26</xdr:row>
                <xdr:rowOff>175260</xdr:rowOff>
              </to>
            </anchor>
          </objectPr>
        </oleObject>
      </mc:Choice>
      <mc:Fallback>
        <oleObject progId="Equation.3" shapeId="6146" r:id="rId5"/>
      </mc:Fallback>
    </mc:AlternateContent>
    <mc:AlternateContent xmlns:mc="http://schemas.openxmlformats.org/markup-compatibility/2006">
      <mc:Choice Requires="x14">
        <oleObject progId="Equation.3" shapeId="6147" r:id="rId7">
          <objectPr defaultSize="0" autoPict="0" r:id="rId8">
            <anchor moveWithCells="1" sizeWithCells="1">
              <from>
                <xdr:col>6</xdr:col>
                <xdr:colOff>30480</xdr:colOff>
                <xdr:row>21</xdr:row>
                <xdr:rowOff>30480</xdr:rowOff>
              </from>
              <to>
                <xdr:col>14</xdr:col>
                <xdr:colOff>190500</xdr:colOff>
                <xdr:row>26</xdr:row>
                <xdr:rowOff>60960</xdr:rowOff>
              </to>
            </anchor>
          </objectPr>
        </oleObject>
      </mc:Choice>
      <mc:Fallback>
        <oleObject progId="Equation.3" shapeId="6147"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Ex_1_class</vt:lpstr>
      <vt:lpstr>Ex_2_class</vt:lpstr>
      <vt:lpstr>Ex_3_class</vt:lpstr>
      <vt:lpstr>Ex_4_class</vt:lpstr>
      <vt:lpstr>Ex_5_class</vt:lpstr>
      <vt:lpstr>Ex_6_class</vt:lpstr>
      <vt:lpstr>Ex_7_class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smb</dc:creator>
  <cp:lastModifiedBy>smb</cp:lastModifiedBy>
  <cp:lastPrinted>2018-08-13T12:40:57Z</cp:lastPrinted>
  <dcterms:created xsi:type="dcterms:W3CDTF">2017-03-03T11:49:22Z</dcterms:created>
  <dcterms:modified xsi:type="dcterms:W3CDTF">2021-02-24T13:37:13Z</dcterms:modified>
</cp:coreProperties>
</file>