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drawings/drawing5.xml" ContentType="application/vnd.openxmlformats-officedocument.drawing+xml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LG_Backup\Susana\Aulas\2020-2021_Inventario\"/>
    </mc:Choice>
  </mc:AlternateContent>
  <bookViews>
    <workbookView xWindow="0" yWindow="0" windowWidth="23040" windowHeight="8904" firstSheet="2" activeTab="6"/>
  </bookViews>
  <sheets>
    <sheet name="ficha de campo" sheetId="2" r:id="rId1"/>
    <sheet name="Ex_321" sheetId="1" r:id="rId2"/>
    <sheet name="Ex_322" sheetId="4" r:id="rId3"/>
    <sheet name="Ex_322_k" sheetId="5" r:id="rId4"/>
    <sheet name="Ex_323" sheetId="6" r:id="rId5"/>
    <sheet name="Ex_324" sheetId="7" r:id="rId6"/>
    <sheet name="Ex_327" sheetId="8" r:id="rId7"/>
  </sheets>
  <definedNames>
    <definedName name="_Ref35538758" localSheetId="5">Ex_324!$L$6</definedName>
    <definedName name="_Toc35591890" localSheetId="5">Ex_324!$L$15</definedName>
    <definedName name="_Toc35591891" localSheetId="5">Ex_324!$L$26</definedName>
    <definedName name="_Toc36579243" localSheetId="1">Ex_321!$A$2</definedName>
    <definedName name="_Toc36579243" localSheetId="2">Ex_322!#REF!</definedName>
    <definedName name="_Toc36579246" localSheetId="5">Ex_324!$A$2</definedName>
    <definedName name="_Toc36579249" localSheetId="6">Ex_327!$A$1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31" i="7" l="1"/>
  <c r="J27" i="7"/>
  <c r="J28" i="7"/>
  <c r="J29" i="7"/>
  <c r="J30" i="7"/>
  <c r="I28" i="7"/>
  <c r="I29" i="7"/>
  <c r="I30" i="7"/>
  <c r="I27" i="7"/>
  <c r="B26" i="7"/>
  <c r="I19" i="7"/>
  <c r="I18" i="7"/>
  <c r="I17" i="7"/>
  <c r="I16" i="7"/>
  <c r="H22" i="7"/>
  <c r="G22" i="7"/>
  <c r="F22" i="7"/>
  <c r="B21" i="7"/>
  <c r="E22" i="7"/>
  <c r="D22" i="7"/>
  <c r="C22" i="7"/>
  <c r="F7" i="7"/>
  <c r="F6" i="7"/>
  <c r="H9" i="7"/>
  <c r="H10" i="7"/>
  <c r="H11" i="7"/>
  <c r="G9" i="7"/>
  <c r="G11" i="7"/>
  <c r="G10" i="7"/>
  <c r="D11" i="7"/>
  <c r="D10" i="7"/>
  <c r="D9" i="7"/>
  <c r="B12" i="7"/>
  <c r="H77" i="6"/>
  <c r="G77" i="6"/>
  <c r="F78" i="6"/>
  <c r="F79" i="6"/>
  <c r="F80" i="6"/>
  <c r="F81" i="6"/>
  <c r="F82" i="6"/>
  <c r="F83" i="6"/>
  <c r="F84" i="6"/>
  <c r="F77" i="6"/>
  <c r="D78" i="6"/>
  <c r="G78" i="6" s="1"/>
  <c r="H78" i="6" s="1"/>
  <c r="D79" i="6"/>
  <c r="D80" i="6"/>
  <c r="D81" i="6"/>
  <c r="E81" i="6" s="1"/>
  <c r="D77" i="6"/>
  <c r="C77" i="6" s="1"/>
  <c r="G81" i="6"/>
  <c r="H81" i="6" s="1"/>
  <c r="G80" i="6"/>
  <c r="H80" i="6" s="1"/>
  <c r="E80" i="6"/>
  <c r="C80" i="6"/>
  <c r="G79" i="6"/>
  <c r="H79" i="6" s="1"/>
  <c r="E79" i="6"/>
  <c r="C79" i="6"/>
  <c r="E78" i="6"/>
  <c r="E77" i="6"/>
  <c r="H72" i="6"/>
  <c r="F72" i="6"/>
  <c r="F71" i="6"/>
  <c r="K72" i="6"/>
  <c r="K71" i="6"/>
  <c r="H71" i="6"/>
  <c r="J67" i="6"/>
  <c r="K67" i="6" s="1"/>
  <c r="J68" i="6"/>
  <c r="K68" i="6" s="1"/>
  <c r="J69" i="6"/>
  <c r="K69" i="6"/>
  <c r="J70" i="6"/>
  <c r="K70" i="6" s="1"/>
  <c r="J66" i="6"/>
  <c r="I67" i="6"/>
  <c r="I68" i="6"/>
  <c r="I69" i="6"/>
  <c r="I70" i="6"/>
  <c r="I66" i="6"/>
  <c r="H70" i="6"/>
  <c r="G66" i="6"/>
  <c r="G70" i="6"/>
  <c r="O64" i="6"/>
  <c r="F67" i="6"/>
  <c r="F68" i="6"/>
  <c r="F69" i="6"/>
  <c r="F70" i="6"/>
  <c r="F66" i="6"/>
  <c r="A70" i="6"/>
  <c r="E70" i="6"/>
  <c r="C70" i="6"/>
  <c r="D70" i="6"/>
  <c r="D67" i="6"/>
  <c r="C67" i="6" s="1"/>
  <c r="D68" i="6"/>
  <c r="C68" i="6" s="1"/>
  <c r="D69" i="6"/>
  <c r="D66" i="6"/>
  <c r="O63" i="6"/>
  <c r="O62" i="6"/>
  <c r="G69" i="6"/>
  <c r="H69" i="6" s="1"/>
  <c r="H66" i="6"/>
  <c r="E66" i="6"/>
  <c r="C66" i="6"/>
  <c r="A66" i="6" s="1"/>
  <c r="E26" i="6"/>
  <c r="O24" i="6"/>
  <c r="O23" i="6"/>
  <c r="J32" i="7" l="1"/>
  <c r="J33" i="7" s="1"/>
  <c r="A80" i="6"/>
  <c r="A79" i="6"/>
  <c r="H82" i="6"/>
  <c r="H83" i="6" s="1"/>
  <c r="C81" i="6"/>
  <c r="A81" i="6" s="1"/>
  <c r="A77" i="6"/>
  <c r="C78" i="6"/>
  <c r="A78" i="6" s="1"/>
  <c r="K66" i="6"/>
  <c r="E67" i="6"/>
  <c r="A67" i="6" s="1"/>
  <c r="G67" i="6"/>
  <c r="H67" i="6" s="1"/>
  <c r="E68" i="6"/>
  <c r="A68" i="6" s="1"/>
  <c r="C69" i="6"/>
  <c r="G68" i="6"/>
  <c r="H68" i="6" s="1"/>
  <c r="E69" i="6"/>
  <c r="A69" i="6" l="1"/>
  <c r="O22" i="6" l="1"/>
  <c r="E27" i="6" l="1"/>
  <c r="E28" i="6"/>
  <c r="E29" i="6"/>
  <c r="A26" i="6"/>
  <c r="C27" i="6"/>
  <c r="C28" i="6"/>
  <c r="C29" i="6"/>
  <c r="C26" i="6"/>
  <c r="V28" i="4" l="1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91" i="4"/>
  <c r="V92" i="4"/>
  <c r="V93" i="4"/>
  <c r="V94" i="4"/>
  <c r="V95" i="4"/>
  <c r="V96" i="4"/>
  <c r="V97" i="4"/>
  <c r="V98" i="4"/>
  <c r="V99" i="4"/>
  <c r="V100" i="4"/>
  <c r="V101" i="4"/>
  <c r="V102" i="4"/>
  <c r="V103" i="4"/>
  <c r="V104" i="4"/>
  <c r="V105" i="4"/>
  <c r="V106" i="4"/>
  <c r="V27" i="4"/>
  <c r="F27" i="6" l="1"/>
  <c r="F28" i="6"/>
  <c r="F29" i="6"/>
  <c r="F26" i="6"/>
  <c r="D27" i="6"/>
  <c r="G27" i="6" s="1"/>
  <c r="D28" i="6"/>
  <c r="G28" i="6" s="1"/>
  <c r="H28" i="6" s="1"/>
  <c r="D29" i="6"/>
  <c r="D26" i="6"/>
  <c r="F43" i="6"/>
  <c r="F42" i="6"/>
  <c r="A40" i="6"/>
  <c r="A39" i="6"/>
  <c r="A38" i="6"/>
  <c r="A37" i="6"/>
  <c r="A29" i="6"/>
  <c r="A28" i="6"/>
  <c r="A27" i="6"/>
  <c r="M42" i="6"/>
  <c r="M43" i="6"/>
  <c r="M37" i="6"/>
  <c r="L38" i="6"/>
  <c r="L39" i="6"/>
  <c r="L40" i="6"/>
  <c r="L37" i="6"/>
  <c r="K38" i="6"/>
  <c r="K39" i="6"/>
  <c r="K40" i="6"/>
  <c r="K37" i="6"/>
  <c r="I28" i="6"/>
  <c r="J28" i="6" s="1"/>
  <c r="K28" i="6" s="1"/>
  <c r="I29" i="6"/>
  <c r="J29" i="6" s="1"/>
  <c r="K29" i="6" s="1"/>
  <c r="H40" i="6"/>
  <c r="G40" i="6"/>
  <c r="G39" i="6"/>
  <c r="H39" i="6" s="1"/>
  <c r="G38" i="6"/>
  <c r="H38" i="6" s="1"/>
  <c r="H42" i="6" s="1"/>
  <c r="H43" i="6" s="1"/>
  <c r="G37" i="6"/>
  <c r="H37" i="6" s="1"/>
  <c r="G26" i="6"/>
  <c r="G29" i="6"/>
  <c r="AC27" i="4"/>
  <c r="AB27" i="4"/>
  <c r="AD36" i="4"/>
  <c r="AD40" i="4"/>
  <c r="AD54" i="4"/>
  <c r="AE54" i="4" s="1"/>
  <c r="AF54" i="4" s="1"/>
  <c r="AG54" i="4" s="1"/>
  <c r="AD76" i="4"/>
  <c r="AD77" i="4"/>
  <c r="AD89" i="4"/>
  <c r="AD27" i="4"/>
  <c r="AC36" i="4"/>
  <c r="AC40" i="4"/>
  <c r="AC54" i="4"/>
  <c r="AC76" i="4"/>
  <c r="AC77" i="4"/>
  <c r="AC89" i="4"/>
  <c r="AB36" i="4"/>
  <c r="AB40" i="4"/>
  <c r="AB54" i="4"/>
  <c r="AB76" i="4"/>
  <c r="AB77" i="4"/>
  <c r="AB89" i="4"/>
  <c r="AA36" i="4"/>
  <c r="AA40" i="4"/>
  <c r="AA54" i="4"/>
  <c r="AA76" i="4"/>
  <c r="AA77" i="4"/>
  <c r="AA89" i="4"/>
  <c r="AA27" i="4"/>
  <c r="AE76" i="4" l="1"/>
  <c r="AF76" i="4" s="1"/>
  <c r="AG76" i="4" s="1"/>
  <c r="AE36" i="4"/>
  <c r="AF36" i="4" s="1"/>
  <c r="AG36" i="4" s="1"/>
  <c r="AE89" i="4"/>
  <c r="AF89" i="4" s="1"/>
  <c r="AG89" i="4" s="1"/>
  <c r="AE40" i="4"/>
  <c r="AF40" i="4" s="1"/>
  <c r="AG40" i="4" s="1"/>
  <c r="AE77" i="4"/>
  <c r="AF77" i="4" s="1"/>
  <c r="AG77" i="4" s="1"/>
  <c r="H29" i="6"/>
  <c r="H27" i="6"/>
  <c r="F31" i="6"/>
  <c r="F32" i="6" s="1"/>
  <c r="H26" i="6"/>
  <c r="I27" i="6"/>
  <c r="J27" i="6" s="1"/>
  <c r="K27" i="6" s="1"/>
  <c r="I26" i="6"/>
  <c r="J26" i="6" s="1"/>
  <c r="K26" i="6" s="1"/>
  <c r="K31" i="6" s="1"/>
  <c r="K32" i="6" s="1"/>
  <c r="AE27" i="4"/>
  <c r="Y27" i="4"/>
  <c r="Z27" i="4"/>
  <c r="X27" i="4"/>
  <c r="W27" i="4"/>
  <c r="G2" i="4"/>
  <c r="U27" i="4"/>
  <c r="T27" i="4"/>
  <c r="S27" i="4"/>
  <c r="R27" i="4"/>
  <c r="Q27" i="4"/>
  <c r="Q36" i="4"/>
  <c r="Q40" i="4"/>
  <c r="Q46" i="4"/>
  <c r="Q54" i="4"/>
  <c r="Q76" i="4"/>
  <c r="Q77" i="4"/>
  <c r="Q89" i="4"/>
  <c r="O36" i="4"/>
  <c r="R36" i="4" s="1"/>
  <c r="P36" i="4"/>
  <c r="P40" i="4"/>
  <c r="P46" i="4"/>
  <c r="P54" i="4"/>
  <c r="P59" i="4"/>
  <c r="P76" i="4"/>
  <c r="P77" i="4"/>
  <c r="P89" i="4"/>
  <c r="P27" i="4"/>
  <c r="O27" i="4"/>
  <c r="O29" i="4"/>
  <c r="R29" i="4" s="1"/>
  <c r="O30" i="4"/>
  <c r="R30" i="4" s="1"/>
  <c r="O33" i="4"/>
  <c r="R33" i="4" s="1"/>
  <c r="O35" i="4"/>
  <c r="R35" i="4" s="1"/>
  <c r="O38" i="4"/>
  <c r="R38" i="4" s="1"/>
  <c r="O39" i="4"/>
  <c r="R39" i="4" s="1"/>
  <c r="O40" i="4"/>
  <c r="R40" i="4" s="1"/>
  <c r="O41" i="4"/>
  <c r="R41" i="4" s="1"/>
  <c r="O43" i="4"/>
  <c r="R43" i="4" s="1"/>
  <c r="O44" i="4"/>
  <c r="R44" i="4" s="1"/>
  <c r="O46" i="4"/>
  <c r="R46" i="4" s="1"/>
  <c r="O47" i="4"/>
  <c r="R47" i="4" s="1"/>
  <c r="O48" i="4"/>
  <c r="R48" i="4" s="1"/>
  <c r="O49" i="4"/>
  <c r="R49" i="4" s="1"/>
  <c r="O50" i="4"/>
  <c r="R50" i="4" s="1"/>
  <c r="O51" i="4"/>
  <c r="R51" i="4" s="1"/>
  <c r="O52" i="4"/>
  <c r="R52" i="4" s="1"/>
  <c r="O53" i="4"/>
  <c r="R53" i="4" s="1"/>
  <c r="O54" i="4"/>
  <c r="R54" i="4" s="1"/>
  <c r="O55" i="4"/>
  <c r="R55" i="4" s="1"/>
  <c r="O56" i="4"/>
  <c r="R56" i="4" s="1"/>
  <c r="O58" i="4"/>
  <c r="R58" i="4" s="1"/>
  <c r="O59" i="4"/>
  <c r="R59" i="4" s="1"/>
  <c r="O60" i="4"/>
  <c r="R60" i="4" s="1"/>
  <c r="O61" i="4"/>
  <c r="R61" i="4" s="1"/>
  <c r="O62" i="4"/>
  <c r="R62" i="4" s="1"/>
  <c r="O63" i="4"/>
  <c r="R63" i="4" s="1"/>
  <c r="O64" i="4"/>
  <c r="R64" i="4" s="1"/>
  <c r="O65" i="4"/>
  <c r="R65" i="4" s="1"/>
  <c r="O66" i="4"/>
  <c r="R66" i="4" s="1"/>
  <c r="O68" i="4"/>
  <c r="R68" i="4" s="1"/>
  <c r="O69" i="4"/>
  <c r="R69" i="4" s="1"/>
  <c r="O70" i="4"/>
  <c r="R70" i="4" s="1"/>
  <c r="O73" i="4"/>
  <c r="R73" i="4" s="1"/>
  <c r="O74" i="4"/>
  <c r="R74" i="4" s="1"/>
  <c r="O75" i="4"/>
  <c r="R75" i="4" s="1"/>
  <c r="O76" i="4"/>
  <c r="R76" i="4" s="1"/>
  <c r="O77" i="4"/>
  <c r="R77" i="4" s="1"/>
  <c r="O80" i="4"/>
  <c r="R80" i="4" s="1"/>
  <c r="O82" i="4"/>
  <c r="R82" i="4" s="1"/>
  <c r="O83" i="4"/>
  <c r="R83" i="4" s="1"/>
  <c r="O85" i="4"/>
  <c r="R85" i="4" s="1"/>
  <c r="O87" i="4"/>
  <c r="R87" i="4" s="1"/>
  <c r="O89" i="4"/>
  <c r="R89" i="4" s="1"/>
  <c r="O91" i="4"/>
  <c r="R91" i="4" s="1"/>
  <c r="O94" i="4"/>
  <c r="R94" i="4" s="1"/>
  <c r="O95" i="4"/>
  <c r="R95" i="4" s="1"/>
  <c r="O96" i="4"/>
  <c r="R96" i="4" s="1"/>
  <c r="O98" i="4"/>
  <c r="R98" i="4" s="1"/>
  <c r="O100" i="4"/>
  <c r="R100" i="4" s="1"/>
  <c r="O101" i="4"/>
  <c r="R101" i="4" s="1"/>
  <c r="O102" i="4"/>
  <c r="R102" i="4" s="1"/>
  <c r="O103" i="4"/>
  <c r="R103" i="4" s="1"/>
  <c r="O105" i="4"/>
  <c r="R105" i="4" s="1"/>
  <c r="O106" i="4"/>
  <c r="R106" i="4" s="1"/>
  <c r="N27" i="4"/>
  <c r="N36" i="4"/>
  <c r="U36" i="4" s="1"/>
  <c r="N40" i="4"/>
  <c r="N54" i="4"/>
  <c r="Z54" i="4" s="1"/>
  <c r="N76" i="4"/>
  <c r="U76" i="4" s="1"/>
  <c r="N77" i="4"/>
  <c r="Z77" i="4" s="1"/>
  <c r="N89" i="4"/>
  <c r="M27" i="4"/>
  <c r="M36" i="4"/>
  <c r="M40" i="4"/>
  <c r="M54" i="4"/>
  <c r="M57" i="4"/>
  <c r="M76" i="4"/>
  <c r="M77" i="4"/>
  <c r="M89" i="4"/>
  <c r="I16" i="4"/>
  <c r="J16" i="4"/>
  <c r="L27" i="4"/>
  <c r="L29" i="4"/>
  <c r="L34" i="4"/>
  <c r="L35" i="4"/>
  <c r="L37" i="4"/>
  <c r="L46" i="4"/>
  <c r="W46" i="4" s="1"/>
  <c r="L47" i="4"/>
  <c r="L57" i="4"/>
  <c r="L58" i="4"/>
  <c r="W58" i="4" s="1"/>
  <c r="L59" i="4"/>
  <c r="L65" i="4"/>
  <c r="L78" i="4"/>
  <c r="L84" i="4"/>
  <c r="W84" i="4" s="1"/>
  <c r="L90" i="4"/>
  <c r="W90" i="4" s="1"/>
  <c r="L97" i="4"/>
  <c r="N97" i="4" s="1"/>
  <c r="L99" i="4"/>
  <c r="L106" i="4"/>
  <c r="W106" i="4" s="1"/>
  <c r="W54" i="4" l="1"/>
  <c r="X54" i="4" s="1"/>
  <c r="T54" i="4"/>
  <c r="X46" i="4"/>
  <c r="S59" i="4"/>
  <c r="T36" i="4"/>
  <c r="Y36" i="4"/>
  <c r="W77" i="4"/>
  <c r="X77" i="4" s="1"/>
  <c r="S77" i="4"/>
  <c r="Y54" i="4"/>
  <c r="U40" i="4"/>
  <c r="Z40" i="4"/>
  <c r="Q97" i="4"/>
  <c r="Z97" i="4" s="1"/>
  <c r="P97" i="4"/>
  <c r="O97" i="4"/>
  <c r="R97" i="4" s="1"/>
  <c r="U89" i="4"/>
  <c r="Z89" i="4"/>
  <c r="N84" i="4"/>
  <c r="AD84" i="4"/>
  <c r="AC84" i="4"/>
  <c r="AB84" i="4"/>
  <c r="AA84" i="4"/>
  <c r="N78" i="4"/>
  <c r="AA78" i="4"/>
  <c r="AB78" i="4"/>
  <c r="AD78" i="4"/>
  <c r="AC78" i="4"/>
  <c r="W78" i="4"/>
  <c r="N35" i="4"/>
  <c r="AA35" i="4"/>
  <c r="AB35" i="4"/>
  <c r="AD35" i="4"/>
  <c r="AC35" i="4"/>
  <c r="W35" i="4"/>
  <c r="Y77" i="4"/>
  <c r="Y46" i="4"/>
  <c r="T46" i="4"/>
  <c r="N37" i="4"/>
  <c r="AB37" i="4"/>
  <c r="AD37" i="4"/>
  <c r="AC37" i="4"/>
  <c r="AA37" i="4"/>
  <c r="AA65" i="4"/>
  <c r="AB65" i="4"/>
  <c r="AD65" i="4"/>
  <c r="AC65" i="4"/>
  <c r="W65" i="4"/>
  <c r="N65" i="4"/>
  <c r="M65" i="4"/>
  <c r="N34" i="4"/>
  <c r="AB34" i="4"/>
  <c r="AA34" i="4"/>
  <c r="AD34" i="4"/>
  <c r="AC34" i="4"/>
  <c r="W34" i="4"/>
  <c r="Y76" i="4"/>
  <c r="T76" i="4"/>
  <c r="S76" i="4"/>
  <c r="S36" i="4"/>
  <c r="S54" i="4"/>
  <c r="U54" i="4"/>
  <c r="W36" i="4"/>
  <c r="X36" i="4" s="1"/>
  <c r="N29" i="4"/>
  <c r="AB29" i="4"/>
  <c r="AD29" i="4"/>
  <c r="AC29" i="4"/>
  <c r="AA29" i="4"/>
  <c r="Z36" i="4"/>
  <c r="S89" i="4"/>
  <c r="W76" i="4"/>
  <c r="X76" i="4" s="1"/>
  <c r="W29" i="4"/>
  <c r="N106" i="4"/>
  <c r="AA106" i="4"/>
  <c r="AB106" i="4"/>
  <c r="AD106" i="4"/>
  <c r="AC106" i="4"/>
  <c r="N99" i="4"/>
  <c r="AA99" i="4"/>
  <c r="AB99" i="4"/>
  <c r="AD99" i="4"/>
  <c r="AC99" i="4"/>
  <c r="W99" i="4"/>
  <c r="S40" i="4"/>
  <c r="Y89" i="4"/>
  <c r="T89" i="4"/>
  <c r="S46" i="4"/>
  <c r="T77" i="4"/>
  <c r="W89" i="4"/>
  <c r="X89" i="4" s="1"/>
  <c r="N59" i="4"/>
  <c r="AA59" i="4"/>
  <c r="AB59" i="4"/>
  <c r="AD59" i="4"/>
  <c r="AC59" i="4"/>
  <c r="W59" i="4"/>
  <c r="X59" i="4" s="1"/>
  <c r="N58" i="4"/>
  <c r="AB58" i="4"/>
  <c r="AA58" i="4"/>
  <c r="AD58" i="4"/>
  <c r="AC58" i="4"/>
  <c r="AC57" i="4"/>
  <c r="AA57" i="4"/>
  <c r="AD57" i="4"/>
  <c r="AB57" i="4"/>
  <c r="W57" i="4"/>
  <c r="N57" i="4"/>
  <c r="Y40" i="4"/>
  <c r="T40" i="4"/>
  <c r="U77" i="4"/>
  <c r="W40" i="4"/>
  <c r="X40" i="4" s="1"/>
  <c r="AD97" i="4"/>
  <c r="AA97" i="4"/>
  <c r="AC97" i="4"/>
  <c r="AB97" i="4"/>
  <c r="W97" i="4"/>
  <c r="N47" i="4"/>
  <c r="AA47" i="4"/>
  <c r="AB47" i="4"/>
  <c r="AD47" i="4"/>
  <c r="AC47" i="4"/>
  <c r="W47" i="4"/>
  <c r="N90" i="4"/>
  <c r="AB90" i="4"/>
  <c r="AA90" i="4"/>
  <c r="AD90" i="4"/>
  <c r="AC90" i="4"/>
  <c r="N46" i="4"/>
  <c r="AA46" i="4"/>
  <c r="AB46" i="4"/>
  <c r="AD46" i="4"/>
  <c r="AC46" i="4"/>
  <c r="M97" i="4"/>
  <c r="Z76" i="4"/>
  <c r="H31" i="6"/>
  <c r="H32" i="6" s="1"/>
  <c r="AF27" i="4"/>
  <c r="M47" i="4"/>
  <c r="M78" i="4"/>
  <c r="M46" i="4"/>
  <c r="M37" i="4"/>
  <c r="M29" i="4"/>
  <c r="M84" i="4"/>
  <c r="M99" i="4"/>
  <c r="M59" i="4"/>
  <c r="M35" i="4"/>
  <c r="M106" i="4"/>
  <c r="M90" i="4"/>
  <c r="M58" i="4"/>
  <c r="M34" i="4"/>
  <c r="AM6" i="5"/>
  <c r="AJ6" i="5"/>
  <c r="AL16" i="5"/>
  <c r="AL15" i="5"/>
  <c r="AK15" i="5"/>
  <c r="AL14" i="5"/>
  <c r="AW6" i="5"/>
  <c r="AX6" i="5" s="1"/>
  <c r="AW7" i="5"/>
  <c r="AX7" i="5" s="1"/>
  <c r="AW8" i="5"/>
  <c r="AX8" i="5" s="1"/>
  <c r="AW9" i="5"/>
  <c r="AX9" i="5"/>
  <c r="AW10" i="5"/>
  <c r="AX10" i="5" s="1"/>
  <c r="AW11" i="5"/>
  <c r="AX11" i="5" s="1"/>
  <c r="AW12" i="5"/>
  <c r="AX12" i="5" s="1"/>
  <c r="AW13" i="5"/>
  <c r="AX13" i="5"/>
  <c r="AW14" i="5"/>
  <c r="AX14" i="5" s="1"/>
  <c r="AW15" i="5"/>
  <c r="AX15" i="5" s="1"/>
  <c r="AW16" i="5"/>
  <c r="AX16" i="5" s="1"/>
  <c r="AW17" i="5"/>
  <c r="AX17" i="5"/>
  <c r="AW18" i="5"/>
  <c r="AX18" i="5" s="1"/>
  <c r="AW19" i="5"/>
  <c r="AX19" i="5" s="1"/>
  <c r="AW20" i="5"/>
  <c r="AX20" i="5" s="1"/>
  <c r="AW21" i="5"/>
  <c r="AX21" i="5"/>
  <c r="AW22" i="5"/>
  <c r="AX22" i="5" s="1"/>
  <c r="AW23" i="5"/>
  <c r="AX23" i="5" s="1"/>
  <c r="AW24" i="5"/>
  <c r="AX24" i="5" s="1"/>
  <c r="AW25" i="5"/>
  <c r="AX25" i="5"/>
  <c r="AW26" i="5"/>
  <c r="AX26" i="5" s="1"/>
  <c r="AW27" i="5"/>
  <c r="AX27" i="5" s="1"/>
  <c r="AW28" i="5"/>
  <c r="AX28" i="5" s="1"/>
  <c r="AW29" i="5"/>
  <c r="AX29" i="5"/>
  <c r="AW30" i="5"/>
  <c r="AX30" i="5" s="1"/>
  <c r="AW31" i="5"/>
  <c r="AX31" i="5" s="1"/>
  <c r="AW32" i="5"/>
  <c r="AX32" i="5" s="1"/>
  <c r="AW33" i="5"/>
  <c r="AX33" i="5"/>
  <c r="AW34" i="5"/>
  <c r="AX34" i="5" s="1"/>
  <c r="AW35" i="5"/>
  <c r="AX35" i="5" s="1"/>
  <c r="AW36" i="5"/>
  <c r="AX36" i="5" s="1"/>
  <c r="AW37" i="5"/>
  <c r="AX37" i="5"/>
  <c r="AW38" i="5"/>
  <c r="AX38" i="5" s="1"/>
  <c r="AW39" i="5"/>
  <c r="AX39" i="5" s="1"/>
  <c r="AW40" i="5"/>
  <c r="AX40" i="5" s="1"/>
  <c r="AW41" i="5"/>
  <c r="AX41" i="5"/>
  <c r="AW42" i="5"/>
  <c r="AX42" i="5" s="1"/>
  <c r="AW43" i="5"/>
  <c r="AX43" i="5" s="1"/>
  <c r="AW44" i="5"/>
  <c r="AX44" i="5" s="1"/>
  <c r="AW45" i="5"/>
  <c r="AX45" i="5"/>
  <c r="AW46" i="5"/>
  <c r="AX46" i="5" s="1"/>
  <c r="AW47" i="5"/>
  <c r="AX47" i="5" s="1"/>
  <c r="AW48" i="5"/>
  <c r="AX48" i="5" s="1"/>
  <c r="AW49" i="5"/>
  <c r="AX49" i="5"/>
  <c r="AW50" i="5"/>
  <c r="AX50" i="5" s="1"/>
  <c r="AW51" i="5"/>
  <c r="AX51" i="5" s="1"/>
  <c r="AW5" i="5"/>
  <c r="AX5" i="5"/>
  <c r="AK16" i="5"/>
  <c r="AK10" i="5"/>
  <c r="AK11" i="5" s="1"/>
  <c r="AL17" i="5" s="1"/>
  <c r="AF13" i="5"/>
  <c r="AF21" i="5"/>
  <c r="AF22" i="5"/>
  <c r="AE6" i="5"/>
  <c r="AF6" i="5" s="1"/>
  <c r="AE7" i="5"/>
  <c r="AF7" i="5" s="1"/>
  <c r="AE8" i="5"/>
  <c r="AF8" i="5" s="1"/>
  <c r="AE9" i="5"/>
  <c r="AF9" i="5" s="1"/>
  <c r="AE10" i="5"/>
  <c r="AF10" i="5" s="1"/>
  <c r="AE11" i="5"/>
  <c r="AF11" i="5" s="1"/>
  <c r="AE12" i="5"/>
  <c r="AF12" i="5" s="1"/>
  <c r="AE13" i="5"/>
  <c r="AE14" i="5"/>
  <c r="AF14" i="5" s="1"/>
  <c r="AE15" i="5"/>
  <c r="AF15" i="5" s="1"/>
  <c r="AE16" i="5"/>
  <c r="AF16" i="5" s="1"/>
  <c r="AE17" i="5"/>
  <c r="AF17" i="5" s="1"/>
  <c r="AE18" i="5"/>
  <c r="AF18" i="5" s="1"/>
  <c r="AE19" i="5"/>
  <c r="AF19" i="5" s="1"/>
  <c r="AE20" i="5"/>
  <c r="AF20" i="5" s="1"/>
  <c r="AE21" i="5"/>
  <c r="AE22" i="5"/>
  <c r="AE23" i="5"/>
  <c r="AF23" i="5" s="1"/>
  <c r="AE24" i="5"/>
  <c r="AF24" i="5" s="1"/>
  <c r="AE25" i="5"/>
  <c r="AF25" i="5" s="1"/>
  <c r="AE26" i="5"/>
  <c r="AF26" i="5" s="1"/>
  <c r="AE27" i="5"/>
  <c r="AF27" i="5" s="1"/>
  <c r="AE28" i="5"/>
  <c r="AF28" i="5" s="1"/>
  <c r="AE29" i="5"/>
  <c r="AF29" i="5" s="1"/>
  <c r="AE30" i="5"/>
  <c r="AF30" i="5" s="1"/>
  <c r="AE31" i="5"/>
  <c r="AF31" i="5" s="1"/>
  <c r="AE32" i="5"/>
  <c r="AF32" i="5" s="1"/>
  <c r="AE33" i="5"/>
  <c r="AF33" i="5" s="1"/>
  <c r="AE34" i="5"/>
  <c r="AF34" i="5" s="1"/>
  <c r="AE35" i="5"/>
  <c r="AF35" i="5" s="1"/>
  <c r="AE5" i="5"/>
  <c r="R14" i="4"/>
  <c r="U15" i="4"/>
  <c r="V13" i="4" s="1"/>
  <c r="U12" i="4"/>
  <c r="I12" i="4"/>
  <c r="I14" i="4"/>
  <c r="AE58" i="4" l="1"/>
  <c r="AF58" i="4" s="1"/>
  <c r="AG58" i="4" s="1"/>
  <c r="AE47" i="4"/>
  <c r="AF47" i="4" s="1"/>
  <c r="AG47" i="4" s="1"/>
  <c r="AE57" i="4"/>
  <c r="AF57" i="4" s="1"/>
  <c r="AG57" i="4" s="1"/>
  <c r="AE78" i="4"/>
  <c r="AF78" i="4" s="1"/>
  <c r="AG78" i="4" s="1"/>
  <c r="AE37" i="4"/>
  <c r="AF37" i="4" s="1"/>
  <c r="AG37" i="4" s="1"/>
  <c r="AE106" i="4"/>
  <c r="AF106" i="4" s="1"/>
  <c r="AG106" i="4" s="1"/>
  <c r="AE97" i="4"/>
  <c r="AF97" i="4" s="1"/>
  <c r="AG97" i="4" s="1"/>
  <c r="Q106" i="4"/>
  <c r="Z106" i="4" s="1"/>
  <c r="P106" i="4"/>
  <c r="AE35" i="4"/>
  <c r="AF35" i="4" s="1"/>
  <c r="AG35" i="4" s="1"/>
  <c r="X97" i="4"/>
  <c r="S97" i="4"/>
  <c r="Z46" i="4"/>
  <c r="U46" i="4"/>
  <c r="AE34" i="4"/>
  <c r="AF34" i="4" s="1"/>
  <c r="AG34" i="4" s="1"/>
  <c r="U35" i="4"/>
  <c r="Q35" i="4"/>
  <c r="P35" i="4"/>
  <c r="Y97" i="4"/>
  <c r="T97" i="4"/>
  <c r="Q59" i="4"/>
  <c r="U59" i="4" s="1"/>
  <c r="Q37" i="4"/>
  <c r="Z37" i="4" s="1"/>
  <c r="O37" i="4"/>
  <c r="P37" i="4"/>
  <c r="AE99" i="4"/>
  <c r="AF99" i="4" s="1"/>
  <c r="AG99" i="4" s="1"/>
  <c r="AE65" i="4"/>
  <c r="AF65" i="4" s="1"/>
  <c r="AG65" i="4" s="1"/>
  <c r="AE84" i="4"/>
  <c r="AF84" i="4" s="1"/>
  <c r="AG84" i="4" s="1"/>
  <c r="AE29" i="4"/>
  <c r="AF29" i="4" s="1"/>
  <c r="AG29" i="4" s="1"/>
  <c r="Q99" i="4"/>
  <c r="Z99" i="4" s="1"/>
  <c r="P99" i="4"/>
  <c r="O99" i="4"/>
  <c r="R99" i="4" s="1"/>
  <c r="Q29" i="4"/>
  <c r="Z29" i="4" s="1"/>
  <c r="P29" i="4"/>
  <c r="Q34" i="4"/>
  <c r="U34" i="4" s="1"/>
  <c r="P34" i="4"/>
  <c r="O34" i="4"/>
  <c r="R34" i="4" s="1"/>
  <c r="U97" i="4"/>
  <c r="Q58" i="4"/>
  <c r="U58" i="4" s="1"/>
  <c r="P58" i="4"/>
  <c r="AE90" i="4"/>
  <c r="AF90" i="4" s="1"/>
  <c r="AG90" i="4" s="1"/>
  <c r="Q47" i="4"/>
  <c r="Z47" i="4" s="1"/>
  <c r="P47" i="4"/>
  <c r="P84" i="4"/>
  <c r="O84" i="4"/>
  <c r="R84" i="4" s="1"/>
  <c r="Q84" i="4"/>
  <c r="U84" i="4" s="1"/>
  <c r="Q90" i="4"/>
  <c r="Z90" i="4" s="1"/>
  <c r="P90" i="4"/>
  <c r="O90" i="4"/>
  <c r="R90" i="4" s="1"/>
  <c r="Q57" i="4"/>
  <c r="P57" i="4"/>
  <c r="O57" i="4"/>
  <c r="R57" i="4" s="1"/>
  <c r="P78" i="4"/>
  <c r="O78" i="4"/>
  <c r="R78" i="4" s="1"/>
  <c r="Z78" i="4"/>
  <c r="Q78" i="4"/>
  <c r="AE46" i="4"/>
  <c r="AF46" i="4" s="1"/>
  <c r="AG46" i="4" s="1"/>
  <c r="AE59" i="4"/>
  <c r="AF59" i="4" s="1"/>
  <c r="AG59" i="4" s="1"/>
  <c r="Q65" i="4"/>
  <c r="P65" i="4"/>
  <c r="AG27" i="4"/>
  <c r="AF5" i="5"/>
  <c r="AK14" i="5" s="1"/>
  <c r="AM5" i="5" s="1"/>
  <c r="AK17" i="5"/>
  <c r="U99" i="4" l="1"/>
  <c r="U47" i="4"/>
  <c r="U90" i="4"/>
  <c r="Z84" i="4"/>
  <c r="Y65" i="4"/>
  <c r="T65" i="4"/>
  <c r="Y58" i="4"/>
  <c r="T58" i="4"/>
  <c r="X29" i="4"/>
  <c r="S29" i="4"/>
  <c r="U37" i="4"/>
  <c r="Y35" i="4"/>
  <c r="T35" i="4"/>
  <c r="X58" i="4"/>
  <c r="S58" i="4"/>
  <c r="X78" i="4"/>
  <c r="S78" i="4"/>
  <c r="U65" i="4"/>
  <c r="Y90" i="4"/>
  <c r="T90" i="4"/>
  <c r="X47" i="4"/>
  <c r="S47" i="4"/>
  <c r="U29" i="4"/>
  <c r="Y59" i="4"/>
  <c r="T59" i="4"/>
  <c r="Z35" i="4"/>
  <c r="X106" i="4"/>
  <c r="S106" i="4"/>
  <c r="X35" i="4"/>
  <c r="S35" i="4"/>
  <c r="Z65" i="4"/>
  <c r="X57" i="4"/>
  <c r="S57" i="4"/>
  <c r="Y106" i="4"/>
  <c r="T106" i="4"/>
  <c r="Y29" i="4"/>
  <c r="T29" i="4"/>
  <c r="Y57" i="4"/>
  <c r="T57" i="4"/>
  <c r="X34" i="4"/>
  <c r="S34" i="4"/>
  <c r="Z59" i="4"/>
  <c r="U106" i="4"/>
  <c r="X90" i="4"/>
  <c r="S90" i="4"/>
  <c r="Y78" i="4"/>
  <c r="T78" i="4"/>
  <c r="Z57" i="4"/>
  <c r="Y34" i="4"/>
  <c r="T34" i="4"/>
  <c r="X99" i="4"/>
  <c r="S99" i="4"/>
  <c r="S37" i="4"/>
  <c r="X65" i="4"/>
  <c r="S65" i="4"/>
  <c r="Y37" i="4"/>
  <c r="T37" i="4"/>
  <c r="Y47" i="4"/>
  <c r="T47" i="4"/>
  <c r="Y84" i="4"/>
  <c r="T84" i="4"/>
  <c r="U78" i="4"/>
  <c r="U57" i="4"/>
  <c r="X84" i="4"/>
  <c r="S84" i="4"/>
  <c r="Z58" i="4"/>
  <c r="Z34" i="4"/>
  <c r="Y99" i="4"/>
  <c r="T99" i="4"/>
  <c r="R37" i="4"/>
  <c r="W37" i="4"/>
  <c r="X37" i="4" s="1"/>
  <c r="AJ5" i="5"/>
  <c r="R4" i="5" l="1"/>
  <c r="R9" i="5" s="1"/>
  <c r="M6" i="5"/>
  <c r="N6" i="5" s="1"/>
  <c r="M7" i="5"/>
  <c r="N7" i="5" s="1"/>
  <c r="M8" i="5"/>
  <c r="N8" i="5" s="1"/>
  <c r="M9" i="5"/>
  <c r="N9" i="5" s="1"/>
  <c r="M10" i="5"/>
  <c r="N10" i="5" s="1"/>
  <c r="M11" i="5"/>
  <c r="N11" i="5" s="1"/>
  <c r="M12" i="5"/>
  <c r="N12" i="5" s="1"/>
  <c r="M13" i="5"/>
  <c r="N13" i="5" s="1"/>
  <c r="M14" i="5"/>
  <c r="N14" i="5" s="1"/>
  <c r="M15" i="5"/>
  <c r="N15" i="5" s="1"/>
  <c r="M16" i="5"/>
  <c r="N16" i="5" s="1"/>
  <c r="M17" i="5"/>
  <c r="N17" i="5" s="1"/>
  <c r="M18" i="5"/>
  <c r="N18" i="5" s="1"/>
  <c r="M19" i="5"/>
  <c r="N19" i="5" s="1"/>
  <c r="M20" i="5"/>
  <c r="N20" i="5" s="1"/>
  <c r="M21" i="5"/>
  <c r="N21" i="5" s="1"/>
  <c r="M22" i="5"/>
  <c r="N22" i="5" s="1"/>
  <c r="M23" i="5"/>
  <c r="N23" i="5" s="1"/>
  <c r="M24" i="5"/>
  <c r="N24" i="5" s="1"/>
  <c r="M25" i="5"/>
  <c r="N25" i="5" s="1"/>
  <c r="M26" i="5"/>
  <c r="N26" i="5" s="1"/>
  <c r="M27" i="5"/>
  <c r="N27" i="5" s="1"/>
  <c r="M28" i="5"/>
  <c r="N28" i="5" s="1"/>
  <c r="M29" i="5"/>
  <c r="N29" i="5" s="1"/>
  <c r="M30" i="5"/>
  <c r="N30" i="5" s="1"/>
  <c r="M31" i="5"/>
  <c r="N31" i="5" s="1"/>
  <c r="M32" i="5"/>
  <c r="N32" i="5" s="1"/>
  <c r="M33" i="5"/>
  <c r="N33" i="5" s="1"/>
  <c r="M34" i="5"/>
  <c r="N34" i="5" s="1"/>
  <c r="M35" i="5"/>
  <c r="N35" i="5" s="1"/>
  <c r="M5" i="5"/>
  <c r="N5" i="5" s="1"/>
  <c r="R6" i="5" l="1"/>
  <c r="R8" i="5" s="1"/>
  <c r="V8" i="5" s="1"/>
  <c r="H27" i="4"/>
  <c r="I34" i="4"/>
  <c r="I106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D3" i="4"/>
  <c r="F105" i="4"/>
  <c r="J105" i="4" s="1"/>
  <c r="E105" i="4"/>
  <c r="F104" i="4"/>
  <c r="J104" i="4" s="1"/>
  <c r="E104" i="4"/>
  <c r="F103" i="4"/>
  <c r="J103" i="4" s="1"/>
  <c r="E103" i="4"/>
  <c r="F102" i="4"/>
  <c r="J102" i="4" s="1"/>
  <c r="E102" i="4"/>
  <c r="F101" i="4"/>
  <c r="I101" i="4" s="1"/>
  <c r="E101" i="4"/>
  <c r="F100" i="4"/>
  <c r="I100" i="4" s="1"/>
  <c r="E100" i="4"/>
  <c r="F98" i="4"/>
  <c r="J98" i="4" s="1"/>
  <c r="E98" i="4"/>
  <c r="F96" i="4"/>
  <c r="J96" i="4" s="1"/>
  <c r="E96" i="4"/>
  <c r="F95" i="4"/>
  <c r="J95" i="4" s="1"/>
  <c r="E95" i="4"/>
  <c r="F94" i="4"/>
  <c r="J94" i="4" s="1"/>
  <c r="E94" i="4"/>
  <c r="F93" i="4"/>
  <c r="I93" i="4" s="1"/>
  <c r="E93" i="4"/>
  <c r="F92" i="4"/>
  <c r="I92" i="4" s="1"/>
  <c r="E92" i="4"/>
  <c r="F91" i="4"/>
  <c r="I91" i="4" s="1"/>
  <c r="E91" i="4"/>
  <c r="F89" i="4"/>
  <c r="J89" i="4" s="1"/>
  <c r="E89" i="4"/>
  <c r="K89" i="4" s="1"/>
  <c r="L89" i="4" s="1"/>
  <c r="F88" i="4"/>
  <c r="J88" i="4" s="1"/>
  <c r="E88" i="4"/>
  <c r="F87" i="4"/>
  <c r="J87" i="4" s="1"/>
  <c r="E87" i="4"/>
  <c r="F86" i="4"/>
  <c r="J86" i="4" s="1"/>
  <c r="E86" i="4"/>
  <c r="F85" i="4"/>
  <c r="I85" i="4" s="1"/>
  <c r="E85" i="4"/>
  <c r="F83" i="4"/>
  <c r="I83" i="4" s="1"/>
  <c r="E83" i="4"/>
  <c r="F82" i="4"/>
  <c r="J82" i="4" s="1"/>
  <c r="E82" i="4"/>
  <c r="F81" i="4"/>
  <c r="J81" i="4" s="1"/>
  <c r="E81" i="4"/>
  <c r="F80" i="4"/>
  <c r="J80" i="4" s="1"/>
  <c r="E80" i="4"/>
  <c r="F79" i="4"/>
  <c r="J79" i="4" s="1"/>
  <c r="E79" i="4"/>
  <c r="F77" i="4"/>
  <c r="I77" i="4" s="1"/>
  <c r="E77" i="4"/>
  <c r="K77" i="4" s="1"/>
  <c r="L77" i="4" s="1"/>
  <c r="F76" i="4"/>
  <c r="I76" i="4" s="1"/>
  <c r="E76" i="4"/>
  <c r="K76" i="4" s="1"/>
  <c r="L76" i="4" s="1"/>
  <c r="F75" i="4"/>
  <c r="I75" i="4" s="1"/>
  <c r="E75" i="4"/>
  <c r="F74" i="4"/>
  <c r="J74" i="4" s="1"/>
  <c r="E74" i="4"/>
  <c r="F73" i="4"/>
  <c r="J73" i="4" s="1"/>
  <c r="E73" i="4"/>
  <c r="F72" i="4"/>
  <c r="J72" i="4" s="1"/>
  <c r="E72" i="4"/>
  <c r="F71" i="4"/>
  <c r="J71" i="4" s="1"/>
  <c r="E71" i="4"/>
  <c r="F70" i="4"/>
  <c r="J70" i="4" s="1"/>
  <c r="E70" i="4"/>
  <c r="F69" i="4"/>
  <c r="J69" i="4" s="1"/>
  <c r="E69" i="4"/>
  <c r="F68" i="4"/>
  <c r="I68" i="4" s="1"/>
  <c r="E68" i="4"/>
  <c r="F67" i="4"/>
  <c r="I67" i="4" s="1"/>
  <c r="E67" i="4"/>
  <c r="F66" i="4"/>
  <c r="J66" i="4" s="1"/>
  <c r="E66" i="4"/>
  <c r="F64" i="4"/>
  <c r="J64" i="4" s="1"/>
  <c r="E64" i="4"/>
  <c r="F63" i="4"/>
  <c r="J63" i="4" s="1"/>
  <c r="E63" i="4"/>
  <c r="F62" i="4"/>
  <c r="J62" i="4" s="1"/>
  <c r="E62" i="4"/>
  <c r="F61" i="4"/>
  <c r="I61" i="4" s="1"/>
  <c r="E61" i="4"/>
  <c r="F60" i="4"/>
  <c r="I60" i="4" s="1"/>
  <c r="E60" i="4"/>
  <c r="F56" i="4"/>
  <c r="J56" i="4" s="1"/>
  <c r="E56" i="4"/>
  <c r="F55" i="4"/>
  <c r="J55" i="4" s="1"/>
  <c r="E55" i="4"/>
  <c r="F54" i="4"/>
  <c r="J54" i="4" s="1"/>
  <c r="E54" i="4"/>
  <c r="K54" i="4" s="1"/>
  <c r="L54" i="4" s="1"/>
  <c r="F53" i="4"/>
  <c r="I53" i="4" s="1"/>
  <c r="E53" i="4"/>
  <c r="F52" i="4"/>
  <c r="I52" i="4" s="1"/>
  <c r="E52" i="4"/>
  <c r="F51" i="4"/>
  <c r="I51" i="4" s="1"/>
  <c r="E51" i="4"/>
  <c r="F50" i="4"/>
  <c r="J50" i="4" s="1"/>
  <c r="E50" i="4"/>
  <c r="F49" i="4"/>
  <c r="J49" i="4" s="1"/>
  <c r="E49" i="4"/>
  <c r="F48" i="4"/>
  <c r="J48" i="4" s="1"/>
  <c r="E48" i="4"/>
  <c r="F45" i="4"/>
  <c r="I45" i="4" s="1"/>
  <c r="E45" i="4"/>
  <c r="F44" i="4"/>
  <c r="I44" i="4" s="1"/>
  <c r="E44" i="4"/>
  <c r="F43" i="4"/>
  <c r="I43" i="4" s="1"/>
  <c r="E43" i="4"/>
  <c r="F42" i="4"/>
  <c r="J42" i="4" s="1"/>
  <c r="E42" i="4"/>
  <c r="F41" i="4"/>
  <c r="J41" i="4" s="1"/>
  <c r="E41" i="4"/>
  <c r="F40" i="4"/>
  <c r="J40" i="4" s="1"/>
  <c r="E40" i="4"/>
  <c r="K40" i="4" s="1"/>
  <c r="L40" i="4" s="1"/>
  <c r="F39" i="4"/>
  <c r="J39" i="4" s="1"/>
  <c r="E39" i="4"/>
  <c r="F38" i="4"/>
  <c r="J38" i="4" s="1"/>
  <c r="E38" i="4"/>
  <c r="F36" i="4"/>
  <c r="I36" i="4" s="1"/>
  <c r="E36" i="4"/>
  <c r="K36" i="4" s="1"/>
  <c r="L36" i="4" s="1"/>
  <c r="F33" i="4"/>
  <c r="J33" i="4" s="1"/>
  <c r="E33" i="4"/>
  <c r="F32" i="4"/>
  <c r="J32" i="4" s="1"/>
  <c r="E32" i="4"/>
  <c r="F31" i="4"/>
  <c r="J31" i="4" s="1"/>
  <c r="E31" i="4"/>
  <c r="F30" i="4"/>
  <c r="J30" i="4" s="1"/>
  <c r="E30" i="4"/>
  <c r="F28" i="4"/>
  <c r="I28" i="4" s="1"/>
  <c r="E28" i="4"/>
  <c r="F97" i="4"/>
  <c r="J97" i="4" s="1"/>
  <c r="E97" i="4"/>
  <c r="F84" i="4"/>
  <c r="I84" i="4" s="1"/>
  <c r="E84" i="4"/>
  <c r="F37" i="4"/>
  <c r="I37" i="4" s="1"/>
  <c r="E37" i="4"/>
  <c r="F90" i="4"/>
  <c r="J90" i="4" s="1"/>
  <c r="E90" i="4"/>
  <c r="F57" i="4"/>
  <c r="J57" i="4" s="1"/>
  <c r="E57" i="4"/>
  <c r="F34" i="4"/>
  <c r="J34" i="4" s="1"/>
  <c r="E34" i="4"/>
  <c r="F99" i="4"/>
  <c r="I99" i="4" s="1"/>
  <c r="E99" i="4"/>
  <c r="F47" i="4"/>
  <c r="J47" i="4" s="1"/>
  <c r="E47" i="4"/>
  <c r="F29" i="4"/>
  <c r="I29" i="4" s="1"/>
  <c r="E29" i="4"/>
  <c r="F106" i="4"/>
  <c r="J106" i="4" s="1"/>
  <c r="E106" i="4"/>
  <c r="F78" i="4"/>
  <c r="J78" i="4" s="1"/>
  <c r="E78" i="4"/>
  <c r="F65" i="4"/>
  <c r="J65" i="4" s="1"/>
  <c r="E65" i="4"/>
  <c r="F58" i="4"/>
  <c r="J58" i="4" s="1"/>
  <c r="E58" i="4"/>
  <c r="F27" i="4"/>
  <c r="I27" i="4" s="1"/>
  <c r="E27" i="4"/>
  <c r="F35" i="4"/>
  <c r="I35" i="4" s="1"/>
  <c r="E35" i="4"/>
  <c r="F59" i="4"/>
  <c r="I59" i="4" s="1"/>
  <c r="E59" i="4"/>
  <c r="F46" i="4"/>
  <c r="J46" i="4" s="1"/>
  <c r="E46" i="4"/>
  <c r="T5" i="1"/>
  <c r="S5" i="1"/>
  <c r="I98" i="4" l="1"/>
  <c r="J101" i="4"/>
  <c r="J15" i="4"/>
  <c r="I15" i="4" s="1"/>
  <c r="I90" i="4"/>
  <c r="J93" i="4"/>
  <c r="I74" i="4"/>
  <c r="J85" i="4"/>
  <c r="I66" i="4"/>
  <c r="J61" i="4"/>
  <c r="I50" i="4"/>
  <c r="J45" i="4"/>
  <c r="I42" i="4"/>
  <c r="J37" i="4"/>
  <c r="I58" i="4"/>
  <c r="J53" i="4"/>
  <c r="J14" i="4"/>
  <c r="I105" i="4"/>
  <c r="I97" i="4"/>
  <c r="I89" i="4"/>
  <c r="I81" i="4"/>
  <c r="I73" i="4"/>
  <c r="I65" i="4"/>
  <c r="I57" i="4"/>
  <c r="I49" i="4"/>
  <c r="I41" i="4"/>
  <c r="I33" i="4"/>
  <c r="I13" i="4"/>
  <c r="J100" i="4"/>
  <c r="J92" i="4"/>
  <c r="J84" i="4"/>
  <c r="J76" i="4"/>
  <c r="J68" i="4"/>
  <c r="J60" i="4"/>
  <c r="J52" i="4"/>
  <c r="J44" i="4"/>
  <c r="J36" i="4"/>
  <c r="J28" i="4"/>
  <c r="I18" i="4" s="1"/>
  <c r="I82" i="4"/>
  <c r="J29" i="4"/>
  <c r="I104" i="4"/>
  <c r="I96" i="4"/>
  <c r="I88" i="4"/>
  <c r="I80" i="4"/>
  <c r="I72" i="4"/>
  <c r="I64" i="4"/>
  <c r="I56" i="4"/>
  <c r="I48" i="4"/>
  <c r="I40" i="4"/>
  <c r="I32" i="4"/>
  <c r="J27" i="4"/>
  <c r="J99" i="4"/>
  <c r="J91" i="4"/>
  <c r="J83" i="4"/>
  <c r="J75" i="4"/>
  <c r="J67" i="4"/>
  <c r="J59" i="4"/>
  <c r="J51" i="4"/>
  <c r="J43" i="4"/>
  <c r="J35" i="4"/>
  <c r="I103" i="4"/>
  <c r="I95" i="4"/>
  <c r="I87" i="4"/>
  <c r="I79" i="4"/>
  <c r="I71" i="4"/>
  <c r="I63" i="4"/>
  <c r="I55" i="4"/>
  <c r="I47" i="4"/>
  <c r="I39" i="4"/>
  <c r="I31" i="4"/>
  <c r="I102" i="4"/>
  <c r="I94" i="4"/>
  <c r="I86" i="4"/>
  <c r="I78" i="4"/>
  <c r="I70" i="4"/>
  <c r="I62" i="4"/>
  <c r="I54" i="4"/>
  <c r="I46" i="4"/>
  <c r="I38" i="4"/>
  <c r="I30" i="4"/>
  <c r="J77" i="4"/>
  <c r="I69" i="4"/>
  <c r="T6" i="1" l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37" i="1"/>
  <c r="T38" i="1"/>
  <c r="T53" i="1"/>
  <c r="T54" i="1"/>
  <c r="T69" i="1"/>
  <c r="T70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T22" i="1" s="1"/>
  <c r="S23" i="1"/>
  <c r="T23" i="1" s="1"/>
  <c r="S24" i="1"/>
  <c r="T24" i="1" s="1"/>
  <c r="S25" i="1"/>
  <c r="T25" i="1" s="1"/>
  <c r="S26" i="1"/>
  <c r="T26" i="1" s="1"/>
  <c r="S27" i="1"/>
  <c r="T27" i="1" s="1"/>
  <c r="S28" i="1"/>
  <c r="T28" i="1" s="1"/>
  <c r="S29" i="1"/>
  <c r="T29" i="1" s="1"/>
  <c r="S30" i="1"/>
  <c r="T30" i="1" s="1"/>
  <c r="S31" i="1"/>
  <c r="T31" i="1" s="1"/>
  <c r="S32" i="1"/>
  <c r="T32" i="1" s="1"/>
  <c r="S33" i="1"/>
  <c r="T33" i="1" s="1"/>
  <c r="S34" i="1"/>
  <c r="T34" i="1" s="1"/>
  <c r="S35" i="1"/>
  <c r="T35" i="1" s="1"/>
  <c r="S36" i="1"/>
  <c r="T36" i="1" s="1"/>
  <c r="S37" i="1"/>
  <c r="S38" i="1"/>
  <c r="S39" i="1"/>
  <c r="T39" i="1" s="1"/>
  <c r="S40" i="1"/>
  <c r="T40" i="1" s="1"/>
  <c r="S41" i="1"/>
  <c r="T41" i="1" s="1"/>
  <c r="S42" i="1"/>
  <c r="T42" i="1" s="1"/>
  <c r="S43" i="1"/>
  <c r="T43" i="1" s="1"/>
  <c r="S44" i="1"/>
  <c r="T44" i="1" s="1"/>
  <c r="S45" i="1"/>
  <c r="T45" i="1" s="1"/>
  <c r="S46" i="1"/>
  <c r="T46" i="1" s="1"/>
  <c r="S47" i="1"/>
  <c r="T47" i="1" s="1"/>
  <c r="S48" i="1"/>
  <c r="T48" i="1" s="1"/>
  <c r="S49" i="1"/>
  <c r="T49" i="1" s="1"/>
  <c r="S50" i="1"/>
  <c r="T50" i="1" s="1"/>
  <c r="S51" i="1"/>
  <c r="T51" i="1" s="1"/>
  <c r="S52" i="1"/>
  <c r="T52" i="1" s="1"/>
  <c r="S53" i="1"/>
  <c r="S54" i="1"/>
  <c r="S55" i="1"/>
  <c r="T55" i="1" s="1"/>
  <c r="S56" i="1"/>
  <c r="T56" i="1" s="1"/>
  <c r="S57" i="1"/>
  <c r="T57" i="1" s="1"/>
  <c r="S58" i="1"/>
  <c r="T58" i="1" s="1"/>
  <c r="S59" i="1"/>
  <c r="T59" i="1" s="1"/>
  <c r="S60" i="1"/>
  <c r="T60" i="1" s="1"/>
  <c r="S61" i="1"/>
  <c r="T61" i="1" s="1"/>
  <c r="S62" i="1"/>
  <c r="T62" i="1" s="1"/>
  <c r="S63" i="1"/>
  <c r="T63" i="1" s="1"/>
  <c r="S64" i="1"/>
  <c r="T64" i="1" s="1"/>
  <c r="S65" i="1"/>
  <c r="T65" i="1" s="1"/>
  <c r="S66" i="1"/>
  <c r="T66" i="1" s="1"/>
  <c r="S67" i="1"/>
  <c r="T67" i="1" s="1"/>
  <c r="S68" i="1"/>
  <c r="T68" i="1" s="1"/>
  <c r="S69" i="1"/>
  <c r="S70" i="1"/>
  <c r="S71" i="1"/>
  <c r="T71" i="1" s="1"/>
  <c r="S72" i="1"/>
  <c r="T72" i="1" s="1"/>
  <c r="S73" i="1"/>
  <c r="T73" i="1" s="1"/>
  <c r="S74" i="1"/>
  <c r="T74" i="1" s="1"/>
  <c r="S75" i="1"/>
  <c r="T75" i="1" s="1"/>
  <c r="S76" i="1"/>
  <c r="T76" i="1" s="1"/>
  <c r="S77" i="1"/>
  <c r="T77" i="1" s="1"/>
  <c r="S78" i="1"/>
  <c r="T78" i="1" s="1"/>
  <c r="S79" i="1"/>
  <c r="T79" i="1" s="1"/>
  <c r="S80" i="1"/>
  <c r="T80" i="1" s="1"/>
  <c r="S81" i="1"/>
  <c r="T81" i="1" s="1"/>
  <c r="S82" i="1"/>
  <c r="T82" i="1" s="1"/>
  <c r="S83" i="1"/>
  <c r="T83" i="1" s="1"/>
  <c r="S84" i="1"/>
  <c r="T84" i="1" s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5" i="1"/>
  <c r="I17" i="4" l="1"/>
  <c r="K44" i="4" s="1"/>
  <c r="L44" i="4" s="1"/>
  <c r="K93" i="4"/>
  <c r="L93" i="4" s="1"/>
  <c r="P22" i="1"/>
  <c r="P13" i="1"/>
  <c r="P23" i="1"/>
  <c r="P24" i="1"/>
  <c r="P25" i="1"/>
  <c r="P26" i="1"/>
  <c r="P16" i="1"/>
  <c r="P7" i="1"/>
  <c r="P27" i="1"/>
  <c r="P19" i="1"/>
  <c r="P28" i="1"/>
  <c r="P29" i="1"/>
  <c r="P30" i="1"/>
  <c r="P31" i="1"/>
  <c r="P32" i="1"/>
  <c r="P33" i="1"/>
  <c r="P34" i="1"/>
  <c r="P35" i="1"/>
  <c r="P5" i="1"/>
  <c r="P14" i="1"/>
  <c r="P36" i="1"/>
  <c r="P37" i="1"/>
  <c r="P38" i="1"/>
  <c r="P39" i="1"/>
  <c r="P40" i="1"/>
  <c r="P41" i="1"/>
  <c r="P42" i="1"/>
  <c r="P43" i="1"/>
  <c r="P44" i="1"/>
  <c r="P17" i="1"/>
  <c r="P9" i="1"/>
  <c r="P6" i="1"/>
  <c r="P45" i="1"/>
  <c r="P46" i="1"/>
  <c r="P47" i="1"/>
  <c r="P48" i="1"/>
  <c r="P49" i="1"/>
  <c r="P10" i="1"/>
  <c r="P50" i="1"/>
  <c r="P51" i="1"/>
  <c r="P52" i="1"/>
  <c r="P53" i="1"/>
  <c r="P54" i="1"/>
  <c r="P55" i="1"/>
  <c r="P56" i="1"/>
  <c r="P57" i="1"/>
  <c r="P58" i="1"/>
  <c r="P59" i="1"/>
  <c r="P60" i="1"/>
  <c r="P61" i="1"/>
  <c r="P11" i="1"/>
  <c r="P62" i="1"/>
  <c r="P63" i="1"/>
  <c r="P64" i="1"/>
  <c r="P65" i="1"/>
  <c r="P66" i="1"/>
  <c r="P20" i="1"/>
  <c r="P67" i="1"/>
  <c r="P68" i="1"/>
  <c r="P69" i="1"/>
  <c r="P70" i="1"/>
  <c r="P71" i="1"/>
  <c r="P18" i="1"/>
  <c r="P72" i="1"/>
  <c r="P73" i="1"/>
  <c r="P74" i="1"/>
  <c r="P75" i="1"/>
  <c r="P76" i="1"/>
  <c r="P77" i="1"/>
  <c r="P21" i="1"/>
  <c r="P78" i="1"/>
  <c r="P15" i="1"/>
  <c r="P79" i="1"/>
  <c r="P80" i="1"/>
  <c r="P81" i="1"/>
  <c r="P82" i="1"/>
  <c r="P83" i="1"/>
  <c r="P84" i="1"/>
  <c r="P12" i="1"/>
  <c r="P8" i="1"/>
  <c r="O22" i="1"/>
  <c r="O13" i="1"/>
  <c r="O23" i="1"/>
  <c r="O24" i="1"/>
  <c r="O25" i="1"/>
  <c r="O26" i="1"/>
  <c r="O16" i="1"/>
  <c r="O7" i="1"/>
  <c r="O27" i="1"/>
  <c r="O19" i="1"/>
  <c r="O28" i="1"/>
  <c r="O29" i="1"/>
  <c r="O30" i="1"/>
  <c r="O31" i="1"/>
  <c r="O32" i="1"/>
  <c r="O33" i="1"/>
  <c r="O34" i="1"/>
  <c r="O35" i="1"/>
  <c r="O5" i="1"/>
  <c r="O14" i="1"/>
  <c r="O36" i="1"/>
  <c r="O37" i="1"/>
  <c r="O38" i="1"/>
  <c r="O39" i="1"/>
  <c r="O40" i="1"/>
  <c r="O41" i="1"/>
  <c r="O42" i="1"/>
  <c r="O43" i="1"/>
  <c r="O44" i="1"/>
  <c r="O17" i="1"/>
  <c r="O9" i="1"/>
  <c r="O6" i="1"/>
  <c r="O45" i="1"/>
  <c r="O46" i="1"/>
  <c r="O47" i="1"/>
  <c r="O48" i="1"/>
  <c r="O49" i="1"/>
  <c r="O10" i="1"/>
  <c r="O50" i="1"/>
  <c r="O51" i="1"/>
  <c r="O52" i="1"/>
  <c r="O53" i="1"/>
  <c r="O54" i="1"/>
  <c r="O55" i="1"/>
  <c r="O56" i="1"/>
  <c r="O57" i="1"/>
  <c r="O58" i="1"/>
  <c r="O59" i="1"/>
  <c r="O60" i="1"/>
  <c r="O61" i="1"/>
  <c r="O11" i="1"/>
  <c r="O62" i="1"/>
  <c r="O63" i="1"/>
  <c r="O64" i="1"/>
  <c r="O65" i="1"/>
  <c r="O66" i="1"/>
  <c r="O20" i="1"/>
  <c r="O67" i="1"/>
  <c r="O68" i="1"/>
  <c r="O69" i="1"/>
  <c r="O70" i="1"/>
  <c r="O71" i="1"/>
  <c r="O18" i="1"/>
  <c r="O72" i="1"/>
  <c r="O73" i="1"/>
  <c r="O74" i="1"/>
  <c r="O75" i="1"/>
  <c r="O76" i="1"/>
  <c r="O77" i="1"/>
  <c r="O21" i="1"/>
  <c r="O78" i="1"/>
  <c r="O15" i="1"/>
  <c r="O79" i="1"/>
  <c r="O80" i="1"/>
  <c r="O81" i="1"/>
  <c r="O82" i="1"/>
  <c r="O83" i="1"/>
  <c r="O84" i="1"/>
  <c r="O12" i="1"/>
  <c r="O8" i="1"/>
  <c r="AB93" i="4" l="1"/>
  <c r="AA93" i="4"/>
  <c r="AD93" i="4"/>
  <c r="AC93" i="4"/>
  <c r="W93" i="4"/>
  <c r="AD44" i="4"/>
  <c r="AC44" i="4"/>
  <c r="AA44" i="4"/>
  <c r="AB44" i="4"/>
  <c r="W44" i="4"/>
  <c r="N93" i="4"/>
  <c r="M93" i="4"/>
  <c r="N44" i="4"/>
  <c r="M44" i="4"/>
  <c r="K31" i="4"/>
  <c r="L31" i="4" s="1"/>
  <c r="K27" i="4"/>
  <c r="U17" i="4"/>
  <c r="K106" i="4"/>
  <c r="K75" i="4"/>
  <c r="L75" i="4" s="1"/>
  <c r="K34" i="4"/>
  <c r="K83" i="4"/>
  <c r="L83" i="4" s="1"/>
  <c r="K102" i="4"/>
  <c r="L102" i="4" s="1"/>
  <c r="K98" i="4"/>
  <c r="L98" i="4" s="1"/>
  <c r="K56" i="4"/>
  <c r="L56" i="4" s="1"/>
  <c r="K33" i="4"/>
  <c r="L33" i="4" s="1"/>
  <c r="K64" i="4"/>
  <c r="L64" i="4" s="1"/>
  <c r="K87" i="4"/>
  <c r="L87" i="4" s="1"/>
  <c r="K86" i="4"/>
  <c r="L86" i="4" s="1"/>
  <c r="K63" i="4"/>
  <c r="L63" i="4" s="1"/>
  <c r="K105" i="4"/>
  <c r="L105" i="4" s="1"/>
  <c r="K43" i="4"/>
  <c r="L43" i="4" s="1"/>
  <c r="K61" i="4"/>
  <c r="L61" i="4" s="1"/>
  <c r="K96" i="4"/>
  <c r="L96" i="4" s="1"/>
  <c r="K69" i="4"/>
  <c r="L69" i="4" s="1"/>
  <c r="K38" i="4"/>
  <c r="L38" i="4" s="1"/>
  <c r="K99" i="4"/>
  <c r="K65" i="4"/>
  <c r="K28" i="4"/>
  <c r="L28" i="4" s="1"/>
  <c r="K60" i="4"/>
  <c r="L60" i="4" s="1"/>
  <c r="K58" i="4"/>
  <c r="K32" i="4"/>
  <c r="L32" i="4" s="1"/>
  <c r="K53" i="4"/>
  <c r="L53" i="4" s="1"/>
  <c r="K49" i="4"/>
  <c r="L49" i="4" s="1"/>
  <c r="K91" i="4"/>
  <c r="L91" i="4" s="1"/>
  <c r="K57" i="4"/>
  <c r="K29" i="4"/>
  <c r="K39" i="4"/>
  <c r="L39" i="4" s="1"/>
  <c r="K51" i="4"/>
  <c r="L51" i="4" s="1"/>
  <c r="K78" i="4"/>
  <c r="K30" i="4"/>
  <c r="L30" i="4" s="1"/>
  <c r="K72" i="4"/>
  <c r="L72" i="4" s="1"/>
  <c r="K80" i="4"/>
  <c r="L80" i="4" s="1"/>
  <c r="K45" i="4"/>
  <c r="L45" i="4" s="1"/>
  <c r="K101" i="4"/>
  <c r="L101" i="4" s="1"/>
  <c r="K104" i="4"/>
  <c r="L104" i="4" s="1"/>
  <c r="K48" i="4"/>
  <c r="L48" i="4" s="1"/>
  <c r="K42" i="4"/>
  <c r="L42" i="4" s="1"/>
  <c r="K47" i="4"/>
  <c r="K66" i="4"/>
  <c r="L66" i="4" s="1"/>
  <c r="K50" i="4"/>
  <c r="L50" i="4" s="1"/>
  <c r="K55" i="4"/>
  <c r="L55" i="4" s="1"/>
  <c r="K71" i="4"/>
  <c r="L71" i="4" s="1"/>
  <c r="K37" i="4"/>
  <c r="K68" i="4"/>
  <c r="L68" i="4" s="1"/>
  <c r="K97" i="4"/>
  <c r="K95" i="4"/>
  <c r="L95" i="4" s="1"/>
  <c r="K90" i="4"/>
  <c r="K67" i="4"/>
  <c r="L67" i="4" s="1"/>
  <c r="K70" i="4"/>
  <c r="L70" i="4" s="1"/>
  <c r="K73" i="4"/>
  <c r="L73" i="4" s="1"/>
  <c r="K84" i="4"/>
  <c r="K92" i="4"/>
  <c r="L92" i="4" s="1"/>
  <c r="K52" i="4"/>
  <c r="L52" i="4" s="1"/>
  <c r="K100" i="4"/>
  <c r="L100" i="4" s="1"/>
  <c r="K74" i="4"/>
  <c r="L74" i="4" s="1"/>
  <c r="K59" i="4"/>
  <c r="K103" i="4"/>
  <c r="L103" i="4" s="1"/>
  <c r="K82" i="4"/>
  <c r="L82" i="4" s="1"/>
  <c r="K41" i="4"/>
  <c r="L41" i="4" s="1"/>
  <c r="K79" i="4"/>
  <c r="L79" i="4" s="1"/>
  <c r="K46" i="4"/>
  <c r="K35" i="4"/>
  <c r="K85" i="4"/>
  <c r="L85" i="4" s="1"/>
  <c r="K81" i="4"/>
  <c r="L81" i="4" s="1"/>
  <c r="K88" i="4"/>
  <c r="L88" i="4" s="1"/>
  <c r="K94" i="4"/>
  <c r="L94" i="4" s="1"/>
  <c r="K62" i="4"/>
  <c r="L62" i="4" s="1"/>
  <c r="AE93" i="4" l="1"/>
  <c r="AF93" i="4" s="1"/>
  <c r="AG93" i="4" s="1"/>
  <c r="AD68" i="4"/>
  <c r="AC68" i="4"/>
  <c r="AB68" i="4"/>
  <c r="AA68" i="4"/>
  <c r="W68" i="4"/>
  <c r="AA56" i="4"/>
  <c r="AB56" i="4"/>
  <c r="AD56" i="4"/>
  <c r="AC56" i="4"/>
  <c r="W56" i="4"/>
  <c r="AA104" i="4"/>
  <c r="AB104" i="4"/>
  <c r="AD104" i="4"/>
  <c r="AC104" i="4"/>
  <c r="AA43" i="4"/>
  <c r="AB43" i="4"/>
  <c r="AD43" i="4"/>
  <c r="AC43" i="4"/>
  <c r="W43" i="4"/>
  <c r="AD73" i="4"/>
  <c r="AC73" i="4"/>
  <c r="AA73" i="4"/>
  <c r="AB73" i="4"/>
  <c r="W73" i="4"/>
  <c r="AB101" i="4"/>
  <c r="AD101" i="4"/>
  <c r="AC101" i="4"/>
  <c r="AA101" i="4"/>
  <c r="W101" i="4"/>
  <c r="AD28" i="4"/>
  <c r="AC28" i="4"/>
  <c r="AA28" i="4"/>
  <c r="AB28" i="4"/>
  <c r="W28" i="4"/>
  <c r="AA105" i="4"/>
  <c r="AB105" i="4"/>
  <c r="AD105" i="4"/>
  <c r="AC105" i="4"/>
  <c r="W105" i="4"/>
  <c r="AA102" i="4"/>
  <c r="AB102" i="4"/>
  <c r="AD102" i="4"/>
  <c r="AC102" i="4"/>
  <c r="W102" i="4"/>
  <c r="AA48" i="4"/>
  <c r="AB48" i="4"/>
  <c r="AD48" i="4"/>
  <c r="AC48" i="4"/>
  <c r="W48" i="4"/>
  <c r="AD60" i="4"/>
  <c r="AC60" i="4"/>
  <c r="AB60" i="4"/>
  <c r="AA60" i="4"/>
  <c r="W60" i="4"/>
  <c r="AA31" i="4"/>
  <c r="AB31" i="4"/>
  <c r="AD31" i="4"/>
  <c r="AC31" i="4"/>
  <c r="W31" i="4"/>
  <c r="AB82" i="4"/>
  <c r="AA82" i="4"/>
  <c r="AD82" i="4"/>
  <c r="AC82" i="4"/>
  <c r="W82" i="4"/>
  <c r="AA71" i="4"/>
  <c r="AB71" i="4"/>
  <c r="AD71" i="4"/>
  <c r="AC71" i="4"/>
  <c r="W71" i="4"/>
  <c r="AA88" i="4"/>
  <c r="AB88" i="4"/>
  <c r="AD88" i="4"/>
  <c r="AC88" i="4"/>
  <c r="W88" i="4"/>
  <c r="AA103" i="4"/>
  <c r="AB103" i="4"/>
  <c r="AD103" i="4"/>
  <c r="AC103" i="4"/>
  <c r="W103" i="4"/>
  <c r="AA70" i="4"/>
  <c r="AB70" i="4"/>
  <c r="AD70" i="4"/>
  <c r="AC70" i="4"/>
  <c r="W70" i="4"/>
  <c r="AA55" i="4"/>
  <c r="AB55" i="4"/>
  <c r="AD55" i="4"/>
  <c r="AC55" i="4"/>
  <c r="W55" i="4"/>
  <c r="AB45" i="4"/>
  <c r="AA45" i="4"/>
  <c r="AD45" i="4"/>
  <c r="AC45" i="4"/>
  <c r="W45" i="4"/>
  <c r="AA63" i="4"/>
  <c r="AB63" i="4"/>
  <c r="AD63" i="4"/>
  <c r="AC63" i="4"/>
  <c r="W63" i="4"/>
  <c r="AA83" i="4"/>
  <c r="AB83" i="4"/>
  <c r="AD83" i="4"/>
  <c r="AC83" i="4"/>
  <c r="W83" i="4"/>
  <c r="P44" i="4"/>
  <c r="Q44" i="4"/>
  <c r="U44" i="4" s="1"/>
  <c r="AD92" i="4"/>
  <c r="AC92" i="4"/>
  <c r="AA92" i="4"/>
  <c r="AB92" i="4"/>
  <c r="W92" i="4"/>
  <c r="AB61" i="4"/>
  <c r="AD61" i="4"/>
  <c r="AC61" i="4"/>
  <c r="AA61" i="4"/>
  <c r="W61" i="4"/>
  <c r="AA39" i="4"/>
  <c r="AB39" i="4"/>
  <c r="AD39" i="4"/>
  <c r="AC39" i="4"/>
  <c r="W39" i="4"/>
  <c r="AA98" i="4"/>
  <c r="AB98" i="4"/>
  <c r="AD98" i="4"/>
  <c r="AC98" i="4"/>
  <c r="W98" i="4"/>
  <c r="AA94" i="4"/>
  <c r="AB94" i="4"/>
  <c r="AD94" i="4"/>
  <c r="AC94" i="4"/>
  <c r="W94" i="4"/>
  <c r="AA81" i="4"/>
  <c r="AD81" i="4"/>
  <c r="AC81" i="4"/>
  <c r="AB81" i="4"/>
  <c r="W81" i="4"/>
  <c r="AA67" i="4"/>
  <c r="AB67" i="4"/>
  <c r="AD67" i="4"/>
  <c r="AC67" i="4"/>
  <c r="W67" i="4"/>
  <c r="AB50" i="4"/>
  <c r="AA50" i="4"/>
  <c r="AD50" i="4"/>
  <c r="AC50" i="4"/>
  <c r="W50" i="4"/>
  <c r="AA80" i="4"/>
  <c r="AB80" i="4"/>
  <c r="AD80" i="4"/>
  <c r="AC80" i="4"/>
  <c r="W80" i="4"/>
  <c r="AA91" i="4"/>
  <c r="AB91" i="4"/>
  <c r="AD91" i="4"/>
  <c r="AC91" i="4"/>
  <c r="W91" i="4"/>
  <c r="AA86" i="4"/>
  <c r="AB86" i="4"/>
  <c r="AD86" i="4"/>
  <c r="AC86" i="4"/>
  <c r="W86" i="4"/>
  <c r="AD41" i="4"/>
  <c r="AA41" i="4"/>
  <c r="AC41" i="4"/>
  <c r="AB41" i="4"/>
  <c r="W41" i="4"/>
  <c r="AB85" i="4"/>
  <c r="AD85" i="4"/>
  <c r="AC85" i="4"/>
  <c r="AA85" i="4"/>
  <c r="W85" i="4"/>
  <c r="AB74" i="4"/>
  <c r="AA74" i="4"/>
  <c r="AD74" i="4"/>
  <c r="AC74" i="4"/>
  <c r="W74" i="4"/>
  <c r="AA66" i="4"/>
  <c r="AB66" i="4"/>
  <c r="AD66" i="4"/>
  <c r="AC66" i="4"/>
  <c r="W66" i="4"/>
  <c r="AA72" i="4"/>
  <c r="AB72" i="4"/>
  <c r="AD72" i="4"/>
  <c r="AC72" i="4"/>
  <c r="W72" i="4"/>
  <c r="AC49" i="4"/>
  <c r="AD49" i="4"/>
  <c r="AA49" i="4"/>
  <c r="AB49" i="4"/>
  <c r="W49" i="4"/>
  <c r="AA38" i="4"/>
  <c r="AB38" i="4"/>
  <c r="AD38" i="4"/>
  <c r="AC38" i="4"/>
  <c r="W38" i="4"/>
  <c r="AA87" i="4"/>
  <c r="AB87" i="4"/>
  <c r="AD87" i="4"/>
  <c r="AC87" i="4"/>
  <c r="W87" i="4"/>
  <c r="AA75" i="4"/>
  <c r="AB75" i="4"/>
  <c r="AD75" i="4"/>
  <c r="AC75" i="4"/>
  <c r="W75" i="4"/>
  <c r="Q93" i="4"/>
  <c r="Z93" i="4" s="1"/>
  <c r="O93" i="4"/>
  <c r="R93" i="4" s="1"/>
  <c r="P93" i="4"/>
  <c r="AA79" i="4"/>
  <c r="AB79" i="4"/>
  <c r="AD79" i="4"/>
  <c r="AC79" i="4"/>
  <c r="W79" i="4"/>
  <c r="AA62" i="4"/>
  <c r="AB62" i="4"/>
  <c r="AD62" i="4"/>
  <c r="AC62" i="4"/>
  <c r="W62" i="4"/>
  <c r="AD100" i="4"/>
  <c r="AC100" i="4"/>
  <c r="AB100" i="4"/>
  <c r="AA100" i="4"/>
  <c r="W100" i="4"/>
  <c r="AB53" i="4"/>
  <c r="AD53" i="4"/>
  <c r="AC53" i="4"/>
  <c r="AA53" i="4"/>
  <c r="W53" i="4"/>
  <c r="AA51" i="4"/>
  <c r="AB51" i="4"/>
  <c r="AD51" i="4"/>
  <c r="AC51" i="4"/>
  <c r="W51" i="4"/>
  <c r="AA95" i="4"/>
  <c r="AB95" i="4"/>
  <c r="AD95" i="4"/>
  <c r="AC95" i="4"/>
  <c r="W95" i="4"/>
  <c r="AA30" i="4"/>
  <c r="AB30" i="4"/>
  <c r="AD30" i="4"/>
  <c r="AC30" i="4"/>
  <c r="W30" i="4"/>
  <c r="AB69" i="4"/>
  <c r="AD69" i="4"/>
  <c r="AC69" i="4"/>
  <c r="AA69" i="4"/>
  <c r="W69" i="4"/>
  <c r="AA64" i="4"/>
  <c r="AB64" i="4"/>
  <c r="AD64" i="4"/>
  <c r="AC64" i="4"/>
  <c r="W64" i="4"/>
  <c r="AD52" i="4"/>
  <c r="AC52" i="4"/>
  <c r="AB52" i="4"/>
  <c r="AA52" i="4"/>
  <c r="W52" i="4"/>
  <c r="AB42" i="4"/>
  <c r="AA42" i="4"/>
  <c r="AD42" i="4"/>
  <c r="AC42" i="4"/>
  <c r="W42" i="4"/>
  <c r="AA32" i="4"/>
  <c r="AB32" i="4"/>
  <c r="AD32" i="4"/>
  <c r="AC32" i="4"/>
  <c r="W32" i="4"/>
  <c r="AA96" i="4"/>
  <c r="AB96" i="4"/>
  <c r="AD96" i="4"/>
  <c r="AC96" i="4"/>
  <c r="W96" i="4"/>
  <c r="AC33" i="4"/>
  <c r="AA33" i="4"/>
  <c r="AB33" i="4"/>
  <c r="AD33" i="4"/>
  <c r="W33" i="4"/>
  <c r="AE44" i="4"/>
  <c r="AF44" i="4" s="1"/>
  <c r="AG44" i="4" s="1"/>
  <c r="N100" i="4"/>
  <c r="M100" i="4"/>
  <c r="N53" i="4"/>
  <c r="M53" i="4"/>
  <c r="N52" i="4"/>
  <c r="M52" i="4"/>
  <c r="N42" i="4"/>
  <c r="M42" i="4"/>
  <c r="N32" i="4"/>
  <c r="M32" i="4"/>
  <c r="N92" i="4"/>
  <c r="M92" i="4"/>
  <c r="N48" i="4"/>
  <c r="M48" i="4"/>
  <c r="N56" i="4"/>
  <c r="M56" i="4"/>
  <c r="N62" i="4"/>
  <c r="M62" i="4"/>
  <c r="N39" i="4"/>
  <c r="M39" i="4"/>
  <c r="N98" i="4"/>
  <c r="M98" i="4"/>
  <c r="N94" i="4"/>
  <c r="M94" i="4"/>
  <c r="N82" i="4"/>
  <c r="M82" i="4"/>
  <c r="M73" i="4"/>
  <c r="N73" i="4"/>
  <c r="N71" i="4"/>
  <c r="M71" i="4"/>
  <c r="N101" i="4"/>
  <c r="M101" i="4"/>
  <c r="N28" i="4"/>
  <c r="M28" i="4"/>
  <c r="N105" i="4"/>
  <c r="M105" i="4"/>
  <c r="N102" i="4"/>
  <c r="M102" i="4"/>
  <c r="N69" i="4"/>
  <c r="M69" i="4"/>
  <c r="N96" i="4"/>
  <c r="M96" i="4"/>
  <c r="N61" i="4"/>
  <c r="M61" i="4"/>
  <c r="N41" i="4"/>
  <c r="M41" i="4"/>
  <c r="N104" i="4"/>
  <c r="M104" i="4"/>
  <c r="N31" i="4"/>
  <c r="M31" i="4"/>
  <c r="N88" i="4"/>
  <c r="M88" i="4"/>
  <c r="N103" i="4"/>
  <c r="M103" i="4"/>
  <c r="N70" i="4"/>
  <c r="M70" i="4"/>
  <c r="N55" i="4"/>
  <c r="M55" i="4"/>
  <c r="N45" i="4"/>
  <c r="M45" i="4"/>
  <c r="N63" i="4"/>
  <c r="M63" i="4"/>
  <c r="N83" i="4"/>
  <c r="M83" i="4"/>
  <c r="N60" i="4"/>
  <c r="M60" i="4"/>
  <c r="M81" i="4"/>
  <c r="N81" i="4"/>
  <c r="N67" i="4"/>
  <c r="M67" i="4"/>
  <c r="N50" i="4"/>
  <c r="M50" i="4"/>
  <c r="N80" i="4"/>
  <c r="M80" i="4"/>
  <c r="N91" i="4"/>
  <c r="M91" i="4"/>
  <c r="N86" i="4"/>
  <c r="M86" i="4"/>
  <c r="N95" i="4"/>
  <c r="M95" i="4"/>
  <c r="N30" i="4"/>
  <c r="M30" i="4"/>
  <c r="N64" i="4"/>
  <c r="M64" i="4"/>
  <c r="N33" i="4"/>
  <c r="M33" i="4"/>
  <c r="N79" i="4"/>
  <c r="M79" i="4"/>
  <c r="N68" i="4"/>
  <c r="M68" i="4"/>
  <c r="N51" i="4"/>
  <c r="M51" i="4"/>
  <c r="N43" i="4"/>
  <c r="M43" i="4"/>
  <c r="N85" i="4"/>
  <c r="M85" i="4"/>
  <c r="N74" i="4"/>
  <c r="M74" i="4"/>
  <c r="N66" i="4"/>
  <c r="M66" i="4"/>
  <c r="N72" i="4"/>
  <c r="M72" i="4"/>
  <c r="N49" i="4"/>
  <c r="M49" i="4"/>
  <c r="N38" i="4"/>
  <c r="M38" i="4"/>
  <c r="N87" i="4"/>
  <c r="M87" i="4"/>
  <c r="N75" i="4"/>
  <c r="M75" i="4"/>
  <c r="AE42" i="4" l="1"/>
  <c r="AF42" i="4" s="1"/>
  <c r="AG42" i="4" s="1"/>
  <c r="AE69" i="4"/>
  <c r="AF69" i="4" s="1"/>
  <c r="AG69" i="4" s="1"/>
  <c r="AE30" i="4"/>
  <c r="AF30" i="4" s="1"/>
  <c r="AG30" i="4" s="1"/>
  <c r="AE101" i="4"/>
  <c r="AF101" i="4" s="1"/>
  <c r="AG101" i="4" s="1"/>
  <c r="AE73" i="4"/>
  <c r="AF73" i="4" s="1"/>
  <c r="AG73" i="4" s="1"/>
  <c r="AE41" i="4"/>
  <c r="AF41" i="4" s="1"/>
  <c r="AG41" i="4" s="1"/>
  <c r="AE92" i="4"/>
  <c r="AF92" i="4" s="1"/>
  <c r="AG92" i="4" s="1"/>
  <c r="AE104" i="4"/>
  <c r="AF104" i="4" s="1"/>
  <c r="AG104" i="4" s="1"/>
  <c r="AE66" i="4"/>
  <c r="AF66" i="4" s="1"/>
  <c r="AG66" i="4" s="1"/>
  <c r="AE67" i="4"/>
  <c r="AF67" i="4" s="1"/>
  <c r="AG67" i="4" s="1"/>
  <c r="AE62" i="4"/>
  <c r="AF62" i="4" s="1"/>
  <c r="AG62" i="4" s="1"/>
  <c r="AE88" i="4"/>
  <c r="AF88" i="4" s="1"/>
  <c r="AG88" i="4" s="1"/>
  <c r="AE72" i="4"/>
  <c r="AF72" i="4" s="1"/>
  <c r="AG72" i="4" s="1"/>
  <c r="AE85" i="4"/>
  <c r="AF85" i="4" s="1"/>
  <c r="AG85" i="4" s="1"/>
  <c r="AE50" i="4"/>
  <c r="AF50" i="4" s="1"/>
  <c r="AG50" i="4" s="1"/>
  <c r="AE81" i="4"/>
  <c r="AF81" i="4" s="1"/>
  <c r="AG81" i="4" s="1"/>
  <c r="AE94" i="4"/>
  <c r="AF94" i="4" s="1"/>
  <c r="AG94" i="4" s="1"/>
  <c r="Q72" i="4"/>
  <c r="U72" i="4" s="1"/>
  <c r="P72" i="4"/>
  <c r="O72" i="4"/>
  <c r="R72" i="4" s="1"/>
  <c r="Q41" i="4"/>
  <c r="U41" i="4" s="1"/>
  <c r="P41" i="4"/>
  <c r="Q64" i="4"/>
  <c r="U64" i="4" s="1"/>
  <c r="P64" i="4"/>
  <c r="Q61" i="4"/>
  <c r="Z61" i="4" s="1"/>
  <c r="P61" i="4"/>
  <c r="P92" i="4"/>
  <c r="O92" i="4"/>
  <c r="R92" i="4" s="1"/>
  <c r="Q92" i="4"/>
  <c r="AE74" i="4"/>
  <c r="AF74" i="4" s="1"/>
  <c r="AG74" i="4" s="1"/>
  <c r="AE63" i="4"/>
  <c r="AF63" i="4" s="1"/>
  <c r="AG63" i="4" s="1"/>
  <c r="AE28" i="4"/>
  <c r="AC25" i="4"/>
  <c r="AC24" i="4" s="1"/>
  <c r="AE43" i="4"/>
  <c r="AF43" i="4" s="1"/>
  <c r="AG43" i="4" s="1"/>
  <c r="AE52" i="4"/>
  <c r="AF52" i="4" s="1"/>
  <c r="AG52" i="4" s="1"/>
  <c r="AE64" i="4"/>
  <c r="AF64" i="4" s="1"/>
  <c r="AG64" i="4" s="1"/>
  <c r="AE79" i="4"/>
  <c r="AF79" i="4" s="1"/>
  <c r="AG79" i="4" s="1"/>
  <c r="AE80" i="4"/>
  <c r="AF80" i="4" s="1"/>
  <c r="AG80" i="4" s="1"/>
  <c r="AE103" i="4"/>
  <c r="AF103" i="4" s="1"/>
  <c r="AG103" i="4" s="1"/>
  <c r="AE48" i="4"/>
  <c r="AF48" i="4" s="1"/>
  <c r="AG48" i="4" s="1"/>
  <c r="AD25" i="4"/>
  <c r="AD24" i="4" s="1"/>
  <c r="Q43" i="4"/>
  <c r="U43" i="4" s="1"/>
  <c r="P43" i="4"/>
  <c r="Z98" i="4"/>
  <c r="Q98" i="4"/>
  <c r="U98" i="4" s="1"/>
  <c r="P98" i="4"/>
  <c r="Q51" i="4"/>
  <c r="U51" i="4" s="1"/>
  <c r="P51" i="4"/>
  <c r="P38" i="4"/>
  <c r="Q38" i="4"/>
  <c r="Z38" i="4" s="1"/>
  <c r="Q74" i="4"/>
  <c r="Z74" i="4" s="1"/>
  <c r="P74" i="4"/>
  <c r="P68" i="4"/>
  <c r="Q68" i="4"/>
  <c r="Z68" i="4" s="1"/>
  <c r="P30" i="4"/>
  <c r="Q30" i="4"/>
  <c r="Z30" i="4" s="1"/>
  <c r="Q80" i="4"/>
  <c r="U80" i="4" s="1"/>
  <c r="P80" i="4"/>
  <c r="P60" i="4"/>
  <c r="Q60" i="4"/>
  <c r="U60" i="4" s="1"/>
  <c r="Q55" i="4"/>
  <c r="U55" i="4" s="1"/>
  <c r="P55" i="4"/>
  <c r="Q31" i="4"/>
  <c r="U31" i="4" s="1"/>
  <c r="P31" i="4"/>
  <c r="O31" i="4"/>
  <c r="R31" i="4" s="1"/>
  <c r="Z96" i="4"/>
  <c r="Q96" i="4"/>
  <c r="U96" i="4" s="1"/>
  <c r="P96" i="4"/>
  <c r="P28" i="4"/>
  <c r="Q28" i="4"/>
  <c r="Z28" i="4" s="1"/>
  <c r="O28" i="4"/>
  <c r="Q82" i="4"/>
  <c r="U82" i="4" s="1"/>
  <c r="P82" i="4"/>
  <c r="P62" i="4"/>
  <c r="Q62" i="4"/>
  <c r="Z62" i="4" s="1"/>
  <c r="Q32" i="4"/>
  <c r="U32" i="4" s="1"/>
  <c r="P32" i="4"/>
  <c r="O32" i="4"/>
  <c r="R32" i="4" s="1"/>
  <c r="P100" i="4"/>
  <c r="Q100" i="4"/>
  <c r="U100" i="4" s="1"/>
  <c r="AE96" i="4"/>
  <c r="AF96" i="4" s="1"/>
  <c r="AG96" i="4" s="1"/>
  <c r="AE53" i="4"/>
  <c r="AF53" i="4" s="1"/>
  <c r="AG53" i="4" s="1"/>
  <c r="X93" i="4"/>
  <c r="S93" i="4"/>
  <c r="AE38" i="4"/>
  <c r="AF38" i="4" s="1"/>
  <c r="AG38" i="4" s="1"/>
  <c r="AE61" i="4"/>
  <c r="AF61" i="4" s="1"/>
  <c r="AG61" i="4" s="1"/>
  <c r="AE82" i="4"/>
  <c r="AF82" i="4" s="1"/>
  <c r="AG82" i="4" s="1"/>
  <c r="AE60" i="4"/>
  <c r="AF60" i="4" s="1"/>
  <c r="AG60" i="4" s="1"/>
  <c r="Q33" i="4"/>
  <c r="P33" i="4"/>
  <c r="Q71" i="4"/>
  <c r="P71" i="4"/>
  <c r="O71" i="4"/>
  <c r="R71" i="4" s="1"/>
  <c r="Q91" i="4"/>
  <c r="P91" i="4"/>
  <c r="Q105" i="4"/>
  <c r="U105" i="4" s="1"/>
  <c r="P105" i="4"/>
  <c r="AE75" i="4"/>
  <c r="AF75" i="4" s="1"/>
  <c r="AG75" i="4" s="1"/>
  <c r="AE98" i="4"/>
  <c r="AF98" i="4" s="1"/>
  <c r="AG98" i="4" s="1"/>
  <c r="Y44" i="4"/>
  <c r="T44" i="4"/>
  <c r="AE83" i="4"/>
  <c r="AF83" i="4" s="1"/>
  <c r="AG83" i="4" s="1"/>
  <c r="AE71" i="4"/>
  <c r="AF71" i="4" s="1"/>
  <c r="AG71" i="4" s="1"/>
  <c r="AE105" i="4"/>
  <c r="AF105" i="4" s="1"/>
  <c r="AG105" i="4" s="1"/>
  <c r="Q75" i="4"/>
  <c r="P75" i="4"/>
  <c r="Q103" i="4"/>
  <c r="P103" i="4"/>
  <c r="U103" i="4"/>
  <c r="P52" i="4"/>
  <c r="Q52" i="4"/>
  <c r="Q87" i="4"/>
  <c r="U87" i="4" s="1"/>
  <c r="P87" i="4"/>
  <c r="Q45" i="4"/>
  <c r="P45" i="4"/>
  <c r="O45" i="4"/>
  <c r="R45" i="4" s="1"/>
  <c r="Q39" i="4"/>
  <c r="P39" i="4"/>
  <c r="Q85" i="4"/>
  <c r="P85" i="4"/>
  <c r="Q95" i="4"/>
  <c r="U95" i="4" s="1"/>
  <c r="P95" i="4"/>
  <c r="P70" i="4"/>
  <c r="Q70" i="4"/>
  <c r="Z70" i="4" s="1"/>
  <c r="U69" i="4"/>
  <c r="Q69" i="4"/>
  <c r="Z69" i="4" s="1"/>
  <c r="P69" i="4"/>
  <c r="P94" i="4"/>
  <c r="U94" i="4"/>
  <c r="Q94" i="4"/>
  <c r="Z94" i="4" s="1"/>
  <c r="Y93" i="4"/>
  <c r="T93" i="4"/>
  <c r="AE70" i="4"/>
  <c r="AF70" i="4" s="1"/>
  <c r="AG70" i="4" s="1"/>
  <c r="AE102" i="4"/>
  <c r="AF102" i="4" s="1"/>
  <c r="AG102" i="4" s="1"/>
  <c r="P86" i="4"/>
  <c r="O86" i="4"/>
  <c r="R86" i="4" s="1"/>
  <c r="Z86" i="4"/>
  <c r="Q86" i="4"/>
  <c r="P102" i="4"/>
  <c r="Q102" i="4"/>
  <c r="Z102" i="4" s="1"/>
  <c r="Q66" i="4"/>
  <c r="U66" i="4" s="1"/>
  <c r="P66" i="4"/>
  <c r="Q88" i="4"/>
  <c r="Z88" i="4" s="1"/>
  <c r="P88" i="4"/>
  <c r="O88" i="4"/>
  <c r="R88" i="4" s="1"/>
  <c r="U53" i="4"/>
  <c r="Q53" i="4"/>
  <c r="P53" i="4"/>
  <c r="Q49" i="4"/>
  <c r="U49" i="4" s="1"/>
  <c r="P49" i="4"/>
  <c r="Q79" i="4"/>
  <c r="Z79" i="4" s="1"/>
  <c r="P79" i="4"/>
  <c r="O79" i="4"/>
  <c r="R79" i="4" s="1"/>
  <c r="U79" i="4"/>
  <c r="Q50" i="4"/>
  <c r="P50" i="4"/>
  <c r="Q83" i="4"/>
  <c r="Z83" i="4" s="1"/>
  <c r="P83" i="4"/>
  <c r="Q104" i="4"/>
  <c r="P104" i="4"/>
  <c r="O104" i="4"/>
  <c r="R104" i="4" s="1"/>
  <c r="U101" i="4"/>
  <c r="Q101" i="4"/>
  <c r="Z101" i="4" s="1"/>
  <c r="P101" i="4"/>
  <c r="Q56" i="4"/>
  <c r="U56" i="4" s="1"/>
  <c r="P56" i="4"/>
  <c r="Q42" i="4"/>
  <c r="Z42" i="4" s="1"/>
  <c r="P42" i="4"/>
  <c r="O42" i="4"/>
  <c r="R42" i="4" s="1"/>
  <c r="X44" i="4"/>
  <c r="S44" i="4"/>
  <c r="AE95" i="4"/>
  <c r="AF95" i="4" s="1"/>
  <c r="AG95" i="4" s="1"/>
  <c r="AE51" i="4"/>
  <c r="AF51" i="4" s="1"/>
  <c r="AG51" i="4" s="1"/>
  <c r="AE100" i="4"/>
  <c r="AF100" i="4" s="1"/>
  <c r="AG100" i="4" s="1"/>
  <c r="U93" i="4"/>
  <c r="AE87" i="4"/>
  <c r="AF87" i="4" s="1"/>
  <c r="AG87" i="4" s="1"/>
  <c r="AE86" i="4"/>
  <c r="AF86" i="4" s="1"/>
  <c r="AG86" i="4" s="1"/>
  <c r="AE91" i="4"/>
  <c r="AF91" i="4" s="1"/>
  <c r="AG91" i="4" s="1"/>
  <c r="AE39" i="4"/>
  <c r="AF39" i="4" s="1"/>
  <c r="AG39" i="4" s="1"/>
  <c r="Z44" i="4"/>
  <c r="AE45" i="4"/>
  <c r="AF45" i="4" s="1"/>
  <c r="AG45" i="4" s="1"/>
  <c r="AE31" i="4"/>
  <c r="AF31" i="4" s="1"/>
  <c r="AG31" i="4" s="1"/>
  <c r="AE68" i="4"/>
  <c r="AF68" i="4" s="1"/>
  <c r="AG68" i="4" s="1"/>
  <c r="Q67" i="4"/>
  <c r="P67" i="4"/>
  <c r="O67" i="4"/>
  <c r="R67" i="4" s="1"/>
  <c r="Q48" i="4"/>
  <c r="U48" i="4" s="1"/>
  <c r="P48" i="4"/>
  <c r="AB25" i="4"/>
  <c r="AB24" i="4" s="1"/>
  <c r="Z63" i="4"/>
  <c r="Q63" i="4"/>
  <c r="P63" i="4"/>
  <c r="U63" i="4"/>
  <c r="Q81" i="4"/>
  <c r="U81" i="4" s="1"/>
  <c r="P81" i="4"/>
  <c r="O81" i="4"/>
  <c r="R81" i="4" s="1"/>
  <c r="Q73" i="4"/>
  <c r="U73" i="4" s="1"/>
  <c r="P73" i="4"/>
  <c r="AE33" i="4"/>
  <c r="AF33" i="4" s="1"/>
  <c r="AG33" i="4" s="1"/>
  <c r="AE32" i="4"/>
  <c r="AF32" i="4" s="1"/>
  <c r="AG32" i="4" s="1"/>
  <c r="AE49" i="4"/>
  <c r="AF49" i="4" s="1"/>
  <c r="AG49" i="4" s="1"/>
  <c r="AE55" i="4"/>
  <c r="AF55" i="4" s="1"/>
  <c r="AG55" i="4" s="1"/>
  <c r="AA25" i="4"/>
  <c r="AA24" i="4" s="1"/>
  <c r="AE56" i="4"/>
  <c r="AF56" i="4" s="1"/>
  <c r="AG56" i="4" s="1"/>
  <c r="V19" i="4"/>
  <c r="U19" i="4" s="1"/>
  <c r="V20" i="4"/>
  <c r="U20" i="4" s="1"/>
  <c r="U28" i="4" l="1"/>
  <c r="U68" i="4"/>
  <c r="Z66" i="4"/>
  <c r="Z80" i="4"/>
  <c r="Z48" i="4"/>
  <c r="Z105" i="4"/>
  <c r="Z72" i="4"/>
  <c r="U88" i="4"/>
  <c r="U70" i="4"/>
  <c r="U30" i="4"/>
  <c r="Z60" i="4"/>
  <c r="U38" i="4"/>
  <c r="Y39" i="4"/>
  <c r="T39" i="4"/>
  <c r="S103" i="4"/>
  <c r="X103" i="4"/>
  <c r="X71" i="4"/>
  <c r="S71" i="4"/>
  <c r="X100" i="4"/>
  <c r="S100" i="4"/>
  <c r="R28" i="4"/>
  <c r="AK12" i="4" s="1"/>
  <c r="AJ12" i="4" s="1"/>
  <c r="O24" i="4"/>
  <c r="Z73" i="4"/>
  <c r="X63" i="4"/>
  <c r="S63" i="4"/>
  <c r="U42" i="4"/>
  <c r="U83" i="4"/>
  <c r="X79" i="4"/>
  <c r="S79" i="4"/>
  <c r="Y53" i="4"/>
  <c r="T53" i="4"/>
  <c r="X66" i="4"/>
  <c r="S66" i="4"/>
  <c r="T86" i="4"/>
  <c r="Y86" i="4"/>
  <c r="Z95" i="4"/>
  <c r="Z39" i="4"/>
  <c r="Y87" i="4"/>
  <c r="T87" i="4"/>
  <c r="Y103" i="4"/>
  <c r="T103" i="4"/>
  <c r="Y71" i="4"/>
  <c r="T71" i="4"/>
  <c r="Z100" i="4"/>
  <c r="U62" i="4"/>
  <c r="Y28" i="4"/>
  <c r="T28" i="4"/>
  <c r="Q24" i="4"/>
  <c r="Z55" i="4"/>
  <c r="X38" i="4"/>
  <c r="S38" i="4"/>
  <c r="Y61" i="4"/>
  <c r="T61" i="4"/>
  <c r="Y41" i="4"/>
  <c r="T41" i="4"/>
  <c r="Y63" i="4"/>
  <c r="T63" i="4"/>
  <c r="X67" i="4"/>
  <c r="S67" i="4"/>
  <c r="X56" i="4"/>
  <c r="S56" i="4"/>
  <c r="Y79" i="4"/>
  <c r="T79" i="4"/>
  <c r="Z53" i="4"/>
  <c r="Y66" i="4"/>
  <c r="T66" i="4"/>
  <c r="U86" i="4"/>
  <c r="Y94" i="4"/>
  <c r="T94" i="4"/>
  <c r="T70" i="4"/>
  <c r="Y70" i="4"/>
  <c r="X85" i="4"/>
  <c r="S85" i="4"/>
  <c r="Z87" i="4"/>
  <c r="Z103" i="4"/>
  <c r="X91" i="4"/>
  <c r="S91" i="4"/>
  <c r="Z71" i="4"/>
  <c r="X28" i="4"/>
  <c r="S28" i="4"/>
  <c r="P24" i="4"/>
  <c r="Y60" i="4"/>
  <c r="T60" i="4"/>
  <c r="Y30" i="4"/>
  <c r="T30" i="4"/>
  <c r="X51" i="4"/>
  <c r="S51" i="4"/>
  <c r="X43" i="4"/>
  <c r="S43" i="4"/>
  <c r="U61" i="4"/>
  <c r="Z41" i="4"/>
  <c r="S104" i="4"/>
  <c r="Y85" i="4"/>
  <c r="T85" i="4"/>
  <c r="X75" i="4"/>
  <c r="S75" i="4"/>
  <c r="Y91" i="4"/>
  <c r="T91" i="4"/>
  <c r="X62" i="4"/>
  <c r="S62" i="4"/>
  <c r="X60" i="4"/>
  <c r="S60" i="4"/>
  <c r="Y92" i="4"/>
  <c r="T92" i="4"/>
  <c r="Y104" i="4"/>
  <c r="T104" i="4"/>
  <c r="X49" i="4"/>
  <c r="S49" i="4"/>
  <c r="Y45" i="4"/>
  <c r="T45" i="4"/>
  <c r="Y75" i="4"/>
  <c r="T75" i="4"/>
  <c r="Y33" i="4"/>
  <c r="T33" i="4"/>
  <c r="X32" i="4"/>
  <c r="S32" i="4"/>
  <c r="X82" i="4"/>
  <c r="S82" i="4"/>
  <c r="Y31" i="4"/>
  <c r="T31" i="4"/>
  <c r="Y74" i="4"/>
  <c r="T74" i="4"/>
  <c r="X64" i="4"/>
  <c r="S64" i="4"/>
  <c r="Y67" i="4"/>
  <c r="T67" i="4"/>
  <c r="X50" i="4"/>
  <c r="S50" i="4"/>
  <c r="Y52" i="4"/>
  <c r="T52" i="4"/>
  <c r="X33" i="4"/>
  <c r="S33" i="4"/>
  <c r="X31" i="4"/>
  <c r="S31" i="4"/>
  <c r="X74" i="4"/>
  <c r="S74" i="4"/>
  <c r="Y43" i="4"/>
  <c r="T43" i="4"/>
  <c r="U67" i="4"/>
  <c r="Z104" i="4"/>
  <c r="X45" i="4"/>
  <c r="S45" i="4"/>
  <c r="Y51" i="4"/>
  <c r="T51" i="4"/>
  <c r="X81" i="4"/>
  <c r="S81" i="4"/>
  <c r="Z56" i="4"/>
  <c r="Y50" i="4"/>
  <c r="T50" i="4"/>
  <c r="U85" i="4"/>
  <c r="X52" i="4"/>
  <c r="S52" i="4"/>
  <c r="U91" i="4"/>
  <c r="Y81" i="4"/>
  <c r="T81" i="4"/>
  <c r="X48" i="4"/>
  <c r="S48" i="4"/>
  <c r="Z67" i="4"/>
  <c r="Z50" i="4"/>
  <c r="Y49" i="4"/>
  <c r="T49" i="4"/>
  <c r="X88" i="4"/>
  <c r="S88" i="4"/>
  <c r="Y102" i="4"/>
  <c r="T102" i="4"/>
  <c r="X86" i="4"/>
  <c r="S86" i="4"/>
  <c r="X94" i="4"/>
  <c r="S94" i="4"/>
  <c r="X70" i="4"/>
  <c r="S70" i="4"/>
  <c r="Z85" i="4"/>
  <c r="U45" i="4"/>
  <c r="Z52" i="4"/>
  <c r="U75" i="4"/>
  <c r="Z91" i="4"/>
  <c r="Z33" i="4"/>
  <c r="Y32" i="4"/>
  <c r="T32" i="4"/>
  <c r="Y82" i="4"/>
  <c r="T82" i="4"/>
  <c r="X96" i="4"/>
  <c r="S96" i="4"/>
  <c r="Z31" i="4"/>
  <c r="X30" i="4"/>
  <c r="S30" i="4"/>
  <c r="U74" i="4"/>
  <c r="Z51" i="4"/>
  <c r="Z43" i="4"/>
  <c r="X92" i="4"/>
  <c r="S92" i="4"/>
  <c r="Y64" i="4"/>
  <c r="T64" i="4"/>
  <c r="X72" i="4"/>
  <c r="S72" i="4"/>
  <c r="Z81" i="4"/>
  <c r="Y48" i="4"/>
  <c r="T48" i="4"/>
  <c r="X101" i="4"/>
  <c r="S101" i="4"/>
  <c r="U104" i="4"/>
  <c r="U50" i="4"/>
  <c r="Z49" i="4"/>
  <c r="Y88" i="4"/>
  <c r="T88" i="4"/>
  <c r="U102" i="4"/>
  <c r="X69" i="4"/>
  <c r="S69" i="4"/>
  <c r="U39" i="4"/>
  <c r="Z45" i="4"/>
  <c r="U52" i="4"/>
  <c r="Z75" i="4"/>
  <c r="X105" i="4"/>
  <c r="S105" i="4"/>
  <c r="U71" i="4"/>
  <c r="U33" i="4"/>
  <c r="Z32" i="4"/>
  <c r="Z82" i="4"/>
  <c r="Y96" i="4"/>
  <c r="T96" i="4"/>
  <c r="X80" i="4"/>
  <c r="S80" i="4"/>
  <c r="T68" i="4"/>
  <c r="Y68" i="4"/>
  <c r="T38" i="4"/>
  <c r="Y38" i="4"/>
  <c r="X98" i="4"/>
  <c r="S98" i="4"/>
  <c r="W104" i="4"/>
  <c r="AK16" i="4" s="1"/>
  <c r="AJ16" i="4" s="1"/>
  <c r="Z92" i="4"/>
  <c r="Z64" i="4"/>
  <c r="Y72" i="4"/>
  <c r="T72" i="4"/>
  <c r="Y56" i="4"/>
  <c r="T56" i="4"/>
  <c r="X73" i="4"/>
  <c r="S73" i="4"/>
  <c r="X42" i="4"/>
  <c r="S42" i="4"/>
  <c r="Y101" i="4"/>
  <c r="T101" i="4"/>
  <c r="X83" i="4"/>
  <c r="S83" i="4"/>
  <c r="Y69" i="4"/>
  <c r="T69" i="4"/>
  <c r="X95" i="4"/>
  <c r="S95" i="4"/>
  <c r="X39" i="4"/>
  <c r="S39" i="4"/>
  <c r="Y105" i="4"/>
  <c r="T105" i="4"/>
  <c r="T100" i="4"/>
  <c r="Y100" i="4"/>
  <c r="X55" i="4"/>
  <c r="S55" i="4"/>
  <c r="Y80" i="4"/>
  <c r="T80" i="4"/>
  <c r="X68" i="4"/>
  <c r="S68" i="4"/>
  <c r="Y98" i="4"/>
  <c r="T98" i="4"/>
  <c r="U92" i="4"/>
  <c r="Y73" i="4"/>
  <c r="T73" i="4"/>
  <c r="Y42" i="4"/>
  <c r="T42" i="4"/>
  <c r="Y83" i="4"/>
  <c r="T83" i="4"/>
  <c r="X53" i="4"/>
  <c r="S53" i="4"/>
  <c r="X102" i="4"/>
  <c r="S102" i="4"/>
  <c r="Y95" i="4"/>
  <c r="T95" i="4"/>
  <c r="X87" i="4"/>
  <c r="S87" i="4"/>
  <c r="Y62" i="4"/>
  <c r="T62" i="4"/>
  <c r="Y55" i="4"/>
  <c r="T55" i="4"/>
  <c r="AF28" i="4"/>
  <c r="AE25" i="4"/>
  <c r="AE24" i="4" s="1"/>
  <c r="X61" i="4"/>
  <c r="S61" i="4"/>
  <c r="X41" i="4"/>
  <c r="S41" i="4"/>
  <c r="X104" i="4" l="1"/>
  <c r="AK15" i="4"/>
  <c r="AJ15" i="4" s="1"/>
  <c r="AK19" i="4"/>
  <c r="AJ19" i="4" s="1"/>
  <c r="AK13" i="4"/>
  <c r="AJ13" i="4" s="1"/>
  <c r="AK17" i="4"/>
  <c r="AJ17" i="4" s="1"/>
  <c r="AK14" i="4"/>
  <c r="AJ14" i="4" s="1"/>
  <c r="AG28" i="4"/>
  <c r="AG25" i="4" s="1"/>
  <c r="AG24" i="4" s="1"/>
  <c r="AF25" i="4"/>
  <c r="AF24" i="4" s="1"/>
  <c r="AK18" i="4"/>
  <c r="AJ18" i="4" s="1"/>
</calcChain>
</file>

<file path=xl/sharedStrings.xml><?xml version="1.0" encoding="utf-8"?>
<sst xmlns="http://schemas.openxmlformats.org/spreadsheetml/2006/main" count="748" uniqueCount="378">
  <si>
    <t>Com os dados das árvores modelo da ficha de medição da parcela de um ensaio de compassos (Figura 10):</t>
  </si>
  <si>
    <r>
      <t>3.2.1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Arial"/>
        <family val="2"/>
      </rPr>
      <t>Relações hipsométricas locais</t>
    </r>
  </si>
  <si>
    <r>
      <t>a)</t>
    </r>
    <r>
      <rPr>
        <sz val="7"/>
        <rFont val="Times New Roman"/>
        <family val="1"/>
      </rPr>
      <t xml:space="preserve">     </t>
    </r>
    <r>
      <rPr>
        <sz val="11"/>
        <rFont val="Arial"/>
        <family val="2"/>
      </rPr>
      <t xml:space="preserve">represente graficamente a relação entre a altura e o diâmetro das árvores modelo (relação hipsométrica). </t>
    </r>
  </si>
  <si>
    <r>
      <t>b)</t>
    </r>
    <r>
      <rPr>
        <sz val="7"/>
        <rFont val="Times New Roman"/>
        <family val="1"/>
      </rPr>
      <t xml:space="preserve">     </t>
    </r>
    <r>
      <rPr>
        <sz val="11"/>
        <rFont val="Arial"/>
        <family val="2"/>
      </rPr>
      <t>Ajuste a esta relação o modelo de Prodan (1965) linearisado:</t>
    </r>
  </si>
  <si>
    <t>(mm)</t>
  </si>
  <si>
    <t>Altura</t>
  </si>
  <si>
    <t>(m)</t>
  </si>
  <si>
    <t>id_arv</t>
  </si>
  <si>
    <t>d1 c/casca</t>
  </si>
  <si>
    <t>d2 c/casca</t>
  </si>
  <si>
    <t>id_morta</t>
  </si>
  <si>
    <t>d (cm)</t>
  </si>
  <si>
    <t>1/d</t>
  </si>
  <si>
    <t>1/h</t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</si>
  <si>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</si>
  <si>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</si>
  <si>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</si>
  <si>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</si>
  <si>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</si>
  <si>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</si>
  <si>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</si>
  <si>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</si>
  <si>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Regression</t>
  </si>
  <si>
    <t>Residual</t>
  </si>
  <si>
    <t>Total</t>
  </si>
  <si>
    <t>Intercept</t>
  </si>
  <si>
    <t>df</t>
  </si>
  <si>
    <t>SS</t>
  </si>
  <si>
    <t>MS</t>
  </si>
  <si>
    <t>F</t>
  </si>
  <si>
    <t>Significance F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</si>
  <si>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</si>
  <si>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</si>
  <si>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</si>
  <si>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</si>
  <si>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</si>
  <si>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</si>
  <si>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</si>
  <si>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X Variable 1</t>
  </si>
  <si>
    <t>RESIDUAL OUTPUT</t>
  </si>
  <si>
    <t>Observation</t>
  </si>
  <si>
    <t>Predicted Y</t>
  </si>
  <si>
    <t>Residuals</t>
  </si>
  <si>
    <t>PROBABILITY OUTPUT</t>
  </si>
  <si>
    <t>Percentile</t>
  </si>
  <si>
    <t>Y</t>
  </si>
  <si>
    <t>beta1</t>
  </si>
  <si>
    <t>beta2</t>
  </si>
  <si>
    <t>h_est</t>
  </si>
  <si>
    <t>h</t>
  </si>
  <si>
    <r>
      <t xml:space="preserve">PARCELA nº: </t>
    </r>
    <r>
      <rPr>
        <sz val="11"/>
        <color rgb="FF0000FF"/>
        <rFont val="Monotype Corsiva"/>
        <family val="4"/>
      </rPr>
      <t>35</t>
    </r>
  </si>
  <si>
    <t>Distribuição de diâmetros</t>
  </si>
  <si>
    <t xml:space="preserve">Medição de d´s </t>
  </si>
  <si>
    <t>Classe d</t>
  </si>
  <si>
    <r>
      <t>Espécie principal</t>
    </r>
    <r>
      <rPr>
        <b/>
        <sz val="10"/>
        <color rgb="FF333399"/>
        <rFont val="Monotype Corsiva"/>
        <family val="4"/>
      </rPr>
      <t xml:space="preserve">: </t>
    </r>
    <r>
      <rPr>
        <sz val="12"/>
        <color rgb="FF0000FF"/>
        <rFont val="Monotype Corsiva"/>
        <family val="4"/>
      </rPr>
      <t>Pb</t>
    </r>
  </si>
  <si>
    <t>Outras:</t>
  </si>
  <si>
    <r>
      <t xml:space="preserve">Espécie principal: </t>
    </r>
    <r>
      <rPr>
        <sz val="12"/>
        <color rgb="FF0000FF"/>
        <rFont val="Monotype Corsiva"/>
        <family val="4"/>
      </rPr>
      <t>Pb</t>
    </r>
  </si>
  <si>
    <r>
      <t xml:space="preserve">Outras: </t>
    </r>
    <r>
      <rPr>
        <sz val="11"/>
        <color rgb="FF0000FF"/>
        <rFont val="Monotype Corsiva"/>
        <family val="4"/>
      </rPr>
      <t>Pm</t>
    </r>
  </si>
  <si>
    <t>2.5-7.4</t>
  </si>
  <si>
    <t>II</t>
  </si>
  <si>
    <t>7.5-12.4</t>
  </si>
  <si>
    <t>12.5-17.4</t>
  </si>
  <si>
    <t>IIII</t>
  </si>
  <si>
    <t>17.5-22.4</t>
  </si>
  <si>
    <t>22.5-27.4</t>
  </si>
  <si>
    <t>27.5-32.4</t>
  </si>
  <si>
    <t>I</t>
  </si>
  <si>
    <t>32.5-37.4</t>
  </si>
  <si>
    <t>37.5-42.4</t>
  </si>
  <si>
    <t>42.5-47.4</t>
  </si>
  <si>
    <t>47.5-52.4</t>
  </si>
  <si>
    <t>52.5-57.4</t>
  </si>
  <si>
    <t>57.5-62.4</t>
  </si>
  <si>
    <t>62.5-67.4</t>
  </si>
  <si>
    <t>&gt;=67.4</t>
  </si>
  <si>
    <t>Árvores modelo</t>
  </si>
  <si>
    <t>Nº</t>
  </si>
  <si>
    <t>Esp</t>
  </si>
  <si>
    <t>d</t>
  </si>
  <si>
    <r>
      <t>h</t>
    </r>
    <r>
      <rPr>
        <b/>
        <vertAlign val="subscript"/>
        <sz val="9"/>
        <color theme="1"/>
        <rFont val="Arial"/>
        <family val="2"/>
      </rPr>
      <t>copa</t>
    </r>
  </si>
  <si>
    <t>casc</t>
  </si>
  <si>
    <r>
      <t>i</t>
    </r>
    <r>
      <rPr>
        <b/>
        <vertAlign val="subscript"/>
        <sz val="9"/>
        <color theme="1"/>
        <rFont val="Arial"/>
        <family val="2"/>
      </rPr>
      <t>d</t>
    </r>
  </si>
  <si>
    <t>Pb</t>
  </si>
  <si>
    <t>IIIII</t>
  </si>
  <si>
    <t xml:space="preserve">Para fazer a regressão: </t>
  </si>
  <si>
    <t>1 ) Data\data analysis \ regression</t>
  </si>
  <si>
    <r>
      <t>2) Na janela da regressão seleccionar o</t>
    </r>
    <r>
      <rPr>
        <sz val="11"/>
        <color theme="5"/>
        <rFont val="Calibri"/>
        <family val="2"/>
        <scheme val="minor"/>
      </rPr>
      <t xml:space="preserve"> xx</t>
    </r>
    <r>
      <rPr>
        <sz val="11"/>
        <color theme="1"/>
        <rFont val="Calibri"/>
        <family val="2"/>
        <scheme val="minor"/>
      </rPr>
      <t xml:space="preserve"> e o </t>
    </r>
    <r>
      <rPr>
        <sz val="11"/>
        <color theme="7"/>
        <rFont val="Calibri"/>
        <family val="2"/>
        <scheme val="minor"/>
      </rPr>
      <t>yy</t>
    </r>
    <r>
      <rPr>
        <sz val="11"/>
        <rFont val="Calibri"/>
        <family val="2"/>
        <scheme val="minor"/>
      </rPr>
      <t xml:space="preserve">, bem como a célula da folha do excel onde querem que o output seja colocado </t>
    </r>
    <r>
      <rPr>
        <i/>
        <sz val="11"/>
        <color theme="1" tint="0.499984740745262"/>
        <rFont val="Calibri"/>
        <family val="2"/>
        <scheme val="minor"/>
      </rPr>
      <t>(neste caso foi a celula x12)</t>
    </r>
  </si>
  <si>
    <r>
      <t xml:space="preserve">Se compararem a </t>
    </r>
    <r>
      <rPr>
        <sz val="11"/>
        <color rgb="FF0000FF"/>
        <rFont val="Calibri"/>
        <family val="2"/>
        <scheme val="minor"/>
      </rPr>
      <t>Altura</t>
    </r>
    <r>
      <rPr>
        <sz val="11"/>
        <color theme="1"/>
        <rFont val="Calibri"/>
        <family val="2"/>
        <scheme val="minor"/>
      </rPr>
      <t xml:space="preserve"> com a </t>
    </r>
    <r>
      <rPr>
        <sz val="11"/>
        <color theme="9"/>
        <rFont val="Calibri"/>
        <family val="2"/>
        <scheme val="minor"/>
      </rPr>
      <t>altura estimada com a hipsométrica local</t>
    </r>
    <r>
      <rPr>
        <sz val="11"/>
        <color theme="1"/>
        <rFont val="Calibri"/>
        <family val="2"/>
        <scheme val="minor"/>
      </rPr>
      <t xml:space="preserve"> (</t>
    </r>
    <r>
      <rPr>
        <sz val="11"/>
        <color theme="9"/>
        <rFont val="Calibri"/>
        <family val="2"/>
        <scheme val="minor"/>
      </rPr>
      <t>h_est</t>
    </r>
    <r>
      <rPr>
        <sz val="11"/>
        <color theme="1"/>
        <rFont val="Calibri"/>
        <family val="2"/>
        <scheme val="minor"/>
      </rPr>
      <t>) veem que os valores não são exactamente iguais. Isto acontece porque existe um erro associado a cada equação. Assim, sempre que temos a possibilidade de recorrer aos valores medidos no campo, optamos por estes, e aplicamos apenas a equação às árvores para as quais não se procedeu à medição da altura (</t>
    </r>
    <r>
      <rPr>
        <b/>
        <sz val="11"/>
        <color theme="1"/>
        <rFont val="Calibri"/>
        <family val="2"/>
        <scheme val="minor"/>
      </rPr>
      <t>h</t>
    </r>
    <r>
      <rPr>
        <sz val="11"/>
        <color theme="1"/>
        <rFont val="Calibri"/>
        <family val="2"/>
        <scheme val="minor"/>
      </rPr>
      <t>).</t>
    </r>
  </si>
  <si>
    <t>Relação diâmetro altura para todas as árvores da parcela</t>
  </si>
  <si>
    <t>Relação diâmetro altura para as árvores modelo</t>
  </si>
  <si>
    <t>Variaveis da árvore</t>
  </si>
  <si>
    <t>Variáveis do povoamento</t>
  </si>
  <si>
    <r>
      <t>Área da parcela (m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 =</t>
    </r>
  </si>
  <si>
    <t xml:space="preserve">nº de árvores dominantes = </t>
  </si>
  <si>
    <t>n_dom</t>
  </si>
  <si>
    <t>rotação =</t>
  </si>
  <si>
    <t xml:space="preserve">Região globulus = </t>
  </si>
  <si>
    <t>3CL</t>
  </si>
  <si>
    <t>idade =</t>
  </si>
  <si>
    <t>b) O índice de qualidade da estação (idade padrão 10 anos para Ec), S =</t>
  </si>
  <si>
    <t>f exp =</t>
  </si>
  <si>
    <r>
      <t>A_circulo = PI() r</t>
    </r>
    <r>
      <rPr>
        <vertAlign val="superscript"/>
        <sz val="11"/>
        <color theme="1"/>
        <rFont val="Calibri"/>
        <family val="2"/>
        <scheme val="minor"/>
      </rPr>
      <t>2</t>
    </r>
  </si>
  <si>
    <r>
      <t>PI() (d/2)</t>
    </r>
    <r>
      <rPr>
        <vertAlign val="superscript"/>
        <sz val="11"/>
        <color theme="1"/>
        <rFont val="Calibri"/>
        <family val="2"/>
        <scheme val="minor"/>
      </rPr>
      <t>2</t>
    </r>
  </si>
  <si>
    <t>PI() (d/200)2</t>
  </si>
  <si>
    <r>
      <t>PI() d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/40000</t>
    </r>
  </si>
  <si>
    <t>extra) ddom =</t>
  </si>
  <si>
    <t>pag 19</t>
  </si>
  <si>
    <t>pag 29</t>
  </si>
  <si>
    <t>Dados</t>
  </si>
  <si>
    <t>Anexo I, Tabela 15</t>
  </si>
  <si>
    <t>Anexo I, Tabela 2</t>
  </si>
  <si>
    <r>
      <t>β</t>
    </r>
    <r>
      <rPr>
        <b/>
        <vertAlign val="subscript"/>
        <sz val="9"/>
        <color theme="1"/>
        <rFont val="Arial"/>
        <family val="2"/>
      </rPr>
      <t>0</t>
    </r>
  </si>
  <si>
    <r>
      <t>β</t>
    </r>
    <r>
      <rPr>
        <b/>
        <vertAlign val="subscript"/>
        <sz val="9"/>
        <color theme="1"/>
        <rFont val="Arial"/>
        <family val="2"/>
      </rPr>
      <t>1</t>
    </r>
  </si>
  <si>
    <r>
      <t>β</t>
    </r>
    <r>
      <rPr>
        <b/>
        <vertAlign val="subscript"/>
        <sz val="9"/>
        <color theme="1"/>
        <rFont val="Arial"/>
        <family val="2"/>
      </rPr>
      <t>2</t>
    </r>
  </si>
  <si>
    <r>
      <t>β</t>
    </r>
    <r>
      <rPr>
        <b/>
        <vertAlign val="subscript"/>
        <sz val="9"/>
        <color theme="1"/>
        <rFont val="Arial"/>
        <family val="2"/>
      </rPr>
      <t>3</t>
    </r>
  </si>
  <si>
    <t>hdom aux</t>
  </si>
  <si>
    <t>ddom     aux</t>
  </si>
  <si>
    <t>id     morta</t>
  </si>
  <si>
    <t>d             (cm)</t>
  </si>
  <si>
    <t>d2            (mm)</t>
  </si>
  <si>
    <t>Altura (m)</t>
  </si>
  <si>
    <t>d1            (mm)</t>
  </si>
  <si>
    <r>
      <t>a)</t>
    </r>
    <r>
      <rPr>
        <sz val="7"/>
        <color theme="9"/>
        <rFont val="Calibri"/>
        <family val="2"/>
        <scheme val="minor"/>
      </rPr>
      <t>  </t>
    </r>
    <r>
      <rPr>
        <sz val="11"/>
        <color theme="9"/>
        <rFont val="Calibri"/>
        <family val="2"/>
        <scheme val="minor"/>
      </rPr>
      <t>A altura dominante do povoamento (m), hdom =</t>
    </r>
  </si>
  <si>
    <r>
      <t>c)</t>
    </r>
    <r>
      <rPr>
        <sz val="7"/>
        <color theme="9"/>
        <rFont val="Calibri"/>
        <family val="2"/>
        <scheme val="minor"/>
      </rPr>
      <t xml:space="preserve">     </t>
    </r>
    <r>
      <rPr>
        <sz val="11"/>
        <color theme="9"/>
        <rFont val="Calibri"/>
        <family val="2"/>
        <scheme val="minor"/>
      </rPr>
      <t>O número de árvores vivas por ha, N_vivas =</t>
    </r>
  </si>
  <si>
    <r>
      <t>d)</t>
    </r>
    <r>
      <rPr>
        <sz val="7"/>
        <color theme="9"/>
        <rFont val="Calibri"/>
        <family val="2"/>
        <scheme val="minor"/>
      </rPr>
      <t xml:space="preserve">   </t>
    </r>
    <r>
      <rPr>
        <sz val="11"/>
        <color theme="9"/>
        <rFont val="Calibri"/>
        <family val="2"/>
        <scheme val="minor"/>
      </rPr>
      <t>O número de árvores mortas por ha, N_mortas =</t>
    </r>
  </si>
  <si>
    <r>
      <t>e)</t>
    </r>
    <r>
      <rPr>
        <sz val="7"/>
        <color theme="9"/>
        <rFont val="Calibri"/>
        <family val="2"/>
        <scheme val="minor"/>
      </rPr>
      <t xml:space="preserve">     </t>
    </r>
    <r>
      <rPr>
        <sz val="11"/>
        <color theme="9"/>
        <rFont val="Calibri"/>
        <family val="2"/>
        <scheme val="minor"/>
      </rPr>
      <t>A área basal por hectare (m</t>
    </r>
    <r>
      <rPr>
        <vertAlign val="superscript"/>
        <sz val="11"/>
        <color theme="9"/>
        <rFont val="Calibri"/>
        <family val="2"/>
        <scheme val="minor"/>
      </rPr>
      <t>2</t>
    </r>
    <r>
      <rPr>
        <sz val="11"/>
        <color theme="9"/>
        <rFont val="Calibri"/>
        <family val="2"/>
        <scheme val="minor"/>
      </rPr>
      <t xml:space="preserve"> ha</t>
    </r>
    <r>
      <rPr>
        <vertAlign val="superscript"/>
        <sz val="11"/>
        <color theme="9"/>
        <rFont val="Calibri"/>
        <family val="2"/>
        <scheme val="minor"/>
      </rPr>
      <t>-1</t>
    </r>
    <r>
      <rPr>
        <sz val="11"/>
        <color theme="9"/>
        <rFont val="Calibri"/>
        <family val="2"/>
        <scheme val="minor"/>
      </rPr>
      <t>), G =</t>
    </r>
  </si>
  <si>
    <r>
      <t>f)</t>
    </r>
    <r>
      <rPr>
        <sz val="7"/>
        <color theme="9"/>
        <rFont val="Calibri"/>
        <family val="2"/>
        <scheme val="minor"/>
      </rPr>
      <t xml:space="preserve">     </t>
    </r>
    <r>
      <rPr>
        <sz val="11"/>
        <color theme="9"/>
        <rFont val="Calibri"/>
        <family val="2"/>
        <scheme val="minor"/>
      </rPr>
      <t>O diâmetro quadrático médio =</t>
    </r>
  </si>
  <si>
    <t>= (np_vivas)</t>
  </si>
  <si>
    <t>= (np_mortas)</t>
  </si>
  <si>
    <t>= (Gp_vivas)</t>
  </si>
  <si>
    <r>
      <t>gi              (m</t>
    </r>
    <r>
      <rPr>
        <vertAlign val="superscript"/>
        <sz val="10"/>
        <color theme="9"/>
        <rFont val="Calibri"/>
        <family val="2"/>
        <scheme val="minor"/>
      </rPr>
      <t>2</t>
    </r>
    <r>
      <rPr>
        <sz val="10"/>
        <color theme="9"/>
        <rFont val="Calibri"/>
        <family val="2"/>
        <scheme val="minor"/>
      </rPr>
      <t>)</t>
    </r>
  </si>
  <si>
    <t>h_est      (m)</t>
  </si>
  <si>
    <t>A</t>
  </si>
  <si>
    <t>n</t>
  </si>
  <si>
    <t>tp</t>
  </si>
  <si>
    <t>Parcelas permanentes da herdade do Chaparro - Parcela 8</t>
  </si>
  <si>
    <t>Narv</t>
  </si>
  <si>
    <t>Alturas (m)</t>
  </si>
  <si>
    <t>Raios da Copa (m)</t>
  </si>
  <si>
    <t>x</t>
  </si>
  <si>
    <t>total</t>
  </si>
  <si>
    <t>copa</t>
  </si>
  <si>
    <t>tronco</t>
  </si>
  <si>
    <t>descort.</t>
  </si>
  <si>
    <t>N</t>
  </si>
  <si>
    <t>S</t>
  </si>
  <si>
    <t>E</t>
  </si>
  <si>
    <t>W</t>
  </si>
  <si>
    <t>Sb</t>
  </si>
  <si>
    <t>Pm</t>
  </si>
  <si>
    <t>-</t>
  </si>
  <si>
    <t>raio médio</t>
  </si>
  <si>
    <t>area copa i</t>
  </si>
  <si>
    <t>raio da parcela =</t>
  </si>
  <si>
    <t>area =</t>
  </si>
  <si>
    <t>Sum areas de copa=</t>
  </si>
  <si>
    <t xml:space="preserve">Cc = </t>
  </si>
  <si>
    <t>=</t>
  </si>
  <si>
    <t xml:space="preserve">a)     O factor de Wilson, FW = </t>
  </si>
  <si>
    <t xml:space="preserve">h) Quantas árvores por ha deverá desbastar para colocar o povoamento a um factor de Wilson de 0.25? </t>
  </si>
  <si>
    <t xml:space="preserve">FW_silv = </t>
  </si>
  <si>
    <t>N =</t>
  </si>
  <si>
    <t>N_silv =</t>
  </si>
  <si>
    <t>N_desb =</t>
  </si>
  <si>
    <t>j) O Índice de Densidade do Povoamento, SDI =</t>
  </si>
  <si>
    <t>Pinheiro bravo</t>
  </si>
  <si>
    <t>Eucalipto</t>
  </si>
  <si>
    <t>k) % de coberto e coeficiente de espaçamento para as parcelas 8 e 13 das Figura 12 eFigura 13 (só para Sb)</t>
  </si>
  <si>
    <t>area copa</t>
  </si>
  <si>
    <t>sum area copa =</t>
  </si>
  <si>
    <t>parcela raio =</t>
  </si>
  <si>
    <t>Area parcela =</t>
  </si>
  <si>
    <t>Cc =</t>
  </si>
  <si>
    <t>cw =</t>
  </si>
  <si>
    <t>N_p =</t>
  </si>
  <si>
    <t>f_exp =</t>
  </si>
  <si>
    <t>Cspac =</t>
  </si>
  <si>
    <t>i) O Factor de Competição das Copas (só para as pacelas de Pb)</t>
  </si>
  <si>
    <t xml:space="preserve"> - </t>
  </si>
  <si>
    <t>(sheet: Ex_322)</t>
  </si>
  <si>
    <t>Parcelas permanentes da herdade do Chaparro - Parcela 13</t>
  </si>
  <si>
    <t>Parcela 8</t>
  </si>
  <si>
    <t>Parcela 13</t>
  </si>
  <si>
    <t>Cálculos auxiliares:</t>
  </si>
  <si>
    <t>m) O volume total com casca (m3 ha-1), V =</t>
  </si>
  <si>
    <t xml:space="preserve">n) O volume total sem casca (m3 ha-1), Vu =
</t>
  </si>
  <si>
    <t>As percentagens de coberto recomendadas por Natividade para o montado rondam os 58%. Sungundo este autor esta é a percentagem de coberto maxima e acima dela deverá realizar-se desbaste. Notem que a 58% de coberto corresponde um coef de espaçamento de 1.2. CONTUDO, na pratica os gestores florestais praticam % muito inferiores, como as obtidas para as parcelas 8 e 13.  No caso da gestão com vista a produção de cortiça e simultânea exploração cinegética (veado) os valores de % Coberto recomendados devem ficar abaixo dos 35%.</t>
  </si>
  <si>
    <t xml:space="preserve">Nota: </t>
  </si>
  <si>
    <r>
      <rPr>
        <b/>
        <sz val="11"/>
        <color theme="8" tint="-0.499984740745262"/>
        <rFont val="Calibri"/>
        <family val="2"/>
        <scheme val="minor"/>
      </rPr>
      <t>Classe 4</t>
    </r>
    <r>
      <rPr>
        <sz val="11"/>
        <color theme="8" tint="-0.499984740745262"/>
        <rFont val="Calibri"/>
        <family val="2"/>
        <scheme val="minor"/>
      </rPr>
      <t>: bicada</t>
    </r>
  </si>
  <si>
    <r>
      <rPr>
        <b/>
        <sz val="11"/>
        <color theme="8"/>
        <rFont val="Calibri"/>
        <family val="2"/>
        <scheme val="minor"/>
      </rPr>
      <t>Classe 4</t>
    </r>
    <r>
      <rPr>
        <sz val="11"/>
        <color theme="8"/>
        <rFont val="Calibri"/>
        <family val="2"/>
        <scheme val="minor"/>
      </rPr>
      <t>: bicada</t>
    </r>
  </si>
  <si>
    <r>
      <t>p) A biomassa total e por componentes (Mg ha</t>
    </r>
    <r>
      <rPr>
        <vertAlign val="superscript"/>
        <sz val="11"/>
        <color theme="8"/>
        <rFont val="Calibri"/>
        <family val="2"/>
        <scheme val="minor"/>
      </rPr>
      <t>-1</t>
    </r>
    <r>
      <rPr>
        <sz val="11"/>
        <color theme="8"/>
        <rFont val="Calibri"/>
        <family val="2"/>
        <scheme val="minor"/>
      </rPr>
      <t>): lenho e casca do tronco, ramos, folhas, raízes e total</t>
    </r>
  </si>
  <si>
    <t>V             (m)</t>
  </si>
  <si>
    <t>Vu             (m)</t>
  </si>
  <si>
    <t>anexo I, tabela 4</t>
  </si>
  <si>
    <t>Espécie</t>
  </si>
  <si>
    <r>
      <t>β</t>
    </r>
    <r>
      <rPr>
        <b/>
        <vertAlign val="subscript"/>
        <sz val="9"/>
        <rFont val="Arial"/>
        <family val="2"/>
      </rPr>
      <t>0</t>
    </r>
  </si>
  <si>
    <r>
      <t>β</t>
    </r>
    <r>
      <rPr>
        <b/>
        <vertAlign val="subscript"/>
        <sz val="9"/>
        <rFont val="Arial"/>
        <family val="2"/>
      </rPr>
      <t>1</t>
    </r>
  </si>
  <si>
    <r>
      <t>β</t>
    </r>
    <r>
      <rPr>
        <b/>
        <vertAlign val="subscript"/>
        <sz val="9"/>
        <rFont val="Arial"/>
        <family val="2"/>
      </rPr>
      <t>2</t>
    </r>
  </si>
  <si>
    <t>Ec</t>
  </si>
  <si>
    <t>h_est'      (m)</t>
  </si>
  <si>
    <t>=(Vp)</t>
  </si>
  <si>
    <t>=(Vup)</t>
  </si>
  <si>
    <t>anexo I, tabela 5</t>
  </si>
  <si>
    <t>2)</t>
  </si>
  <si>
    <t>3)</t>
  </si>
  <si>
    <t>Modelo</t>
  </si>
  <si>
    <t>Ec vu_st</t>
  </si>
  <si>
    <t>Ec Pvudi</t>
  </si>
  <si>
    <t>limites de desponta</t>
  </si>
  <si>
    <t>classe 1</t>
  </si>
  <si>
    <t>classe 2</t>
  </si>
  <si>
    <t>classe 3</t>
  </si>
  <si>
    <t>classe 4 (bicada)</t>
  </si>
  <si>
    <t>categorias de aproveitamento</t>
  </si>
  <si>
    <t>di_h=3.1</t>
  </si>
  <si>
    <t>Anexo II, tabela 7</t>
  </si>
  <si>
    <r>
      <t>β</t>
    </r>
    <r>
      <rPr>
        <b/>
        <vertAlign val="subscript"/>
        <sz val="9"/>
        <rFont val="Arial"/>
        <family val="2"/>
      </rPr>
      <t>3</t>
    </r>
    <r>
      <rPr>
        <sz val="11"/>
        <color theme="1"/>
        <rFont val="Calibri"/>
        <family val="2"/>
        <scheme val="minor"/>
      </rPr>
      <t/>
    </r>
  </si>
  <si>
    <r>
      <t>β</t>
    </r>
    <r>
      <rPr>
        <b/>
        <vertAlign val="subscript"/>
        <sz val="9"/>
        <rFont val="Arial"/>
        <family val="2"/>
      </rPr>
      <t>4</t>
    </r>
    <r>
      <rPr>
        <sz val="11"/>
        <color theme="1"/>
        <rFont val="Calibri"/>
        <family val="2"/>
        <scheme val="minor"/>
      </rPr>
      <t/>
    </r>
  </si>
  <si>
    <t>sem casca</t>
  </si>
  <si>
    <t>com casca</t>
  </si>
  <si>
    <r>
      <t>Anexo I, tabela 7 (</t>
    </r>
    <r>
      <rPr>
        <i/>
        <sz val="10"/>
        <color rgb="FFC00000"/>
        <rFont val="Arial"/>
        <family val="2"/>
      </rPr>
      <t>parametros para uma parcela com hdom&gt;23</t>
    </r>
    <r>
      <rPr>
        <i/>
        <sz val="10"/>
        <rFont val="Arial"/>
        <family val="2"/>
      </rPr>
      <t>)</t>
    </r>
  </si>
  <si>
    <t>(3)</t>
  </si>
  <si>
    <t xml:space="preserve">   wr = 0,2487 wa</t>
  </si>
  <si>
    <t>Ec ww</t>
  </si>
  <si>
    <t>Ec wb</t>
  </si>
  <si>
    <t>Ec wbr</t>
  </si>
  <si>
    <t>Ec wl</t>
  </si>
  <si>
    <t>ww</t>
  </si>
  <si>
    <t>wb</t>
  </si>
  <si>
    <t>wbr</t>
  </si>
  <si>
    <t>wl</t>
  </si>
  <si>
    <t>wa</t>
  </si>
  <si>
    <t>wr</t>
  </si>
  <si>
    <t>wt</t>
  </si>
  <si>
    <r>
      <t>o) O volume, sem casca, por categorias de aproveitamento (m</t>
    </r>
    <r>
      <rPr>
        <vertAlign val="superscript"/>
        <sz val="11"/>
        <color theme="8"/>
        <rFont val="Calibri"/>
        <family val="2"/>
        <scheme val="minor"/>
      </rPr>
      <t>3</t>
    </r>
    <r>
      <rPr>
        <sz val="11"/>
        <color theme="8"/>
        <rFont val="Calibri"/>
        <family val="2"/>
        <scheme val="minor"/>
      </rPr>
      <t xml:space="preserve"> ha</t>
    </r>
    <r>
      <rPr>
        <vertAlign val="superscript"/>
        <sz val="11"/>
        <color theme="8"/>
        <rFont val="Calibri"/>
        <family val="2"/>
        <scheme val="minor"/>
      </rPr>
      <t>-1</t>
    </r>
    <r>
      <rPr>
        <sz val="11"/>
        <color theme="8"/>
        <rFont val="Calibri"/>
        <family val="2"/>
        <scheme val="minor"/>
      </rPr>
      <t>) considerando as seguintes regras (di é o diâmetro de desponta):</t>
    </r>
  </si>
  <si>
    <r>
      <rPr>
        <b/>
        <sz val="11"/>
        <color theme="8"/>
        <rFont val="Calibri"/>
        <family val="2"/>
        <scheme val="minor"/>
      </rPr>
      <t>Classe 1</t>
    </r>
    <r>
      <rPr>
        <sz val="11"/>
        <color theme="8"/>
        <rFont val="Calibri"/>
        <family val="2"/>
        <scheme val="minor"/>
      </rPr>
      <t>: di&gt;=25 cm</t>
    </r>
  </si>
  <si>
    <r>
      <rPr>
        <b/>
        <sz val="11"/>
        <color theme="8"/>
        <rFont val="Calibri"/>
        <family val="2"/>
        <scheme val="minor"/>
      </rPr>
      <t>Classe 2</t>
    </r>
    <r>
      <rPr>
        <sz val="11"/>
        <color theme="8"/>
        <rFont val="Calibri"/>
        <family val="2"/>
        <scheme val="minor"/>
      </rPr>
      <t>: 12 cm&lt;=di&lt;25 cm e dm&gt;=25 cm mas com comprimento inferior a 3 m</t>
    </r>
  </si>
  <si>
    <r>
      <rPr>
        <b/>
        <sz val="11"/>
        <color theme="8"/>
        <rFont val="Calibri"/>
        <family val="2"/>
        <scheme val="minor"/>
      </rPr>
      <t xml:space="preserve"> Classe 3</t>
    </r>
    <r>
      <rPr>
        <sz val="11"/>
        <color theme="8"/>
        <rFont val="Calibri"/>
        <family val="2"/>
        <scheme val="minor"/>
      </rPr>
      <t>: 6 cm&lt;=di&gt;12 cm</t>
    </r>
  </si>
  <si>
    <t>cat1</t>
  </si>
  <si>
    <t>cat2</t>
  </si>
  <si>
    <t>cat3</t>
  </si>
  <si>
    <t>cat4</t>
  </si>
  <si>
    <t>parcela</t>
  </si>
  <si>
    <r>
      <rPr>
        <b/>
        <sz val="11"/>
        <color theme="8" tint="-0.499984740745262"/>
        <rFont val="Calibri"/>
        <family val="2"/>
        <scheme val="minor"/>
      </rPr>
      <t>Classe 1</t>
    </r>
    <r>
      <rPr>
        <sz val="11"/>
        <color theme="8" tint="-0.499984740745262"/>
        <rFont val="Calibri"/>
        <family val="2"/>
        <scheme val="minor"/>
      </rPr>
      <t xml:space="preserve">: di&gt;=25 cm e </t>
    </r>
    <r>
      <rPr>
        <u/>
        <sz val="11"/>
        <color theme="8" tint="-0.499984740745262"/>
        <rFont val="Calibri"/>
        <family val="2"/>
        <scheme val="minor"/>
      </rPr>
      <t>comprimento do toro superior a 3 m</t>
    </r>
  </si>
  <si>
    <r>
      <rPr>
        <b/>
        <sz val="11"/>
        <color theme="8" tint="-0.499984740745262"/>
        <rFont val="Calibri"/>
        <family val="2"/>
        <scheme val="minor"/>
      </rPr>
      <t>Classe 2</t>
    </r>
    <r>
      <rPr>
        <sz val="11"/>
        <color theme="8" tint="-0.499984740745262"/>
        <rFont val="Calibri"/>
        <family val="2"/>
        <scheme val="minor"/>
      </rPr>
      <t>: 12 cm&lt;=di&lt;25 cm e di&gt;=25 cm mas com comprimento inferior a 3 m</t>
    </r>
  </si>
  <si>
    <r>
      <rPr>
        <b/>
        <sz val="11"/>
        <color theme="8" tint="-0.499984740745262"/>
        <rFont val="Calibri"/>
        <family val="2"/>
        <scheme val="minor"/>
      </rPr>
      <t xml:space="preserve"> Classe 3</t>
    </r>
    <r>
      <rPr>
        <sz val="11"/>
        <color theme="8" tint="-0.499984740745262"/>
        <rFont val="Calibri"/>
        <family val="2"/>
        <scheme val="minor"/>
      </rPr>
      <t>: 6 cm&lt;=di&gt;12 cm</t>
    </r>
  </si>
  <si>
    <t>wa = ww+wb+wl+wbr</t>
  </si>
  <si>
    <t>= wi p</t>
  </si>
  <si>
    <t>= Wi p</t>
  </si>
  <si>
    <t>(ver AA21:AG22)</t>
  </si>
  <si>
    <t>Classe</t>
  </si>
  <si>
    <t>Nº árvores</t>
  </si>
  <si>
    <r>
      <t>Área basal ha</t>
    </r>
    <r>
      <rPr>
        <vertAlign val="superscript"/>
        <sz val="9"/>
        <color theme="1"/>
        <rFont val="Arial"/>
        <family val="2"/>
      </rPr>
      <t>-1</t>
    </r>
  </si>
  <si>
    <t>Altura média</t>
  </si>
  <si>
    <r>
      <t>Vol ha</t>
    </r>
    <r>
      <rPr>
        <vertAlign val="superscript"/>
        <sz val="9"/>
        <color theme="1"/>
        <rFont val="Arial"/>
        <family val="2"/>
      </rPr>
      <t>-1</t>
    </r>
  </si>
  <si>
    <t>hdom</t>
  </si>
  <si>
    <t>Por parcela</t>
  </si>
  <si>
    <t>Por ha</t>
  </si>
  <si>
    <r>
      <t>3.2.3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Arial"/>
        <family val="2"/>
      </rPr>
      <t>Processamento dos dados de uma parcela de pinheiro bravo com o método das árvores modelo de altura (dados agrupados por classes de diâmetro)</t>
    </r>
  </si>
  <si>
    <t>Usando os dados disponíveis para as parcelas (provas) nº 1 e 2 da Mata Nacional do Urso (Figura 9), agrupados por classes de diâmetro, calcule o volume por ha nas seguintes modalidades:</t>
  </si>
  <si>
    <r>
      <t>a)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Arial"/>
        <family val="2"/>
      </rPr>
      <t>Alturas estimadas com a relação hipsométrica do IFN (ANEXO I)</t>
    </r>
  </si>
  <si>
    <r>
      <t>b)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Arial"/>
        <family val="2"/>
      </rPr>
      <t>Altura média das árvores modelo da classe.</t>
    </r>
  </si>
  <si>
    <t>III</t>
  </si>
  <si>
    <r>
      <t>Totais:</t>
    </r>
    <r>
      <rPr>
        <sz val="11"/>
        <color theme="1"/>
        <rFont val="Arial"/>
        <family val="2"/>
      </rPr>
      <t xml:space="preserve"> </t>
    </r>
  </si>
  <si>
    <t>Médias:</t>
  </si>
  <si>
    <t>hdom =</t>
  </si>
  <si>
    <t>f. exp=</t>
  </si>
  <si>
    <t>arv méd</t>
  </si>
  <si>
    <t>a)</t>
  </si>
  <si>
    <t>lim     inf</t>
  </si>
  <si>
    <t>valor central d (cm)</t>
  </si>
  <si>
    <t>lim sup</t>
  </si>
  <si>
    <t>np</t>
  </si>
  <si>
    <t>g arv média</t>
  </si>
  <si>
    <t>h_est árv média</t>
  </si>
  <si>
    <t>v_arv média</t>
  </si>
  <si>
    <t>V p por c_d</t>
  </si>
  <si>
    <t>Altura:</t>
  </si>
  <si>
    <t>volume:</t>
  </si>
  <si>
    <t>1a</t>
  </si>
  <si>
    <t>b)</t>
  </si>
  <si>
    <t>h_m1</t>
  </si>
  <si>
    <t>h_m2</t>
  </si>
  <si>
    <t>h media</t>
  </si>
  <si>
    <t>Prova 1</t>
  </si>
  <si>
    <t>V p     por     c_d</t>
  </si>
  <si>
    <r>
      <t>G         (m</t>
    </r>
    <r>
      <rPr>
        <vertAlign val="superscript"/>
        <sz val="11"/>
        <color theme="1"/>
        <rFont val="Calibri"/>
        <family val="2"/>
        <scheme val="minor"/>
      </rPr>
      <t xml:space="preserve">2 </t>
    </r>
    <r>
      <rPr>
        <sz val="11"/>
        <color theme="1"/>
        <rFont val="Calibri"/>
        <family val="2"/>
        <scheme val="minor"/>
      </rPr>
      <t>ha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</si>
  <si>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N        (ha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</si>
  <si>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V            (m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ha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</si>
  <si>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t xml:space="preserve">variáveis da parcela: </t>
  </si>
  <si>
    <t xml:space="preserve">variáveis dpor hectare: </t>
  </si>
  <si>
    <t>árv modelo</t>
  </si>
  <si>
    <t>G p      por       c_d</t>
  </si>
  <si>
    <t>Classe de diametro (c_d)</t>
  </si>
  <si>
    <t>Área basal</t>
  </si>
  <si>
    <r>
      <t>Vol ha</t>
    </r>
    <r>
      <rPr>
        <vertAlign val="superscript"/>
        <sz val="11"/>
        <color theme="1"/>
        <rFont val="Arial"/>
        <family val="2"/>
      </rPr>
      <t>-1</t>
    </r>
  </si>
  <si>
    <t>Prova 2</t>
  </si>
  <si>
    <t>Tabela 17. Função para estimar o volume por ha</t>
  </si>
  <si>
    <t>modelo</t>
  </si>
  <si>
    <t>a</t>
  </si>
  <si>
    <t>b</t>
  </si>
  <si>
    <t>c</t>
  </si>
  <si>
    <t>kv0</t>
  </si>
  <si>
    <t>kv1</t>
  </si>
  <si>
    <t>kv2</t>
  </si>
  <si>
    <t>kv3</t>
  </si>
  <si>
    <t xml:space="preserve">Vu  </t>
  </si>
  <si>
    <t>Vb</t>
  </si>
  <si>
    <r>
      <t>V</t>
    </r>
    <r>
      <rPr>
        <vertAlign val="subscript"/>
        <sz val="8"/>
        <color theme="1"/>
        <rFont val="Arial"/>
        <family val="2"/>
      </rPr>
      <t>st</t>
    </r>
  </si>
  <si>
    <r>
      <t>Onde Vi representa os seguintes volumes pot ha: Vu é o volume com cepo sem casca, V</t>
    </r>
    <r>
      <rPr>
        <vertAlign val="subscript"/>
        <sz val="9"/>
        <color theme="1"/>
        <rFont val="Arial"/>
        <family val="2"/>
      </rPr>
      <t>b</t>
    </r>
    <r>
      <rPr>
        <sz val="9"/>
        <color theme="1"/>
        <rFont val="Arial"/>
        <family val="2"/>
      </rPr>
      <t xml:space="preserve"> é o volume da casca, V</t>
    </r>
    <r>
      <rPr>
        <vertAlign val="subscript"/>
        <sz val="9"/>
        <color theme="1"/>
        <rFont val="Arial"/>
        <family val="2"/>
      </rPr>
      <t>st</t>
    </r>
    <r>
      <rPr>
        <sz val="9"/>
        <color theme="1"/>
        <rFont val="Arial"/>
        <family val="2"/>
      </rPr>
      <t xml:space="preserve"> é o volume do cepo; hdom é a altura dominante; G é a área basal; S é o índice de qualidade da estação (site índex); a altitude; rot é uma variável indicatriz da rotação (0 para alto fuste e 1 para talhadia); N</t>
    </r>
    <r>
      <rPr>
        <vertAlign val="subscript"/>
        <sz val="9"/>
        <color theme="1"/>
        <rFont val="Arial"/>
        <family val="2"/>
      </rPr>
      <t>0</t>
    </r>
    <r>
      <rPr>
        <sz val="9"/>
        <color theme="1"/>
        <rFont val="Arial"/>
        <family val="2"/>
      </rPr>
      <t xml:space="preserve"> é o número de árvores por ha à plantação ou, no caso das talhadias, o número de varas após a monda.</t>
    </r>
  </si>
  <si>
    <t xml:space="preserve">            </t>
  </si>
  <si>
    <r>
      <t>a</t>
    </r>
    <r>
      <rPr>
        <vertAlign val="subscript"/>
        <sz val="9"/>
        <color theme="1"/>
        <rFont val="Arial"/>
        <family val="2"/>
      </rPr>
      <t>0</t>
    </r>
  </si>
  <si>
    <r>
      <t>a</t>
    </r>
    <r>
      <rPr>
        <vertAlign val="subscript"/>
        <sz val="9"/>
        <color theme="1"/>
        <rFont val="Arial"/>
        <family val="2"/>
      </rPr>
      <t>1</t>
    </r>
  </si>
  <si>
    <r>
      <t>a</t>
    </r>
    <r>
      <rPr>
        <vertAlign val="subscript"/>
        <sz val="9"/>
        <color theme="1"/>
        <rFont val="Arial"/>
        <family val="2"/>
      </rPr>
      <t>2</t>
    </r>
  </si>
  <si>
    <r>
      <t>a</t>
    </r>
    <r>
      <rPr>
        <vertAlign val="subscript"/>
        <sz val="9"/>
        <color theme="1"/>
        <rFont val="Arial"/>
        <family val="2"/>
      </rPr>
      <t>3</t>
    </r>
  </si>
  <si>
    <r>
      <t>a</t>
    </r>
    <r>
      <rPr>
        <vertAlign val="subscript"/>
        <sz val="9"/>
        <color theme="1"/>
        <rFont val="Arial"/>
        <family val="2"/>
      </rPr>
      <t>4</t>
    </r>
  </si>
  <si>
    <r>
      <t>b</t>
    </r>
    <r>
      <rPr>
        <vertAlign val="subscript"/>
        <sz val="9"/>
        <color theme="1"/>
        <rFont val="Arial"/>
        <family val="2"/>
      </rPr>
      <t>0</t>
    </r>
  </si>
  <si>
    <r>
      <t>b</t>
    </r>
    <r>
      <rPr>
        <vertAlign val="subscript"/>
        <sz val="9"/>
        <color theme="1"/>
        <rFont val="Arial"/>
        <family val="2"/>
      </rPr>
      <t>1</t>
    </r>
  </si>
  <si>
    <t>Vumdi</t>
  </si>
  <si>
    <t>Tabela 19. Função para a predição da biomassa</t>
  </si>
  <si>
    <t xml:space="preserve">    </t>
  </si>
  <si>
    <t xml:space="preserve">                              </t>
  </si>
  <si>
    <t xml:space="preserve">                       </t>
  </si>
  <si>
    <t>model</t>
  </si>
  <si>
    <r>
      <t>b</t>
    </r>
    <r>
      <rPr>
        <b/>
        <vertAlign val="subscript"/>
        <sz val="9"/>
        <color theme="1"/>
        <rFont val="Arial"/>
        <family val="2"/>
      </rPr>
      <t>0</t>
    </r>
  </si>
  <si>
    <r>
      <t>b</t>
    </r>
    <r>
      <rPr>
        <b/>
        <vertAlign val="subscript"/>
        <sz val="9"/>
        <color theme="1"/>
        <rFont val="Arial"/>
        <family val="2"/>
      </rPr>
      <t>1</t>
    </r>
  </si>
  <si>
    <r>
      <t>b</t>
    </r>
    <r>
      <rPr>
        <b/>
        <vertAlign val="subscript"/>
        <sz val="9"/>
        <color theme="1"/>
        <rFont val="Arial"/>
        <family val="2"/>
      </rPr>
      <t>2</t>
    </r>
  </si>
  <si>
    <r>
      <t>b</t>
    </r>
    <r>
      <rPr>
        <b/>
        <vertAlign val="subscript"/>
        <sz val="9"/>
        <color theme="1"/>
        <rFont val="Arial"/>
        <family val="2"/>
      </rPr>
      <t>3</t>
    </r>
  </si>
  <si>
    <r>
      <t>b</t>
    </r>
    <r>
      <rPr>
        <b/>
        <vertAlign val="subscript"/>
        <sz val="9"/>
        <color theme="1"/>
        <rFont val="Arial"/>
        <family val="2"/>
      </rPr>
      <t>4</t>
    </r>
  </si>
  <si>
    <r>
      <t>W</t>
    </r>
    <r>
      <rPr>
        <vertAlign val="subscript"/>
        <sz val="8"/>
        <color theme="1"/>
        <rFont val="Arial"/>
        <family val="2"/>
      </rPr>
      <t>w</t>
    </r>
  </si>
  <si>
    <r>
      <t>W</t>
    </r>
    <r>
      <rPr>
        <vertAlign val="subscript"/>
        <sz val="8"/>
        <color theme="1"/>
        <rFont val="Arial"/>
        <family val="2"/>
      </rPr>
      <t>b</t>
    </r>
  </si>
  <si>
    <r>
      <t>W</t>
    </r>
    <r>
      <rPr>
        <vertAlign val="subscript"/>
        <sz val="8"/>
        <color theme="1"/>
        <rFont val="Arial"/>
        <family val="2"/>
      </rPr>
      <t>l</t>
    </r>
  </si>
  <si>
    <r>
      <t>W</t>
    </r>
    <r>
      <rPr>
        <vertAlign val="subscript"/>
        <sz val="8"/>
        <color theme="1"/>
        <rFont val="Arial"/>
        <family val="2"/>
      </rPr>
      <t>br</t>
    </r>
  </si>
  <si>
    <r>
      <t>W</t>
    </r>
    <r>
      <rPr>
        <vertAlign val="subscript"/>
        <sz val="8"/>
        <color theme="1"/>
        <rFont val="Arial"/>
        <family val="2"/>
      </rPr>
      <t>r</t>
    </r>
  </si>
  <si>
    <t>Onde Wi representa as seguintes componentes de biomassa: Ww é a biomassa de madeira , Wb é a biomassa de casca, Wbr é a biomassa de ramos e Wl é a biomassa de folhas; Wa é a biomassa aérea; Wr é a biomassa de raizes; hdom é a latura dominante do povoamento; G é a área basal do povoamento; SI é o indice de qualidade da estação; rot é uma variável indicatriz da rotação (0 para alto fuste e 1 para talhadia); N é o número de árvores no povoamento e t é a idade do povoamento.</t>
  </si>
  <si>
    <t>Tabela 18. Volume mercantil sem casca e sem cepo até um  diâmetro de desponta di</t>
  </si>
  <si>
    <t>Nas parcelas de eucalipto, faça os cálculos das alíneas m) a p) do exercício 3.2.2, utilizando as equações de cubagem de povoamentos e de estimação de biomassas do modelo GLOBULUS (no ANEXO III).</t>
  </si>
  <si>
    <r>
      <t>3.2.4</t>
    </r>
    <r>
      <rPr>
        <sz val="7"/>
        <color rgb="FF1F497D"/>
        <rFont val="Times New Roman"/>
        <family val="1"/>
      </rPr>
      <t xml:space="preserve">      </t>
    </r>
    <r>
      <rPr>
        <sz val="11"/>
        <color rgb="FF1F497D"/>
        <rFont val="Arial"/>
        <family val="2"/>
      </rPr>
      <t>Volume total por ha – estimação com equação de cubagem de povoamentos</t>
    </r>
  </si>
  <si>
    <r>
      <t>p) A biomassa total e por componentes (Mg ha</t>
    </r>
    <r>
      <rPr>
        <vertAlign val="superscript"/>
        <sz val="11"/>
        <color theme="8"/>
        <rFont val="Calibri"/>
        <family val="2"/>
        <scheme val="minor"/>
      </rPr>
      <t>-1</t>
    </r>
    <r>
      <rPr>
        <sz val="11"/>
        <color theme="8"/>
        <rFont val="Calibri"/>
        <family val="2"/>
        <scheme val="minor"/>
      </rPr>
      <t>):</t>
    </r>
  </si>
  <si>
    <r>
      <rPr>
        <b/>
        <sz val="11"/>
        <color theme="8"/>
        <rFont val="Calibri"/>
        <family val="2"/>
        <scheme val="minor"/>
      </rPr>
      <t>Classe 2</t>
    </r>
    <r>
      <rPr>
        <sz val="11"/>
        <color theme="8"/>
        <rFont val="Calibri"/>
        <family val="2"/>
        <scheme val="minor"/>
      </rPr>
      <t>: 12 cm&lt;=di&lt;25 cm e dm&gt;=25 cm mas com comprimento inferior a 3 m=</t>
    </r>
  </si>
  <si>
    <r>
      <rPr>
        <b/>
        <sz val="11"/>
        <color theme="8"/>
        <rFont val="Calibri"/>
        <family val="2"/>
        <scheme val="minor"/>
      </rPr>
      <t xml:space="preserve"> Classe 3</t>
    </r>
    <r>
      <rPr>
        <sz val="11"/>
        <color theme="8"/>
        <rFont val="Calibri"/>
        <family val="2"/>
        <scheme val="minor"/>
      </rPr>
      <t xml:space="preserve">: 6 cm&lt;=di&gt;12 cm= </t>
    </r>
  </si>
  <si>
    <r>
      <rPr>
        <b/>
        <sz val="11"/>
        <color theme="8"/>
        <rFont val="Calibri"/>
        <family val="2"/>
        <scheme val="minor"/>
      </rPr>
      <t>Classe 4</t>
    </r>
    <r>
      <rPr>
        <sz val="11"/>
        <color theme="8"/>
        <rFont val="Calibri"/>
        <family val="2"/>
        <scheme val="minor"/>
      </rPr>
      <t xml:space="preserve">: bicada= </t>
    </r>
  </si>
  <si>
    <t xml:space="preserve"> lenho = </t>
  </si>
  <si>
    <t>casca =</t>
  </si>
  <si>
    <t>ramos =</t>
  </si>
  <si>
    <t>folhas =</t>
  </si>
  <si>
    <t>raizes =</t>
  </si>
  <si>
    <t>aérea =</t>
  </si>
  <si>
    <t>total =</t>
  </si>
  <si>
    <t>anexo I, Tabela 2</t>
  </si>
  <si>
    <t>anexo I, Tabela 4</t>
  </si>
  <si>
    <r>
      <t>F27</t>
    </r>
    <r>
      <rPr>
        <sz val="11"/>
        <rFont val="Calibri"/>
        <family val="2"/>
        <scheme val="minor"/>
      </rPr>
      <t xml:space="preserve"> *[ $AP$17 + $AQ$17 *LN</t>
    </r>
    <r>
      <rPr>
        <b/>
        <sz val="11"/>
        <color theme="7"/>
        <rFont val="Calibri"/>
        <family val="2"/>
        <scheme val="minor"/>
      </rPr>
      <t xml:space="preserve"> ( </t>
    </r>
    <r>
      <rPr>
        <sz val="11"/>
        <rFont val="Calibri"/>
        <family val="2"/>
        <scheme val="minor"/>
      </rPr>
      <t xml:space="preserve"> 1-</t>
    </r>
    <r>
      <rPr>
        <sz val="11"/>
        <color theme="9"/>
        <rFont val="Calibri"/>
        <family val="2"/>
        <scheme val="minor"/>
      </rPr>
      <t>(</t>
    </r>
    <r>
      <rPr>
        <sz val="11"/>
        <rFont val="Calibri"/>
        <family val="2"/>
        <scheme val="minor"/>
      </rPr>
      <t>3.1/L27</t>
    </r>
    <r>
      <rPr>
        <sz val="11"/>
        <color theme="9"/>
        <rFont val="Calibri"/>
        <family val="2"/>
        <scheme val="minor"/>
      </rPr>
      <t>)</t>
    </r>
    <r>
      <rPr>
        <sz val="11"/>
        <rFont val="Calibri"/>
        <family val="2"/>
        <scheme val="minor"/>
      </rPr>
      <t xml:space="preserve">^(1/$AR$17) </t>
    </r>
    <r>
      <rPr>
        <sz val="11"/>
        <color theme="1"/>
        <rFont val="Calibri"/>
        <family val="2"/>
        <scheme val="minor"/>
      </rPr>
      <t>*</t>
    </r>
    <r>
      <rPr>
        <sz val="11"/>
        <color theme="5"/>
        <rFont val="Calibri"/>
        <family val="2"/>
        <scheme val="minor"/>
      </rPr>
      <t xml:space="preserve"> (</t>
    </r>
    <r>
      <rPr>
        <sz val="11"/>
        <color theme="1"/>
        <rFont val="Calibri"/>
        <family val="2"/>
        <scheme val="minor"/>
      </rPr>
      <t>1-EXP($AS$17/$AT$17</t>
    </r>
    <r>
      <rPr>
        <sz val="11"/>
        <color theme="5"/>
        <rFont val="Calibri"/>
        <family val="2"/>
        <scheme val="minor"/>
      </rPr>
      <t xml:space="preserve">)  </t>
    </r>
    <r>
      <rPr>
        <b/>
        <sz val="11"/>
        <color theme="7"/>
        <rFont val="Calibri"/>
        <family val="2"/>
        <scheme val="minor"/>
      </rPr>
      <t xml:space="preserve">) </t>
    </r>
    <r>
      <rPr>
        <sz val="11"/>
        <color theme="1"/>
        <rFont val="Calibri"/>
        <family val="2"/>
        <scheme val="minor"/>
      </rPr>
      <t>]</t>
    </r>
  </si>
  <si>
    <t xml:space="preserve">di_3.1 = </t>
  </si>
  <si>
    <r>
      <rPr>
        <b/>
        <sz val="11"/>
        <color theme="8"/>
        <rFont val="Calibri"/>
        <family val="2"/>
        <scheme val="minor"/>
      </rPr>
      <t>Classe 1</t>
    </r>
    <r>
      <rPr>
        <sz val="11"/>
        <color theme="8"/>
        <rFont val="Calibri"/>
        <family val="2"/>
        <scheme val="minor"/>
      </rPr>
      <t>: di&gt;=25 cm  =</t>
    </r>
  </si>
  <si>
    <t>Compasso=</t>
  </si>
  <si>
    <r>
      <t>4</t>
    </r>
    <r>
      <rPr>
        <sz val="11"/>
        <color theme="1"/>
        <rFont val="Symbol"/>
        <family val="1"/>
        <charset val="2"/>
      </rPr>
      <t>´</t>
    </r>
    <r>
      <rPr>
        <sz val="11"/>
        <color theme="1"/>
        <rFont val="Lucida Handwriting"/>
        <family val="4"/>
      </rPr>
      <t>5</t>
    </r>
  </si>
  <si>
    <t>altitude =</t>
  </si>
  <si>
    <t>NPL =</t>
  </si>
  <si>
    <t xml:space="preserve">idade = </t>
  </si>
  <si>
    <t>G =</t>
  </si>
  <si>
    <t>S =</t>
  </si>
  <si>
    <t>KV</t>
  </si>
  <si>
    <t>Volumes</t>
  </si>
  <si>
    <t>m) O volume total com casca e com cepo (m3 ha-1), V =</t>
  </si>
  <si>
    <t xml:space="preserve">n) O volume total sem casca com cepo (m3 ha-1), Vu =
</t>
  </si>
  <si>
    <t>Onde Vumdi é o volume mercantil sem casca, desde o cepo até um diâmetro de topo di; dg é o diâmetro quadrático médio; as outras variáveis são como na Tabela 17</t>
  </si>
  <si>
    <t>(Vu-Vst)</t>
  </si>
  <si>
    <t>di</t>
  </si>
  <si>
    <t>dg =</t>
  </si>
  <si>
    <t>Coordenadas</t>
  </si>
  <si>
    <t>y</t>
  </si>
  <si>
    <t>Biomassa</t>
  </si>
  <si>
    <r>
      <t>3.2.7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Arial"/>
        <family val="2"/>
      </rPr>
      <t>Avaliação de variáveis dendrométricas do povoamento com parcelas de raio fixo, com parcelas com um número fixo de árvores, com parcelas concêntricas e pelo método de Bitterlich</t>
    </r>
  </si>
  <si>
    <t>Considere as parcelas da Figura 12, com 40 m de raio, instaladas num povoamento de sobreiro em que aparecem alguns pinheiros mansos.</t>
  </si>
  <si>
    <r>
      <t>a)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Arial"/>
        <family val="2"/>
      </rPr>
      <t>Faça um mapa com a localização das árvores na parcela</t>
    </r>
  </si>
  <si>
    <r>
      <t>b)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Arial"/>
        <family val="2"/>
      </rPr>
      <t>Calcule a área basal por ha para parcelas de raio fixo=10, 20, 30 e 40</t>
    </r>
  </si>
  <si>
    <r>
      <t>c)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Arial"/>
        <family val="2"/>
      </rPr>
      <t>Calcule a área basal por ha para um número fixo de árvores =5, 10, 15 e 20</t>
    </r>
  </si>
  <si>
    <r>
      <t>d)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Arial"/>
        <family val="2"/>
      </rPr>
      <t>Calcule a área basal por ha para uma parcela concêntrica com 3 parcelas de raios = 10, 20, 30 e 40 e diâmetros limite=22.5, 32.5 e 52.5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</si>
</sst>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0"/>
    <numFmt numFmtId="165" formatCode="0.0"/>
    <numFmt numFmtId="166" formatCode="0.000000"/>
    <numFmt numFmtId="167" formatCode="#,##0.0000"/>
    <numFmt numFmtId="168" formatCode="0.000"/>
    <numFmt numFmtId="169" formatCode="#,##0.000"/>
  </numFmts>
  <fonts count="8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7"/>
      <color theme="1"/>
      <name val="Times New Roman"/>
      <family val="1"/>
    </font>
    <font>
      <sz val="11"/>
      <name val="Arial"/>
      <family val="2"/>
    </font>
    <font>
      <sz val="7"/>
      <name val="Times New Roman"/>
      <family val="1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10"/>
      <color rgb="FF0000FF"/>
      <name val="Monotype Corsiva"/>
      <family val="4"/>
    </font>
    <font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color rgb="FF0000FF"/>
      <name val="Calibri"/>
      <family val="2"/>
      <scheme val="minor"/>
    </font>
    <font>
      <sz val="10"/>
      <color rgb="FF0000FF"/>
      <name val="Calibri"/>
      <family val="2"/>
      <scheme val="minor"/>
    </font>
    <font>
      <b/>
      <sz val="11"/>
      <color theme="1"/>
      <name val="Arial"/>
      <family val="2"/>
    </font>
    <font>
      <sz val="11"/>
      <color rgb="FF0000FF"/>
      <name val="Monotype Corsiva"/>
      <family val="4"/>
    </font>
    <font>
      <b/>
      <sz val="9"/>
      <color theme="1"/>
      <name val="Arial"/>
      <family val="2"/>
    </font>
    <font>
      <b/>
      <sz val="10"/>
      <color rgb="FF333399"/>
      <name val="Monotype Corsiva"/>
      <family val="4"/>
    </font>
    <font>
      <sz val="12"/>
      <color rgb="FF0000FF"/>
      <name val="Monotype Corsiva"/>
      <family val="4"/>
    </font>
    <font>
      <sz val="10"/>
      <color rgb="FF0000FF"/>
      <name val="Arial"/>
      <family val="2"/>
    </font>
    <font>
      <strike/>
      <sz val="10"/>
      <color rgb="FF0000FF"/>
      <name val="Arial"/>
      <family val="2"/>
    </font>
    <font>
      <b/>
      <vertAlign val="subscript"/>
      <sz val="9"/>
      <color theme="1"/>
      <name val="Arial"/>
      <family val="2"/>
    </font>
    <font>
      <i/>
      <sz val="10"/>
      <color rgb="FF0000FF"/>
      <name val="Monotype Corsiva"/>
      <family val="4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Monotype Corsiva"/>
      <family val="4"/>
    </font>
    <font>
      <sz val="10"/>
      <color theme="1"/>
      <name val="Monotype Corsiva"/>
      <family val="4"/>
    </font>
    <font>
      <sz val="11"/>
      <color theme="5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9"/>
      <name val="Calibri"/>
      <family val="2"/>
      <scheme val="minor"/>
    </font>
    <font>
      <i/>
      <sz val="11"/>
      <color theme="1" tint="0.499984740745262"/>
      <name val="Calibri"/>
      <family val="2"/>
      <scheme val="minor"/>
    </font>
    <font>
      <sz val="11"/>
      <color theme="7"/>
      <name val="Calibri"/>
      <family val="2"/>
      <scheme val="minor"/>
    </font>
    <font>
      <i/>
      <sz val="11"/>
      <color theme="9"/>
      <name val="Calibri"/>
      <family val="2"/>
      <scheme val="minor"/>
    </font>
    <font>
      <sz val="11"/>
      <color rgb="FF0000FF"/>
      <name val="Calibri"/>
      <family val="2"/>
      <scheme val="minor"/>
    </font>
    <font>
      <sz val="9"/>
      <color rgb="FF0000FF"/>
      <name val="Arial"/>
      <family val="2"/>
    </font>
    <font>
      <b/>
      <sz val="14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9"/>
      <color rgb="FF0000FF"/>
      <name val="Calibri"/>
      <family val="2"/>
      <scheme val="minor"/>
    </font>
    <font>
      <sz val="2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9"/>
      <color theme="0" tint="-0.499984740745262"/>
      <name val="Calibri"/>
      <family val="2"/>
      <scheme val="minor"/>
    </font>
    <font>
      <sz val="7"/>
      <color theme="9"/>
      <name val="Calibri"/>
      <family val="2"/>
      <scheme val="minor"/>
    </font>
    <font>
      <vertAlign val="superscript"/>
      <sz val="11"/>
      <color theme="9"/>
      <name val="Calibri"/>
      <family val="2"/>
      <scheme val="minor"/>
    </font>
    <font>
      <sz val="10"/>
      <color theme="9"/>
      <name val="Calibri"/>
      <family val="2"/>
      <scheme val="minor"/>
    </font>
    <font>
      <vertAlign val="superscript"/>
      <sz val="10"/>
      <color theme="9"/>
      <name val="Calibri"/>
      <family val="2"/>
      <scheme val="minor"/>
    </font>
    <font>
      <b/>
      <sz val="11"/>
      <color rgb="FF000000"/>
      <name val="Arial"/>
      <family val="2"/>
    </font>
    <font>
      <sz val="10"/>
      <color rgb="FF000000"/>
      <name val="Arial"/>
      <family val="2"/>
    </font>
    <font>
      <sz val="11"/>
      <color rgb="FFF79646"/>
      <name val="Arial"/>
      <family val="2"/>
    </font>
    <font>
      <sz val="11"/>
      <color theme="5" tint="-0.249977111117893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sz val="11"/>
      <color theme="8"/>
      <name val="Calibri"/>
      <family val="2"/>
      <scheme val="minor"/>
    </font>
    <font>
      <vertAlign val="superscript"/>
      <sz val="11"/>
      <color theme="8"/>
      <name val="Calibri"/>
      <family val="2"/>
      <scheme val="minor"/>
    </font>
    <font>
      <b/>
      <sz val="11"/>
      <color theme="8"/>
      <name val="Calibri"/>
      <family val="2"/>
      <scheme val="minor"/>
    </font>
    <font>
      <sz val="10"/>
      <color theme="8"/>
      <name val="Calibri"/>
      <family val="2"/>
      <scheme val="minor"/>
    </font>
    <font>
      <i/>
      <sz val="10"/>
      <name val="Arial"/>
      <family val="2"/>
    </font>
    <font>
      <sz val="10"/>
      <color theme="0"/>
      <name val="Arial"/>
      <family val="2"/>
    </font>
    <font>
      <b/>
      <sz val="9"/>
      <name val="Arial"/>
      <family val="2"/>
    </font>
    <font>
      <b/>
      <vertAlign val="subscript"/>
      <sz val="9"/>
      <name val="Arial"/>
      <family val="2"/>
    </font>
    <font>
      <sz val="9"/>
      <name val="Arial"/>
      <family val="2"/>
    </font>
    <font>
      <u/>
      <sz val="11"/>
      <color theme="8" tint="-0.499984740745262"/>
      <name val="Calibri"/>
      <family val="2"/>
      <scheme val="minor"/>
    </font>
    <font>
      <sz val="10"/>
      <color theme="4"/>
      <name val="Arial"/>
      <family val="2"/>
    </font>
    <font>
      <sz val="10"/>
      <color theme="9"/>
      <name val="Arial"/>
      <family val="2"/>
    </font>
    <font>
      <sz val="10"/>
      <color rgb="FF7030A0"/>
      <name val="Arial"/>
      <family val="2"/>
    </font>
    <font>
      <sz val="10"/>
      <color theme="5"/>
      <name val="Arial"/>
      <family val="2"/>
    </font>
    <font>
      <sz val="10"/>
      <color rgb="FF00B0F0"/>
      <name val="Arial"/>
      <family val="2"/>
    </font>
    <font>
      <i/>
      <sz val="10"/>
      <color rgb="FFC00000"/>
      <name val="Arial"/>
      <family val="2"/>
    </font>
    <font>
      <sz val="11"/>
      <color theme="1"/>
      <name val="Calibri"/>
      <family val="2"/>
    </font>
    <font>
      <b/>
      <i/>
      <sz val="11"/>
      <color theme="1"/>
      <name val="Calibri"/>
      <family val="2"/>
      <scheme val="minor"/>
    </font>
    <font>
      <vertAlign val="superscript"/>
      <sz val="11"/>
      <color theme="1"/>
      <name val="Arial"/>
      <family val="2"/>
    </font>
    <font>
      <sz val="10"/>
      <color theme="1"/>
      <name val="Arial"/>
      <family val="2"/>
    </font>
    <font>
      <sz val="10"/>
      <name val="Monotype Corsiva"/>
      <family val="4"/>
    </font>
    <font>
      <sz val="10"/>
      <color rgb="FFC00000"/>
      <name val="Monotype Corsiva"/>
      <family val="4"/>
    </font>
    <font>
      <sz val="10"/>
      <color rgb="FF9BBB59"/>
      <name val="Monotype Corsiva"/>
      <family val="4"/>
    </font>
    <font>
      <strike/>
      <sz val="10"/>
      <color rgb="FF9BBB59"/>
      <name val="Arial"/>
      <family val="2"/>
    </font>
    <font>
      <sz val="10"/>
      <color rgb="FF9BBB59"/>
      <name val="Arial"/>
      <family val="2"/>
    </font>
    <font>
      <vertAlign val="superscript"/>
      <sz val="9"/>
      <color theme="1"/>
      <name val="Arial"/>
      <family val="2"/>
    </font>
    <font>
      <sz val="11"/>
      <color theme="4"/>
      <name val="Calibri"/>
      <family val="2"/>
      <scheme val="minor"/>
    </font>
    <font>
      <sz val="8"/>
      <color theme="1"/>
      <name val="Arial"/>
      <family val="2"/>
    </font>
    <font>
      <vertAlign val="subscript"/>
      <sz val="8"/>
      <color theme="1"/>
      <name val="Arial"/>
      <family val="2"/>
    </font>
    <font>
      <vertAlign val="subscript"/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rgb="FF1F497D"/>
      <name val="Arial"/>
      <family val="2"/>
    </font>
    <font>
      <sz val="7"/>
      <color rgb="FF1F497D"/>
      <name val="Times New Roman"/>
      <family val="1"/>
    </font>
    <font>
      <b/>
      <sz val="11"/>
      <color theme="7"/>
      <name val="Calibri"/>
      <family val="2"/>
      <scheme val="minor"/>
    </font>
    <font>
      <sz val="11"/>
      <color theme="1"/>
      <name val="Lucida Handwriting"/>
      <family val="4"/>
    </font>
    <font>
      <sz val="11"/>
      <color theme="1"/>
      <name val="Symbol"/>
      <family val="1"/>
      <charset val="2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0" tint="-4.9989318521683403E-2"/>
        <bgColor indexed="64"/>
      </patternFill>
    </fill>
  </fills>
  <borders count="87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/>
      <top style="medium">
        <color rgb="FF008000"/>
      </top>
      <bottom style="medium">
        <color rgb="FF008000"/>
      </bottom>
      <diagonal/>
    </border>
    <border>
      <left/>
      <right/>
      <top/>
      <bottom style="medium">
        <color rgb="FF008000"/>
      </bottom>
      <diagonal/>
    </border>
    <border>
      <left/>
      <right/>
      <top style="medium">
        <color rgb="FF008000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</borders>
  <cellStyleXfs count="1">
    <xf numFmtId="0" fontId="0" fillId="0" borderId="0"/>
  </cellStyleXfs>
  <cellXfs count="533">
    <xf numFmtId="0" fontId="0" fillId="0" borderId="0" xfId="0"/>
    <xf numFmtId="0" fontId="0" fillId="0" borderId="0" xfId="0" applyAlignment="1">
      <alignment horizontal="center"/>
    </xf>
    <xf numFmtId="0" fontId="5" fillId="2" borderId="0" xfId="0" applyFont="1" applyFill="1"/>
    <xf numFmtId="0" fontId="8" fillId="0" borderId="0" xfId="0" applyFont="1" applyAlignment="1">
      <alignment horizontal="center"/>
    </xf>
    <xf numFmtId="0" fontId="0" fillId="0" borderId="7" xfId="0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0" fillId="0" borderId="7" xfId="0" applyBorder="1"/>
    <xf numFmtId="0" fontId="0" fillId="0" borderId="0" xfId="0" applyFill="1" applyBorder="1" applyAlignment="1"/>
    <xf numFmtId="0" fontId="0" fillId="0" borderId="4" xfId="0" applyFill="1" applyBorder="1" applyAlignment="1"/>
    <xf numFmtId="0" fontId="9" fillId="0" borderId="8" xfId="0" applyFont="1" applyFill="1" applyBorder="1" applyAlignment="1">
      <alignment horizontal="center"/>
    </xf>
    <xf numFmtId="0" fontId="9" fillId="0" borderId="8" xfId="0" applyFont="1" applyFill="1" applyBorder="1" applyAlignment="1">
      <alignment horizontal="centerContinuous"/>
    </xf>
    <xf numFmtId="0" fontId="3" fillId="2" borderId="0" xfId="0" applyFont="1" applyFill="1" applyAlignment="1">
      <alignment vertical="center"/>
    </xf>
    <xf numFmtId="0" fontId="5" fillId="0" borderId="0" xfId="0" applyFont="1" applyFill="1"/>
    <xf numFmtId="0" fontId="0" fillId="0" borderId="0" xfId="0" applyFill="1"/>
    <xf numFmtId="0" fontId="10" fillId="0" borderId="7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justify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justify" vertical="center" wrapText="1"/>
    </xf>
    <xf numFmtId="0" fontId="7" fillId="0" borderId="20" xfId="0" applyFont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4" borderId="16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0" fontId="7" fillId="0" borderId="21" xfId="0" applyFont="1" applyFill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 wrapText="1"/>
    </xf>
    <xf numFmtId="0" fontId="7" fillId="0" borderId="25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23" fillId="4" borderId="3" xfId="0" applyFont="1" applyFill="1" applyBorder="1" applyAlignment="1">
      <alignment horizontal="center" vertical="center" wrapText="1"/>
    </xf>
    <xf numFmtId="0" fontId="23" fillId="5" borderId="3" xfId="0" applyFont="1" applyFill="1" applyBorder="1" applyAlignment="1">
      <alignment horizontal="center" vertical="center" wrapText="1"/>
    </xf>
    <xf numFmtId="0" fontId="23" fillId="7" borderId="3" xfId="0" applyFont="1" applyFill="1" applyBorder="1" applyAlignment="1">
      <alignment horizontal="center" vertical="center" wrapText="1"/>
    </xf>
    <xf numFmtId="0" fontId="23" fillId="5" borderId="17" xfId="0" applyFont="1" applyFill="1" applyBorder="1" applyAlignment="1">
      <alignment horizontal="center" vertical="center" wrapText="1"/>
    </xf>
    <xf numFmtId="0" fontId="0" fillId="0" borderId="0" xfId="0" applyFill="1" applyBorder="1"/>
    <xf numFmtId="2" fontId="0" fillId="0" borderId="0" xfId="0" applyNumberFormat="1" applyFill="1" applyBorder="1" applyAlignment="1">
      <alignment horizontal="center"/>
    </xf>
    <xf numFmtId="0" fontId="26" fillId="0" borderId="0" xfId="0" applyFont="1"/>
    <xf numFmtId="164" fontId="25" fillId="0" borderId="7" xfId="0" applyNumberFormat="1" applyFont="1" applyBorder="1"/>
    <xf numFmtId="164" fontId="29" fillId="0" borderId="47" xfId="0" applyNumberFormat="1" applyFont="1" applyBorder="1"/>
    <xf numFmtId="165" fontId="27" fillId="0" borderId="7" xfId="0" applyNumberFormat="1" applyFont="1" applyBorder="1" applyAlignment="1">
      <alignment horizontal="center"/>
    </xf>
    <xf numFmtId="164" fontId="27" fillId="0" borderId="7" xfId="0" applyNumberFormat="1" applyFont="1" applyBorder="1" applyAlignment="1">
      <alignment horizontal="center"/>
    </xf>
    <xf numFmtId="0" fontId="0" fillId="7" borderId="0" xfId="0" applyFill="1" applyBorder="1" applyAlignment="1"/>
    <xf numFmtId="0" fontId="0" fillId="7" borderId="4" xfId="0" applyFill="1" applyBorder="1" applyAlignment="1"/>
    <xf numFmtId="0" fontId="30" fillId="0" borderId="8" xfId="0" applyFont="1" applyFill="1" applyBorder="1" applyAlignment="1">
      <alignment horizontal="center"/>
    </xf>
    <xf numFmtId="0" fontId="32" fillId="0" borderId="7" xfId="0" applyFont="1" applyBorder="1" applyAlignment="1">
      <alignment horizontal="center" vertical="center" wrapText="1"/>
    </xf>
    <xf numFmtId="2" fontId="31" fillId="0" borderId="7" xfId="0" applyNumberFormat="1" applyFont="1" applyBorder="1" applyAlignment="1">
      <alignment horizontal="center"/>
    </xf>
    <xf numFmtId="2" fontId="27" fillId="0" borderId="7" xfId="0" applyNumberFormat="1" applyFont="1" applyBorder="1" applyAlignment="1">
      <alignment horizontal="center"/>
    </xf>
    <xf numFmtId="0" fontId="21" fillId="0" borderId="0" xfId="0" applyFont="1" applyBorder="1" applyAlignment="1">
      <alignment horizontal="center" vertical="center"/>
    </xf>
    <xf numFmtId="2" fontId="31" fillId="0" borderId="0" xfId="0" applyNumberFormat="1" applyFont="1" applyBorder="1" applyAlignment="1">
      <alignment horizontal="center"/>
    </xf>
    <xf numFmtId="2" fontId="27" fillId="0" borderId="0" xfId="0" applyNumberFormat="1" applyFont="1" applyBorder="1" applyAlignment="1">
      <alignment horizontal="center"/>
    </xf>
    <xf numFmtId="0" fontId="21" fillId="0" borderId="0" xfId="0" applyFont="1"/>
    <xf numFmtId="0" fontId="35" fillId="0" borderId="7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/>
    </xf>
    <xf numFmtId="0" fontId="21" fillId="0" borderId="7" xfId="0" applyFont="1" applyBorder="1"/>
    <xf numFmtId="0" fontId="36" fillId="0" borderId="7" xfId="0" applyFont="1" applyBorder="1" applyAlignment="1">
      <alignment horizontal="center" vertical="center" wrapText="1"/>
    </xf>
    <xf numFmtId="0" fontId="37" fillId="0" borderId="0" xfId="0" applyFont="1"/>
    <xf numFmtId="0" fontId="21" fillId="0" borderId="48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0" fillId="0" borderId="0" xfId="0" applyFont="1"/>
    <xf numFmtId="0" fontId="42" fillId="0" borderId="0" xfId="0" applyFont="1" applyAlignment="1">
      <alignment horizontal="center"/>
    </xf>
    <xf numFmtId="0" fontId="9" fillId="0" borderId="0" xfId="0" applyFont="1"/>
    <xf numFmtId="0" fontId="0" fillId="0" borderId="47" xfId="0" applyBorder="1"/>
    <xf numFmtId="2" fontId="41" fillId="0" borderId="0" xfId="0" applyNumberFormat="1" applyFont="1" applyAlignment="1">
      <alignment horizontal="left"/>
    </xf>
    <xf numFmtId="0" fontId="41" fillId="0" borderId="0" xfId="0" applyFont="1" applyAlignment="1">
      <alignment horizontal="left" vertical="center"/>
    </xf>
    <xf numFmtId="1" fontId="41" fillId="0" borderId="0" xfId="0" applyNumberFormat="1" applyFont="1" applyAlignment="1">
      <alignment horizontal="left" vertical="center"/>
    </xf>
    <xf numFmtId="2" fontId="41" fillId="0" borderId="0" xfId="0" applyNumberFormat="1" applyFont="1" applyAlignment="1">
      <alignment horizontal="left" vertical="center"/>
    </xf>
    <xf numFmtId="0" fontId="0" fillId="0" borderId="0" xfId="0" quotePrefix="1"/>
    <xf numFmtId="0" fontId="32" fillId="0" borderId="7" xfId="0" applyFont="1" applyBorder="1" applyAlignment="1">
      <alignment vertical="center" wrapText="1"/>
    </xf>
    <xf numFmtId="1" fontId="41" fillId="0" borderId="7" xfId="0" applyNumberFormat="1" applyFont="1" applyBorder="1" applyAlignment="1">
      <alignment horizontal="center"/>
    </xf>
    <xf numFmtId="2" fontId="41" fillId="0" borderId="7" xfId="0" applyNumberFormat="1" applyFont="1" applyBorder="1" applyAlignment="1">
      <alignment horizontal="center"/>
    </xf>
    <xf numFmtId="0" fontId="45" fillId="0" borderId="7" xfId="0" applyFont="1" applyBorder="1" applyAlignment="1">
      <alignment horizontal="center" vertical="center" wrapText="1"/>
    </xf>
    <xf numFmtId="0" fontId="21" fillId="0" borderId="4" xfId="0" applyFont="1" applyBorder="1"/>
    <xf numFmtId="0" fontId="21" fillId="0" borderId="4" xfId="0" applyFont="1" applyBorder="1" applyAlignment="1">
      <alignment horizontal="center"/>
    </xf>
    <xf numFmtId="0" fontId="21" fillId="0" borderId="0" xfId="0" applyFont="1" applyBorder="1"/>
    <xf numFmtId="0" fontId="21" fillId="0" borderId="0" xfId="0" applyFont="1" applyBorder="1" applyAlignment="1">
      <alignment horizontal="center"/>
    </xf>
    <xf numFmtId="166" fontId="6" fillId="0" borderId="7" xfId="0" applyNumberFormat="1" applyFont="1" applyBorder="1" applyAlignment="1">
      <alignment horizontal="center" vertical="center" wrapText="1"/>
    </xf>
    <xf numFmtId="0" fontId="39" fillId="0" borderId="7" xfId="0" applyFont="1" applyBorder="1" applyAlignment="1">
      <alignment horizontal="center"/>
    </xf>
    <xf numFmtId="0" fontId="40" fillId="0" borderId="7" xfId="0" applyFont="1" applyBorder="1" applyAlignment="1">
      <alignment horizontal="center"/>
    </xf>
    <xf numFmtId="0" fontId="0" fillId="3" borderId="7" xfId="0" applyFont="1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14" fillId="3" borderId="7" xfId="0" applyFont="1" applyFill="1" applyBorder="1" applyAlignment="1">
      <alignment horizontal="center" vertical="center" wrapText="1"/>
    </xf>
    <xf numFmtId="0" fontId="0" fillId="2" borderId="0" xfId="0" applyFill="1"/>
    <xf numFmtId="0" fontId="0" fillId="0" borderId="0" xfId="0" applyAlignment="1">
      <alignment horizontal="right" vertical="center"/>
    </xf>
    <xf numFmtId="0" fontId="48" fillId="0" borderId="3" xfId="0" applyFont="1" applyBorder="1" applyAlignment="1">
      <alignment horizontal="center" vertical="center" wrapText="1"/>
    </xf>
    <xf numFmtId="0" fontId="48" fillId="0" borderId="50" xfId="0" applyFont="1" applyBorder="1" applyAlignment="1">
      <alignment horizontal="center" vertical="center" wrapText="1"/>
    </xf>
    <xf numFmtId="0" fontId="17" fillId="0" borderId="50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0" fillId="2" borderId="0" xfId="0" applyFill="1" applyAlignment="1">
      <alignment horizontal="right"/>
    </xf>
    <xf numFmtId="1" fontId="0" fillId="2" borderId="51" xfId="0" applyNumberFormat="1" applyFill="1" applyBorder="1" applyAlignment="1">
      <alignment horizontal="center"/>
    </xf>
    <xf numFmtId="0" fontId="0" fillId="2" borderId="0" xfId="0" quotePrefix="1" applyFill="1" applyAlignment="1">
      <alignment horizontal="center"/>
    </xf>
    <xf numFmtId="0" fontId="0" fillId="2" borderId="0" xfId="0" applyFill="1" applyAlignment="1">
      <alignment horizontal="center"/>
    </xf>
    <xf numFmtId="1" fontId="0" fillId="2" borderId="0" xfId="0" applyNumberFormat="1" applyFill="1" applyAlignment="1">
      <alignment horizontal="center"/>
    </xf>
    <xf numFmtId="165" fontId="0" fillId="2" borderId="0" xfId="0" applyNumberFormat="1" applyFill="1"/>
    <xf numFmtId="165" fontId="0" fillId="2" borderId="0" xfId="0" applyNumberFormat="1" applyFill="1" applyAlignment="1">
      <alignment horizontal="left"/>
    </xf>
    <xf numFmtId="0" fontId="48" fillId="0" borderId="4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165" fontId="0" fillId="0" borderId="7" xfId="0" applyNumberFormat="1" applyBorder="1" applyAlignment="1">
      <alignment horizontal="center"/>
    </xf>
    <xf numFmtId="0" fontId="49" fillId="0" borderId="0" xfId="0" applyFont="1" applyAlignment="1">
      <alignment horizontal="justify" vertical="center"/>
    </xf>
    <xf numFmtId="2" fontId="0" fillId="0" borderId="0" xfId="0" applyNumberFormat="1" applyAlignment="1">
      <alignment horizontal="left"/>
    </xf>
    <xf numFmtId="1" fontId="0" fillId="0" borderId="0" xfId="0" applyNumberFormat="1" applyAlignment="1">
      <alignment horizontal="left"/>
    </xf>
    <xf numFmtId="0" fontId="48" fillId="11" borderId="3" xfId="0" applyFont="1" applyFill="1" applyBorder="1" applyAlignment="1">
      <alignment horizontal="center" vertical="center" wrapText="1"/>
    </xf>
    <xf numFmtId="0" fontId="48" fillId="5" borderId="3" xfId="0" applyFont="1" applyFill="1" applyBorder="1" applyAlignment="1">
      <alignment horizontal="center" vertical="center" wrapText="1"/>
    </xf>
    <xf numFmtId="0" fontId="48" fillId="6" borderId="3" xfId="0" applyFont="1" applyFill="1" applyBorder="1" applyAlignment="1">
      <alignment horizontal="center" vertical="center" wrapText="1"/>
    </xf>
    <xf numFmtId="0" fontId="48" fillId="7" borderId="3" xfId="0" applyFont="1" applyFill="1" applyBorder="1" applyAlignment="1">
      <alignment horizontal="center" vertical="center" wrapText="1"/>
    </xf>
    <xf numFmtId="0" fontId="50" fillId="0" borderId="0" xfId="0" applyFont="1"/>
    <xf numFmtId="0" fontId="0" fillId="0" borderId="0" xfId="0" quotePrefix="1" applyAlignment="1">
      <alignment horizontal="center"/>
    </xf>
    <xf numFmtId="0" fontId="38" fillId="0" borderId="0" xfId="0" applyFont="1" applyAlignment="1">
      <alignment vertical="center"/>
    </xf>
    <xf numFmtId="0" fontId="50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48" fillId="5" borderId="50" xfId="0" applyFont="1" applyFill="1" applyBorder="1" applyAlignment="1">
      <alignment horizontal="center" vertical="center" wrapText="1"/>
    </xf>
    <xf numFmtId="0" fontId="48" fillId="6" borderId="50" xfId="0" applyFont="1" applyFill="1" applyBorder="1" applyAlignment="1">
      <alignment horizontal="center" vertical="center" wrapText="1"/>
    </xf>
    <xf numFmtId="0" fontId="48" fillId="7" borderId="50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 wrapText="1"/>
    </xf>
    <xf numFmtId="0" fontId="48" fillId="7" borderId="4" xfId="0" applyFont="1" applyFill="1" applyBorder="1" applyAlignment="1">
      <alignment horizontal="center" vertical="center" wrapText="1"/>
    </xf>
    <xf numFmtId="0" fontId="48" fillId="5" borderId="4" xfId="0" applyFont="1" applyFill="1" applyBorder="1" applyAlignment="1">
      <alignment horizontal="center" vertical="center" wrapText="1"/>
    </xf>
    <xf numFmtId="0" fontId="48" fillId="6" borderId="4" xfId="0" applyFont="1" applyFill="1" applyBorder="1" applyAlignment="1">
      <alignment horizontal="center" vertical="center" wrapText="1"/>
    </xf>
    <xf numFmtId="0" fontId="48" fillId="7" borderId="7" xfId="0" applyFont="1" applyFill="1" applyBorder="1" applyAlignment="1">
      <alignment horizontal="center" vertical="center" wrapText="1"/>
    </xf>
    <xf numFmtId="0" fontId="0" fillId="0" borderId="51" xfId="0" applyBorder="1"/>
    <xf numFmtId="1" fontId="0" fillId="0" borderId="7" xfId="0" applyNumberFormat="1" applyBorder="1" applyAlignment="1">
      <alignment horizontal="center"/>
    </xf>
    <xf numFmtId="165" fontId="0" fillId="0" borderId="7" xfId="0" applyNumberFormat="1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1" fontId="0" fillId="0" borderId="7" xfId="0" applyNumberFormat="1" applyFill="1" applyBorder="1" applyAlignment="1">
      <alignment horizontal="center"/>
    </xf>
    <xf numFmtId="0" fontId="14" fillId="12" borderId="55" xfId="0" applyFont="1" applyFill="1" applyBorder="1" applyAlignment="1">
      <alignment horizontal="left" vertical="center"/>
    </xf>
    <xf numFmtId="0" fontId="0" fillId="12" borderId="56" xfId="0" applyFill="1" applyBorder="1"/>
    <xf numFmtId="0" fontId="0" fillId="12" borderId="57" xfId="0" applyFill="1" applyBorder="1"/>
    <xf numFmtId="0" fontId="0" fillId="0" borderId="58" xfId="0" applyBorder="1"/>
    <xf numFmtId="0" fontId="0" fillId="0" borderId="0" xfId="0" applyBorder="1"/>
    <xf numFmtId="0" fontId="0" fillId="0" borderId="59" xfId="0" applyBorder="1"/>
    <xf numFmtId="0" fontId="0" fillId="0" borderId="60" xfId="0" applyBorder="1"/>
    <xf numFmtId="0" fontId="0" fillId="0" borderId="61" xfId="0" applyBorder="1"/>
    <xf numFmtId="0" fontId="21" fillId="12" borderId="55" xfId="0" applyFont="1" applyFill="1" applyBorder="1"/>
    <xf numFmtId="0" fontId="53" fillId="0" borderId="0" xfId="0" applyFont="1" applyBorder="1" applyAlignment="1">
      <alignment horizontal="right"/>
    </xf>
    <xf numFmtId="0" fontId="53" fillId="0" borderId="0" xfId="0" applyFont="1" applyAlignment="1">
      <alignment horizontal="right"/>
    </xf>
    <xf numFmtId="0" fontId="53" fillId="0" borderId="4" xfId="0" applyFont="1" applyBorder="1" applyAlignment="1">
      <alignment horizontal="right"/>
    </xf>
    <xf numFmtId="0" fontId="56" fillId="0" borderId="7" xfId="0" applyFont="1" applyBorder="1" applyAlignment="1">
      <alignment horizontal="center" vertical="center" wrapText="1"/>
    </xf>
    <xf numFmtId="0" fontId="57" fillId="2" borderId="0" xfId="0" applyFont="1" applyFill="1"/>
    <xf numFmtId="0" fontId="59" fillId="0" borderId="62" xfId="0" applyFont="1" applyBorder="1" applyAlignment="1">
      <alignment horizontal="center" vertical="center" wrapText="1"/>
    </xf>
    <xf numFmtId="0" fontId="59" fillId="0" borderId="1" xfId="0" applyFont="1" applyBorder="1" applyAlignment="1">
      <alignment horizontal="center" vertical="center" wrapText="1"/>
    </xf>
    <xf numFmtId="0" fontId="61" fillId="0" borderId="50" xfId="0" applyFont="1" applyBorder="1" applyAlignment="1">
      <alignment horizontal="center" vertical="center" wrapText="1"/>
    </xf>
    <xf numFmtId="0" fontId="61" fillId="0" borderId="62" xfId="0" applyFont="1" applyBorder="1" applyAlignment="1">
      <alignment horizontal="center" vertical="center" wrapText="1"/>
    </xf>
    <xf numFmtId="167" fontId="61" fillId="0" borderId="1" xfId="0" applyNumberFormat="1" applyFont="1" applyBorder="1" applyAlignment="1">
      <alignment horizontal="center" vertical="center" wrapText="1"/>
    </xf>
    <xf numFmtId="0" fontId="59" fillId="0" borderId="33" xfId="0" applyFont="1" applyBorder="1" applyAlignment="1">
      <alignment vertical="center" wrapText="1"/>
    </xf>
    <xf numFmtId="0" fontId="61" fillId="0" borderId="33" xfId="0" applyFont="1" applyBorder="1" applyAlignment="1">
      <alignment vertical="center" wrapText="1"/>
    </xf>
    <xf numFmtId="0" fontId="61" fillId="0" borderId="1" xfId="0" applyFont="1" applyBorder="1" applyAlignment="1">
      <alignment horizontal="center" vertical="center" wrapText="1"/>
    </xf>
    <xf numFmtId="0" fontId="61" fillId="0" borderId="3" xfId="0" applyFont="1" applyBorder="1" applyAlignment="1">
      <alignment horizontal="center" vertical="center" wrapText="1"/>
    </xf>
    <xf numFmtId="167" fontId="61" fillId="0" borderId="3" xfId="0" applyNumberFormat="1" applyFont="1" applyBorder="1" applyAlignment="1">
      <alignment horizontal="center" vertical="center" wrapText="1"/>
    </xf>
    <xf numFmtId="0" fontId="21" fillId="2" borderId="4" xfId="0" applyFont="1" applyFill="1" applyBorder="1"/>
    <xf numFmtId="0" fontId="0" fillId="2" borderId="63" xfId="0" applyFill="1" applyBorder="1"/>
    <xf numFmtId="0" fontId="0" fillId="0" borderId="4" xfId="0" applyBorder="1"/>
    <xf numFmtId="0" fontId="0" fillId="0" borderId="7" xfId="0" applyBorder="1" applyAlignment="1">
      <alignment horizontal="center" vertical="center"/>
    </xf>
    <xf numFmtId="168" fontId="0" fillId="0" borderId="0" xfId="0" applyNumberFormat="1"/>
    <xf numFmtId="2" fontId="0" fillId="0" borderId="0" xfId="0" applyNumberFormat="1" applyAlignment="1">
      <alignment horizontal="center"/>
    </xf>
    <xf numFmtId="0" fontId="51" fillId="0" borderId="0" xfId="0" applyFont="1" applyAlignment="1">
      <alignment horizontal="right" vertical="center"/>
    </xf>
    <xf numFmtId="0" fontId="51" fillId="0" borderId="7" xfId="0" applyFont="1" applyBorder="1" applyAlignment="1">
      <alignment horizontal="center" vertical="center"/>
    </xf>
    <xf numFmtId="0" fontId="51" fillId="0" borderId="7" xfId="0" applyFont="1" applyBorder="1" applyAlignment="1">
      <alignment horizontal="center" vertical="center" wrapText="1"/>
    </xf>
    <xf numFmtId="0" fontId="53" fillId="0" borderId="7" xfId="0" applyFont="1" applyBorder="1" applyAlignment="1">
      <alignment horizontal="center" vertical="center"/>
    </xf>
    <xf numFmtId="0" fontId="53" fillId="0" borderId="7" xfId="0" applyFont="1" applyBorder="1" applyAlignment="1">
      <alignment horizontal="center" vertical="center" wrapText="1"/>
    </xf>
    <xf numFmtId="0" fontId="57" fillId="0" borderId="0" xfId="0" applyFont="1" applyFill="1" applyBorder="1" applyAlignment="1">
      <alignment horizontal="left"/>
    </xf>
    <xf numFmtId="0" fontId="59" fillId="0" borderId="64" xfId="0" applyFont="1" applyBorder="1" applyAlignment="1">
      <alignment horizontal="center" vertical="center" wrapText="1"/>
    </xf>
    <xf numFmtId="0" fontId="59" fillId="0" borderId="2" xfId="0" applyFont="1" applyBorder="1" applyAlignment="1">
      <alignment horizontal="center" vertical="center" wrapText="1"/>
    </xf>
    <xf numFmtId="0" fontId="63" fillId="0" borderId="7" xfId="0" applyFont="1" applyBorder="1" applyAlignment="1">
      <alignment horizontal="center"/>
    </xf>
    <xf numFmtId="0" fontId="64" fillId="0" borderId="7" xfId="0" applyFont="1" applyBorder="1" applyAlignment="1">
      <alignment horizontal="center"/>
    </xf>
    <xf numFmtId="0" fontId="65" fillId="0" borderId="7" xfId="0" applyFont="1" applyBorder="1" applyAlignment="1">
      <alignment horizontal="center"/>
    </xf>
    <xf numFmtId="0" fontId="66" fillId="0" borderId="7" xfId="0" applyFont="1" applyBorder="1" applyAlignment="1">
      <alignment horizontal="center"/>
    </xf>
    <xf numFmtId="0" fontId="67" fillId="0" borderId="7" xfId="0" applyFont="1" applyBorder="1" applyAlignment="1">
      <alignment horizontal="center"/>
    </xf>
    <xf numFmtId="0" fontId="0" fillId="2" borderId="0" xfId="0" quotePrefix="1" applyFill="1" applyAlignment="1">
      <alignment horizontal="right"/>
    </xf>
    <xf numFmtId="0" fontId="3" fillId="0" borderId="0" xfId="0" applyFont="1"/>
    <xf numFmtId="0" fontId="59" fillId="0" borderId="65" xfId="0" applyFont="1" applyBorder="1" applyAlignment="1">
      <alignment horizontal="center" vertical="center" wrapText="1"/>
    </xf>
    <xf numFmtId="0" fontId="59" fillId="0" borderId="66" xfId="0" applyFont="1" applyBorder="1" applyAlignment="1">
      <alignment horizontal="center" vertical="center" wrapText="1"/>
    </xf>
    <xf numFmtId="0" fontId="59" fillId="0" borderId="67" xfId="0" applyFont="1" applyBorder="1" applyAlignment="1">
      <alignment horizontal="center" vertical="center" wrapText="1"/>
    </xf>
    <xf numFmtId="0" fontId="0" fillId="0" borderId="68" xfId="0" applyBorder="1" applyAlignment="1">
      <alignment horizontal="center"/>
    </xf>
    <xf numFmtId="0" fontId="0" fillId="0" borderId="69" xfId="0" applyBorder="1" applyAlignment="1">
      <alignment horizontal="center"/>
    </xf>
    <xf numFmtId="0" fontId="0" fillId="0" borderId="69" xfId="0" applyBorder="1"/>
    <xf numFmtId="0" fontId="0" fillId="0" borderId="70" xfId="0" applyBorder="1"/>
    <xf numFmtId="0" fontId="0" fillId="0" borderId="71" xfId="0" applyBorder="1" applyAlignment="1">
      <alignment horizontal="center"/>
    </xf>
    <xf numFmtId="0" fontId="0" fillId="0" borderId="72" xfId="0" applyBorder="1"/>
    <xf numFmtId="0" fontId="0" fillId="0" borderId="73" xfId="0" applyBorder="1" applyAlignment="1">
      <alignment horizontal="center"/>
    </xf>
    <xf numFmtId="0" fontId="0" fillId="0" borderId="74" xfId="0" applyBorder="1" applyAlignment="1">
      <alignment horizontal="center"/>
    </xf>
    <xf numFmtId="0" fontId="0" fillId="0" borderId="74" xfId="0" applyBorder="1"/>
    <xf numFmtId="0" fontId="0" fillId="0" borderId="75" xfId="0" applyBorder="1"/>
    <xf numFmtId="0" fontId="26" fillId="0" borderId="7" xfId="0" applyFont="1" applyFill="1" applyBorder="1" applyAlignment="1">
      <alignment horizontal="center" vertical="center"/>
    </xf>
    <xf numFmtId="0" fontId="57" fillId="2" borderId="64" xfId="0" applyFont="1" applyFill="1" applyBorder="1"/>
    <xf numFmtId="0" fontId="58" fillId="2" borderId="76" xfId="0" applyFont="1" applyFill="1" applyBorder="1"/>
    <xf numFmtId="0" fontId="0" fillId="2" borderId="76" xfId="0" applyFill="1" applyBorder="1"/>
    <xf numFmtId="0" fontId="0" fillId="2" borderId="2" xfId="0" applyFill="1" applyBorder="1"/>
    <xf numFmtId="0" fontId="0" fillId="2" borderId="6" xfId="0" applyFill="1" applyBorder="1"/>
    <xf numFmtId="0" fontId="0" fillId="2" borderId="0" xfId="0" applyFill="1" applyBorder="1"/>
    <xf numFmtId="0" fontId="0" fillId="2" borderId="17" xfId="0" applyFill="1" applyBorder="1"/>
    <xf numFmtId="0" fontId="0" fillId="0" borderId="50" xfId="0" applyBorder="1"/>
    <xf numFmtId="168" fontId="0" fillId="0" borderId="4" xfId="0" applyNumberFormat="1" applyBorder="1"/>
    <xf numFmtId="165" fontId="0" fillId="0" borderId="0" xfId="0" applyNumberFormat="1"/>
    <xf numFmtId="168" fontId="0" fillId="0" borderId="0" xfId="0" applyNumberFormat="1" applyAlignment="1">
      <alignment horizontal="center"/>
    </xf>
    <xf numFmtId="168" fontId="69" fillId="0" borderId="0" xfId="0" applyNumberFormat="1" applyFont="1"/>
    <xf numFmtId="165" fontId="0" fillId="0" borderId="0" xfId="0" applyNumberFormat="1" applyBorder="1"/>
    <xf numFmtId="0" fontId="21" fillId="0" borderId="0" xfId="0" applyFont="1" applyFill="1" applyBorder="1"/>
    <xf numFmtId="165" fontId="0" fillId="0" borderId="0" xfId="0" applyNumberFormat="1" applyFill="1" applyAlignment="1">
      <alignment horizontal="left"/>
    </xf>
    <xf numFmtId="0" fontId="0" fillId="4" borderId="0" xfId="0" applyFont="1" applyFill="1"/>
    <xf numFmtId="165" fontId="0" fillId="0" borderId="4" xfId="0" applyNumberFormat="1" applyFill="1" applyBorder="1" applyAlignment="1">
      <alignment horizontal="left"/>
    </xf>
    <xf numFmtId="0" fontId="0" fillId="0" borderId="4" xfId="0" applyBorder="1" applyAlignment="1">
      <alignment horizontal="center"/>
    </xf>
    <xf numFmtId="165" fontId="0" fillId="4" borderId="0" xfId="0" applyNumberFormat="1" applyFill="1" applyAlignment="1">
      <alignment horizontal="left"/>
    </xf>
    <xf numFmtId="0" fontId="1" fillId="0" borderId="0" xfId="0" applyFont="1"/>
    <xf numFmtId="0" fontId="26" fillId="4" borderId="7" xfId="0" applyFont="1" applyFill="1" applyBorder="1" applyAlignment="1">
      <alignment horizontal="center" vertical="center"/>
    </xf>
    <xf numFmtId="0" fontId="48" fillId="0" borderId="50" xfId="0" applyFont="1" applyBorder="1" applyAlignment="1">
      <alignment horizontal="center" vertical="center" wrapText="1"/>
    </xf>
    <xf numFmtId="0" fontId="48" fillId="0" borderId="30" xfId="0" applyFont="1" applyBorder="1" applyAlignment="1">
      <alignment horizontal="center" vertical="center" wrapText="1"/>
    </xf>
    <xf numFmtId="166" fontId="6" fillId="0" borderId="0" xfId="0" applyNumberFormat="1" applyFont="1" applyFill="1"/>
    <xf numFmtId="0" fontId="0" fillId="0" borderId="7" xfId="0" applyFill="1" applyBorder="1"/>
    <xf numFmtId="0" fontId="21" fillId="2" borderId="0" xfId="0" applyFont="1" applyFill="1" applyBorder="1"/>
    <xf numFmtId="0" fontId="0" fillId="0" borderId="0" xfId="0" applyBorder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0" fillId="2" borderId="0" xfId="0" applyFill="1"/>
    <xf numFmtId="0" fontId="0" fillId="0" borderId="0" xfId="0"/>
    <xf numFmtId="0" fontId="1" fillId="0" borderId="77" xfId="0" applyFont="1" applyBorder="1" applyAlignment="1">
      <alignment horizontal="justify" vertical="center" wrapText="1"/>
    </xf>
    <xf numFmtId="0" fontId="6" fillId="0" borderId="1" xfId="0" applyFont="1" applyBorder="1" applyAlignment="1">
      <alignment horizontal="center" vertical="center" wrapText="1"/>
    </xf>
    <xf numFmtId="0" fontId="1" fillId="0" borderId="50" xfId="0" applyFont="1" applyBorder="1" applyAlignment="1">
      <alignment horizontal="center" vertical="center" wrapText="1"/>
    </xf>
    <xf numFmtId="0" fontId="6" fillId="0" borderId="79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justify" vertical="center" wrapText="1"/>
    </xf>
    <xf numFmtId="0" fontId="7" fillId="0" borderId="3" xfId="0" applyFont="1" applyBorder="1" applyAlignment="1">
      <alignment horizontal="justify" vertical="center" wrapText="1"/>
    </xf>
    <xf numFmtId="0" fontId="7" fillId="0" borderId="4" xfId="0" applyFont="1" applyBorder="1" applyAlignment="1">
      <alignment horizontal="justify" vertical="center" wrapText="1"/>
    </xf>
    <xf numFmtId="0" fontId="75" fillId="0" borderId="79" xfId="0" applyFont="1" applyBorder="1" applyAlignment="1">
      <alignment horizontal="justify" vertical="center" wrapText="1"/>
    </xf>
    <xf numFmtId="0" fontId="75" fillId="0" borderId="3" xfId="0" applyFont="1" applyBorder="1" applyAlignment="1">
      <alignment horizontal="justify" vertical="center" wrapText="1"/>
    </xf>
    <xf numFmtId="0" fontId="76" fillId="0" borderId="3" xfId="0" applyFont="1" applyBorder="1" applyAlignment="1">
      <alignment horizontal="justify" vertical="center" wrapText="1"/>
    </xf>
    <xf numFmtId="0" fontId="77" fillId="0" borderId="3" xfId="0" applyFont="1" applyBorder="1" applyAlignment="1">
      <alignment horizontal="justify" vertical="center" wrapText="1"/>
    </xf>
    <xf numFmtId="169" fontId="7" fillId="0" borderId="3" xfId="0" applyNumberFormat="1" applyFont="1" applyBorder="1" applyAlignment="1">
      <alignment horizontal="justify" vertical="center" wrapText="1"/>
    </xf>
    <xf numFmtId="0" fontId="7" fillId="0" borderId="79" xfId="0" applyFont="1" applyBorder="1" applyAlignment="1">
      <alignment horizontal="justify" vertical="center" wrapText="1"/>
    </xf>
    <xf numFmtId="0" fontId="80" fillId="0" borderId="3" xfId="0" applyFont="1" applyBorder="1" applyAlignment="1">
      <alignment horizontal="center" vertical="center" wrapText="1"/>
    </xf>
    <xf numFmtId="0" fontId="0" fillId="0" borderId="0" xfId="0"/>
    <xf numFmtId="0" fontId="6" fillId="0" borderId="50" xfId="0" applyFont="1" applyBorder="1" applyAlignment="1">
      <alignment horizontal="center" vertical="center" wrapText="1"/>
    </xf>
    <xf numFmtId="0" fontId="6" fillId="0" borderId="79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27" fillId="0" borderId="0" xfId="0" applyFont="1"/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27" fillId="0" borderId="7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7" borderId="7" xfId="0" applyFill="1" applyBorder="1" applyAlignment="1">
      <alignment horizontal="center" vertical="center" wrapText="1"/>
    </xf>
    <xf numFmtId="0" fontId="79" fillId="0" borderId="7" xfId="0" applyFont="1" applyBorder="1" applyAlignment="1">
      <alignment horizontal="center" vertical="center" wrapText="1"/>
    </xf>
    <xf numFmtId="0" fontId="0" fillId="5" borderId="7" xfId="0" applyFill="1" applyBorder="1" applyAlignment="1">
      <alignment horizontal="center" vertical="center" wrapText="1"/>
    </xf>
    <xf numFmtId="165" fontId="0" fillId="13" borderId="7" xfId="0" applyNumberFormat="1" applyFill="1" applyBorder="1" applyAlignment="1">
      <alignment horizontal="center" vertical="center" wrapText="1"/>
    </xf>
    <xf numFmtId="0" fontId="38" fillId="0" borderId="69" xfId="0" applyFont="1" applyBorder="1" applyAlignment="1">
      <alignment horizontal="center"/>
    </xf>
    <xf numFmtId="0" fontId="64" fillId="0" borderId="69" xfId="0" applyFont="1" applyBorder="1" applyAlignment="1">
      <alignment horizontal="center" vertical="center" wrapText="1"/>
    </xf>
    <xf numFmtId="0" fontId="7" fillId="0" borderId="69" xfId="0" applyFont="1" applyBorder="1" applyAlignment="1">
      <alignment horizontal="center" vertical="center" wrapText="1"/>
    </xf>
    <xf numFmtId="0" fontId="79" fillId="0" borderId="7" xfId="0" applyFont="1" applyBorder="1"/>
    <xf numFmtId="0" fontId="0" fillId="5" borderId="7" xfId="0" applyFill="1" applyBorder="1"/>
    <xf numFmtId="165" fontId="0" fillId="13" borderId="7" xfId="0" applyNumberFormat="1" applyFill="1" applyBorder="1"/>
    <xf numFmtId="0" fontId="0" fillId="0" borderId="0" xfId="0" applyFill="1"/>
    <xf numFmtId="0" fontId="38" fillId="0" borderId="7" xfId="0" applyFont="1" applyBorder="1" applyAlignment="1">
      <alignment horizontal="center"/>
    </xf>
    <xf numFmtId="0" fontId="64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0" fillId="0" borderId="0" xfId="0" quotePrefix="1"/>
    <xf numFmtId="0" fontId="14" fillId="0" borderId="62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167" fontId="6" fillId="0" borderId="3" xfId="0" applyNumberFormat="1" applyFont="1" applyBorder="1" applyAlignment="1">
      <alignment horizontal="center" vertical="center" wrapText="1"/>
    </xf>
    <xf numFmtId="164" fontId="6" fillId="0" borderId="3" xfId="0" applyNumberFormat="1" applyFont="1" applyBorder="1" applyAlignment="1">
      <alignment horizontal="center" vertical="center" wrapText="1"/>
    </xf>
    <xf numFmtId="0" fontId="0" fillId="13" borderId="7" xfId="0" applyFill="1" applyBorder="1" applyAlignment="1">
      <alignment horizontal="center" vertical="center" wrapText="1"/>
    </xf>
    <xf numFmtId="0" fontId="73" fillId="4" borderId="7" xfId="0" applyFont="1" applyFill="1" applyBorder="1" applyAlignment="1">
      <alignment horizontal="center" vertical="center" wrapText="1"/>
    </xf>
    <xf numFmtId="0" fontId="79" fillId="0" borderId="7" xfId="0" applyFont="1" applyBorder="1" applyAlignment="1">
      <alignment horizontal="center"/>
    </xf>
    <xf numFmtId="0" fontId="73" fillId="7" borderId="7" xfId="0" applyFont="1" applyFill="1" applyBorder="1" applyAlignment="1">
      <alignment horizontal="center" vertical="center" wrapText="1"/>
    </xf>
    <xf numFmtId="0" fontId="73" fillId="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73" fillId="6" borderId="7" xfId="0" applyFont="1" applyFill="1" applyBorder="1" applyAlignment="1">
      <alignment horizontal="center" vertical="center" wrapText="1"/>
    </xf>
    <xf numFmtId="0" fontId="73" fillId="5" borderId="79" xfId="0" applyFont="1" applyFill="1" applyBorder="1" applyAlignment="1">
      <alignment horizontal="justify" vertical="center" wrapText="1"/>
    </xf>
    <xf numFmtId="0" fontId="73" fillId="0" borderId="79" xfId="0" applyFont="1" applyBorder="1" applyAlignment="1">
      <alignment horizontal="justify" vertical="center" wrapText="1"/>
    </xf>
    <xf numFmtId="0" fontId="73" fillId="5" borderId="3" xfId="0" applyFont="1" applyFill="1" applyBorder="1" applyAlignment="1">
      <alignment horizontal="justify" vertical="center" wrapText="1"/>
    </xf>
    <xf numFmtId="0" fontId="73" fillId="4" borderId="79" xfId="0" applyFont="1" applyFill="1" applyBorder="1" applyAlignment="1">
      <alignment horizontal="justify" vertical="center" wrapText="1"/>
    </xf>
    <xf numFmtId="0" fontId="73" fillId="0" borderId="3" xfId="0" applyFont="1" applyBorder="1" applyAlignment="1">
      <alignment horizontal="justify" vertical="center" wrapText="1"/>
    </xf>
    <xf numFmtId="0" fontId="73" fillId="7" borderId="79" xfId="0" applyFont="1" applyFill="1" applyBorder="1" applyAlignment="1">
      <alignment horizontal="justify" vertical="center" wrapText="1"/>
    </xf>
    <xf numFmtId="0" fontId="73" fillId="6" borderId="79" xfId="0" applyFont="1" applyFill="1" applyBorder="1" applyAlignment="1">
      <alignment horizontal="justify" vertical="center" wrapText="1"/>
    </xf>
    <xf numFmtId="0" fontId="73" fillId="6" borderId="3" xfId="0" applyFont="1" applyFill="1" applyBorder="1" applyAlignment="1">
      <alignment horizontal="justify" vertical="center" wrapText="1"/>
    </xf>
    <xf numFmtId="0" fontId="0" fillId="15" borderId="7" xfId="0" applyFill="1" applyBorder="1" applyAlignment="1">
      <alignment horizontal="center" vertical="center" wrapText="1"/>
    </xf>
    <xf numFmtId="0" fontId="0" fillId="15" borderId="69" xfId="0" applyFill="1" applyBorder="1"/>
    <xf numFmtId="0" fontId="38" fillId="7" borderId="69" xfId="0" applyFont="1" applyFill="1" applyBorder="1" applyAlignment="1">
      <alignment horizontal="center"/>
    </xf>
    <xf numFmtId="0" fontId="0" fillId="0" borderId="0" xfId="0" quotePrefix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7" xfId="0" applyBorder="1" applyAlignment="1">
      <alignment horizontal="center"/>
    </xf>
    <xf numFmtId="168" fontId="0" fillId="13" borderId="7" xfId="0" applyNumberFormat="1" applyFill="1" applyBorder="1"/>
    <xf numFmtId="165" fontId="0" fillId="0" borderId="0" xfId="0" applyNumberFormat="1" applyAlignment="1">
      <alignment horizontal="center"/>
    </xf>
    <xf numFmtId="165" fontId="0" fillId="13" borderId="0" xfId="0" applyNumberFormat="1" applyFill="1" applyAlignment="1">
      <alignment horizontal="center"/>
    </xf>
    <xf numFmtId="0" fontId="0" fillId="0" borderId="0" xfId="0"/>
    <xf numFmtId="0" fontId="1" fillId="0" borderId="77" xfId="0" applyFont="1" applyBorder="1" applyAlignment="1">
      <alignment horizontal="justify" vertical="center" wrapText="1"/>
    </xf>
    <xf numFmtId="0" fontId="1" fillId="0" borderId="50" xfId="0" applyFont="1" applyBorder="1" applyAlignment="1">
      <alignment horizontal="center" vertical="center" wrapText="1"/>
    </xf>
    <xf numFmtId="0" fontId="72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justify" vertical="center" wrapText="1"/>
    </xf>
    <xf numFmtId="0" fontId="72" fillId="0" borderId="79" xfId="0" applyFont="1" applyBorder="1" applyAlignment="1">
      <alignment horizontal="center" vertical="center" wrapText="1"/>
    </xf>
    <xf numFmtId="0" fontId="72" fillId="0" borderId="3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justify" vertical="center" wrapText="1"/>
    </xf>
    <xf numFmtId="0" fontId="7" fillId="0" borderId="3" xfId="0" applyFont="1" applyBorder="1" applyAlignment="1">
      <alignment horizontal="justify" vertical="center" wrapText="1"/>
    </xf>
    <xf numFmtId="0" fontId="7" fillId="0" borderId="4" xfId="0" applyFont="1" applyBorder="1" applyAlignment="1">
      <alignment horizontal="justify" vertical="center" wrapText="1"/>
    </xf>
    <xf numFmtId="0" fontId="7" fillId="0" borderId="79" xfId="0" applyFont="1" applyBorder="1" applyAlignment="1">
      <alignment horizontal="justify" vertical="center" wrapText="1"/>
    </xf>
    <xf numFmtId="0" fontId="18" fillId="0" borderId="3" xfId="0" applyFont="1" applyBorder="1" applyAlignment="1">
      <alignment horizontal="justify" vertical="center" wrapText="1"/>
    </xf>
    <xf numFmtId="0" fontId="0" fillId="0" borderId="0" xfId="0" applyAlignment="1">
      <alignment horizontal="center"/>
    </xf>
    <xf numFmtId="0" fontId="74" fillId="0" borderId="3" xfId="0" applyFont="1" applyBorder="1" applyAlignment="1">
      <alignment horizontal="justify" vertical="center" wrapText="1"/>
    </xf>
    <xf numFmtId="0" fontId="74" fillId="0" borderId="3" xfId="0" applyFont="1" applyBorder="1" applyAlignment="1">
      <alignment horizontal="center" vertical="center" wrapText="1"/>
    </xf>
    <xf numFmtId="0" fontId="74" fillId="0" borderId="4" xfId="0" applyFont="1" applyBorder="1" applyAlignment="1">
      <alignment horizontal="justify" vertical="center" wrapText="1"/>
    </xf>
    <xf numFmtId="0" fontId="0" fillId="2" borderId="0" xfId="0" applyFill="1"/>
    <xf numFmtId="0" fontId="7" fillId="0" borderId="69" xfId="0" applyFont="1" applyBorder="1" applyAlignment="1">
      <alignment horizontal="center" vertical="center" wrapText="1"/>
    </xf>
    <xf numFmtId="0" fontId="64" fillId="0" borderId="69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22" fillId="14" borderId="0" xfId="0" applyFont="1" applyFill="1"/>
    <xf numFmtId="0" fontId="14" fillId="0" borderId="83" xfId="0" applyFont="1" applyBorder="1" applyAlignment="1">
      <alignment horizontal="center" vertical="center" wrapText="1"/>
    </xf>
    <xf numFmtId="0" fontId="80" fillId="0" borderId="0" xfId="0" applyFont="1" applyAlignment="1">
      <alignment horizontal="center" vertical="center" wrapText="1"/>
    </xf>
    <xf numFmtId="0" fontId="6" fillId="0" borderId="83" xfId="0" applyFont="1" applyBorder="1" applyAlignment="1">
      <alignment horizontal="center" vertical="center" wrapText="1"/>
    </xf>
    <xf numFmtId="0" fontId="80" fillId="0" borderId="83" xfId="0" applyFont="1" applyBorder="1" applyAlignment="1">
      <alignment horizontal="center" vertical="center" wrapText="1"/>
    </xf>
    <xf numFmtId="0" fontId="9" fillId="2" borderId="0" xfId="0" applyFont="1" applyFill="1" applyAlignment="1">
      <alignment vertical="top"/>
    </xf>
    <xf numFmtId="0" fontId="0" fillId="2" borderId="0" xfId="0" applyFill="1" applyAlignment="1">
      <alignment vertical="top"/>
    </xf>
    <xf numFmtId="0" fontId="0" fillId="0" borderId="0" xfId="0" quotePrefix="1" applyBorder="1"/>
    <xf numFmtId="0" fontId="70" fillId="0" borderId="0" xfId="0" applyFont="1" applyFill="1" applyBorder="1"/>
    <xf numFmtId="168" fontId="0" fillId="0" borderId="0" xfId="0" applyNumberFormat="1" applyBorder="1"/>
    <xf numFmtId="0" fontId="61" fillId="0" borderId="0" xfId="0" applyFont="1" applyBorder="1" applyAlignment="1">
      <alignment horizontal="center" vertical="center" wrapText="1"/>
    </xf>
    <xf numFmtId="167" fontId="61" fillId="0" borderId="0" xfId="0" applyNumberFormat="1" applyFont="1" applyBorder="1" applyAlignment="1">
      <alignment horizontal="center" vertical="center" wrapText="1"/>
    </xf>
    <xf numFmtId="0" fontId="61" fillId="0" borderId="0" xfId="0" applyFont="1" applyBorder="1" applyAlignment="1">
      <alignment vertical="center" wrapText="1"/>
    </xf>
    <xf numFmtId="168" fontId="0" fillId="0" borderId="0" xfId="0" applyNumberFormat="1" applyFill="1"/>
    <xf numFmtId="165" fontId="0" fillId="4" borderId="0" xfId="0" applyNumberFormat="1" applyFill="1" applyBorder="1" applyAlignment="1">
      <alignment horizontal="right"/>
    </xf>
    <xf numFmtId="0" fontId="51" fillId="4" borderId="7" xfId="0" applyFont="1" applyFill="1" applyBorder="1" applyAlignment="1">
      <alignment horizontal="center" vertical="center"/>
    </xf>
    <xf numFmtId="0" fontId="0" fillId="0" borderId="41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46" xfId="0" applyBorder="1" applyAlignment="1">
      <alignment horizontal="center"/>
    </xf>
    <xf numFmtId="0" fontId="1" fillId="0" borderId="33" xfId="0" applyFont="1" applyBorder="1" applyAlignment="1">
      <alignment horizontal="justify" vertical="center" wrapText="1"/>
    </xf>
    <xf numFmtId="0" fontId="1" fillId="0" borderId="1" xfId="0" applyFont="1" applyBorder="1" applyAlignment="1">
      <alignment horizontal="justify" vertical="center" wrapText="1"/>
    </xf>
    <xf numFmtId="0" fontId="12" fillId="0" borderId="27" xfId="0" applyFont="1" applyBorder="1" applyAlignment="1">
      <alignment horizontal="left" vertical="center"/>
    </xf>
    <xf numFmtId="0" fontId="1" fillId="0" borderId="32" xfId="0" applyFont="1" applyBorder="1" applyAlignment="1">
      <alignment horizontal="justify" vertical="center" wrapText="1"/>
    </xf>
    <xf numFmtId="0" fontId="14" fillId="0" borderId="33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20" fillId="0" borderId="33" xfId="0" applyFont="1" applyBorder="1" applyAlignment="1">
      <alignment horizontal="justify" vertical="center" wrapText="1"/>
    </xf>
    <xf numFmtId="0" fontId="20" fillId="0" borderId="1" xfId="0" applyFont="1" applyBorder="1" applyAlignment="1">
      <alignment horizontal="justify" vertical="center" wrapText="1"/>
    </xf>
    <xf numFmtId="0" fontId="7" fillId="0" borderId="33" xfId="0" applyFont="1" applyFill="1" applyBorder="1" applyAlignment="1">
      <alignment horizontal="justify" vertical="center" wrapText="1"/>
    </xf>
    <xf numFmtId="0" fontId="7" fillId="0" borderId="1" xfId="0" applyFont="1" applyFill="1" applyBorder="1" applyAlignment="1">
      <alignment horizontal="justify" vertical="center" wrapText="1"/>
    </xf>
    <xf numFmtId="0" fontId="7" fillId="0" borderId="33" xfId="0" applyFont="1" applyBorder="1" applyAlignment="1">
      <alignment horizontal="justify" vertical="center" wrapText="1"/>
    </xf>
    <xf numFmtId="0" fontId="7" fillId="0" borderId="1" xfId="0" applyFont="1" applyBorder="1" applyAlignment="1">
      <alignment horizontal="justify" vertical="center" wrapText="1"/>
    </xf>
    <xf numFmtId="0" fontId="7" fillId="0" borderId="19" xfId="0" applyFont="1" applyBorder="1" applyAlignment="1">
      <alignment horizontal="justify" vertical="center" wrapText="1"/>
    </xf>
    <xf numFmtId="0" fontId="14" fillId="0" borderId="32" xfId="0" applyFont="1" applyBorder="1" applyAlignment="1">
      <alignment horizontal="center" vertical="center" wrapText="1"/>
    </xf>
    <xf numFmtId="0" fontId="7" fillId="0" borderId="34" xfId="0" applyFont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 wrapText="1"/>
    </xf>
    <xf numFmtId="0" fontId="7" fillId="0" borderId="37" xfId="0" applyFont="1" applyBorder="1" applyAlignment="1">
      <alignment horizontal="center" vertical="center" wrapText="1"/>
    </xf>
    <xf numFmtId="0" fontId="7" fillId="0" borderId="35" xfId="0" applyFont="1" applyBorder="1" applyAlignment="1">
      <alignment horizontal="center" vertical="center" wrapText="1"/>
    </xf>
    <xf numFmtId="0" fontId="12" fillId="0" borderId="28" xfId="0" applyFont="1" applyBorder="1" applyAlignment="1">
      <alignment horizontal="center" vertical="center" wrapText="1"/>
    </xf>
    <xf numFmtId="0" fontId="12" fillId="0" borderId="39" xfId="0" applyFont="1" applyBorder="1" applyAlignment="1">
      <alignment horizontal="center" vertical="center" wrapText="1"/>
    </xf>
    <xf numFmtId="0" fontId="12" fillId="0" borderId="30" xfId="0" applyFont="1" applyBorder="1" applyAlignment="1">
      <alignment horizontal="center" vertical="center" wrapText="1"/>
    </xf>
    <xf numFmtId="0" fontId="23" fillId="5" borderId="33" xfId="0" applyFont="1" applyFill="1" applyBorder="1" applyAlignment="1">
      <alignment horizontal="justify" vertical="center" wrapText="1"/>
    </xf>
    <xf numFmtId="0" fontId="23" fillId="5" borderId="1" xfId="0" applyFont="1" applyFill="1" applyBorder="1" applyAlignment="1">
      <alignment horizontal="justify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23" fillId="7" borderId="33" xfId="0" applyFont="1" applyFill="1" applyBorder="1" applyAlignment="1">
      <alignment horizontal="justify" vertical="center" wrapText="1"/>
    </xf>
    <xf numFmtId="0" fontId="23" fillId="7" borderId="1" xfId="0" applyFont="1" applyFill="1" applyBorder="1" applyAlignment="1">
      <alignment horizontal="justify" vertical="center" wrapText="1"/>
    </xf>
    <xf numFmtId="0" fontId="7" fillId="0" borderId="3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justify" vertical="center" wrapText="1"/>
    </xf>
    <xf numFmtId="0" fontId="7" fillId="0" borderId="30" xfId="0" applyFont="1" applyBorder="1" applyAlignment="1">
      <alignment horizontal="justify" vertical="center" wrapText="1"/>
    </xf>
    <xf numFmtId="0" fontId="24" fillId="5" borderId="33" xfId="0" applyFont="1" applyFill="1" applyBorder="1" applyAlignment="1">
      <alignment horizontal="justify" vertical="center" wrapText="1"/>
    </xf>
    <xf numFmtId="0" fontId="24" fillId="5" borderId="1" xfId="0" applyFont="1" applyFill="1" applyBorder="1" applyAlignment="1">
      <alignment horizontal="justify" vertical="center" wrapText="1"/>
    </xf>
    <xf numFmtId="0" fontId="7" fillId="0" borderId="29" xfId="0" applyFont="1" applyBorder="1" applyAlignment="1">
      <alignment horizontal="justify" vertical="center" wrapText="1"/>
    </xf>
    <xf numFmtId="0" fontId="20" fillId="0" borderId="31" xfId="0" applyFont="1" applyBorder="1" applyAlignment="1">
      <alignment horizontal="justify" vertical="center" wrapText="1"/>
    </xf>
    <xf numFmtId="0" fontId="20" fillId="0" borderId="30" xfId="0" applyFont="1" applyBorder="1" applyAlignment="1">
      <alignment horizontal="justify" vertical="center" wrapText="1"/>
    </xf>
    <xf numFmtId="0" fontId="23" fillId="4" borderId="31" xfId="0" applyFont="1" applyFill="1" applyBorder="1" applyAlignment="1">
      <alignment horizontal="justify" vertical="center" wrapText="1"/>
    </xf>
    <xf numFmtId="0" fontId="23" fillId="4" borderId="30" xfId="0" applyFont="1" applyFill="1" applyBorder="1" applyAlignment="1">
      <alignment horizontal="justify" vertical="center" wrapText="1"/>
    </xf>
    <xf numFmtId="0" fontId="6" fillId="0" borderId="34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32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14" fillId="0" borderId="38" xfId="0" applyFont="1" applyBorder="1" applyAlignment="1">
      <alignment horizontal="center" vertical="center" wrapText="1"/>
    </xf>
    <xf numFmtId="0" fontId="14" fillId="0" borderId="23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justify" vertical="center" wrapText="1"/>
    </xf>
    <xf numFmtId="0" fontId="12" fillId="0" borderId="14" xfId="0" applyFont="1" applyBorder="1" applyAlignment="1">
      <alignment horizontal="justify" vertical="center" wrapText="1"/>
    </xf>
    <xf numFmtId="0" fontId="12" fillId="0" borderId="27" xfId="0" applyFont="1" applyBorder="1" applyAlignment="1">
      <alignment horizontal="justify" vertical="center" wrapText="1"/>
    </xf>
    <xf numFmtId="0" fontId="12" fillId="0" borderId="13" xfId="0" applyFont="1" applyBorder="1" applyAlignment="1">
      <alignment horizontal="justify" vertical="center" wrapText="1"/>
    </xf>
    <xf numFmtId="0" fontId="17" fillId="0" borderId="34" xfId="0" applyFont="1" applyBorder="1" applyAlignment="1">
      <alignment horizontal="center" vertical="center" wrapText="1"/>
    </xf>
    <xf numFmtId="0" fontId="17" fillId="0" borderId="36" xfId="0" applyFont="1" applyBorder="1" applyAlignment="1">
      <alignment horizontal="center" vertical="center" wrapText="1"/>
    </xf>
    <xf numFmtId="0" fontId="17" fillId="0" borderId="37" xfId="0" applyFont="1" applyBorder="1" applyAlignment="1">
      <alignment horizontal="justify" vertical="center" wrapText="1"/>
    </xf>
    <xf numFmtId="0" fontId="17" fillId="0" borderId="36" xfId="0" applyFont="1" applyBorder="1" applyAlignment="1">
      <alignment horizontal="justify" vertical="center" wrapText="1"/>
    </xf>
    <xf numFmtId="0" fontId="17" fillId="0" borderId="46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40" xfId="0" applyFont="1" applyBorder="1" applyAlignment="1">
      <alignment horizontal="justify" vertical="center" wrapText="1"/>
    </xf>
    <xf numFmtId="0" fontId="17" fillId="0" borderId="5" xfId="0" applyFont="1" applyBorder="1" applyAlignment="1">
      <alignment horizontal="justify" vertical="center" wrapText="1"/>
    </xf>
    <xf numFmtId="0" fontId="17" fillId="0" borderId="1" xfId="0" applyFont="1" applyBorder="1" applyAlignment="1">
      <alignment horizontal="justify" vertical="center" wrapText="1"/>
    </xf>
    <xf numFmtId="0" fontId="17" fillId="0" borderId="32" xfId="0" applyFont="1" applyBorder="1" applyAlignment="1">
      <alignment horizontal="center" vertical="center" wrapText="1"/>
    </xf>
    <xf numFmtId="0" fontId="17" fillId="0" borderId="33" xfId="0" applyFont="1" applyBorder="1" applyAlignment="1">
      <alignment horizontal="justify" vertical="center" wrapText="1"/>
    </xf>
    <xf numFmtId="0" fontId="17" fillId="0" borderId="43" xfId="0" applyFont="1" applyBorder="1" applyAlignment="1">
      <alignment horizontal="center" vertical="center" wrapText="1"/>
    </xf>
    <xf numFmtId="0" fontId="17" fillId="0" borderId="44" xfId="0" applyFont="1" applyBorder="1" applyAlignment="1">
      <alignment horizontal="center" vertical="center" wrapText="1"/>
    </xf>
    <xf numFmtId="0" fontId="6" fillId="4" borderId="32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6" fillId="5" borderId="32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6" fillId="6" borderId="32" xfId="0" applyFont="1" applyFill="1" applyBorder="1" applyAlignment="1">
      <alignment horizontal="center" vertical="center" wrapText="1"/>
    </xf>
    <xf numFmtId="0" fontId="6" fillId="6" borderId="5" xfId="0" applyFont="1" applyFill="1" applyBorder="1" applyAlignment="1">
      <alignment horizontal="center" vertical="center" wrapText="1"/>
    </xf>
    <xf numFmtId="0" fontId="6" fillId="7" borderId="32" xfId="0" applyFont="1" applyFill="1" applyBorder="1" applyAlignment="1">
      <alignment horizontal="center" vertical="center" wrapText="1"/>
    </xf>
    <xf numFmtId="0" fontId="6" fillId="7" borderId="5" xfId="0" applyFont="1" applyFill="1" applyBorder="1" applyAlignment="1">
      <alignment horizontal="center" vertical="center" wrapText="1"/>
    </xf>
    <xf numFmtId="0" fontId="18" fillId="0" borderId="32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33" xfId="0" applyFont="1" applyBorder="1" applyAlignment="1">
      <alignment horizontal="center" vertical="center" wrapText="1"/>
    </xf>
    <xf numFmtId="0" fontId="18" fillId="0" borderId="33" xfId="0" applyFont="1" applyBorder="1" applyAlignment="1">
      <alignment horizontal="justify" vertical="center" wrapText="1"/>
    </xf>
    <xf numFmtId="0" fontId="18" fillId="0" borderId="1" xfId="0" applyFont="1" applyBorder="1" applyAlignment="1">
      <alignment horizontal="justify" vertical="center" wrapText="1"/>
    </xf>
    <xf numFmtId="0" fontId="17" fillId="0" borderId="39" xfId="0" applyFont="1" applyBorder="1" applyAlignment="1">
      <alignment horizontal="justify" vertical="center" wrapText="1"/>
    </xf>
    <xf numFmtId="0" fontId="17" fillId="0" borderId="30" xfId="0" applyFont="1" applyBorder="1" applyAlignment="1">
      <alignment horizontal="justify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29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17" fillId="0" borderId="28" xfId="0" applyFont="1" applyBorder="1" applyAlignment="1">
      <alignment horizontal="center" vertical="center" wrapText="1"/>
    </xf>
    <xf numFmtId="0" fontId="17" fillId="0" borderId="30" xfId="0" applyFont="1" applyBorder="1" applyAlignment="1">
      <alignment horizontal="center" vertical="center" wrapText="1"/>
    </xf>
    <xf numFmtId="0" fontId="17" fillId="0" borderId="31" xfId="0" applyFont="1" applyBorder="1" applyAlignment="1">
      <alignment horizontal="justify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left" vertical="center" wrapText="1"/>
    </xf>
    <xf numFmtId="0" fontId="14" fillId="0" borderId="10" xfId="0" applyFont="1" applyBorder="1" applyAlignment="1">
      <alignment horizontal="left" vertical="center" wrapText="1"/>
    </xf>
    <xf numFmtId="0" fontId="14" fillId="0" borderId="11" xfId="0" applyFont="1" applyBorder="1" applyAlignment="1">
      <alignment horizontal="left" vertical="center" wrapText="1"/>
    </xf>
    <xf numFmtId="0" fontId="14" fillId="0" borderId="12" xfId="0" applyFont="1" applyBorder="1" applyAlignment="1">
      <alignment horizontal="justify" vertical="center" wrapText="1"/>
    </xf>
    <xf numFmtId="0" fontId="14" fillId="0" borderId="14" xfId="0" applyFont="1" applyBorder="1" applyAlignment="1">
      <alignment horizontal="justify" vertical="center" wrapText="1"/>
    </xf>
    <xf numFmtId="0" fontId="14" fillId="0" borderId="13" xfId="0" applyFont="1" applyBorder="1" applyAlignment="1">
      <alignment horizontal="justify" vertical="center" wrapText="1"/>
    </xf>
    <xf numFmtId="0" fontId="14" fillId="0" borderId="12" xfId="0" applyFont="1" applyBorder="1" applyAlignment="1">
      <alignment horizontal="left" vertical="center" wrapText="1"/>
    </xf>
    <xf numFmtId="0" fontId="14" fillId="0" borderId="14" xfId="0" applyFont="1" applyBorder="1" applyAlignment="1">
      <alignment horizontal="left" vertical="center" wrapText="1"/>
    </xf>
    <xf numFmtId="0" fontId="14" fillId="0" borderId="13" xfId="0" applyFont="1" applyBorder="1" applyAlignment="1">
      <alignment horizontal="left" vertical="center" wrapText="1"/>
    </xf>
    <xf numFmtId="0" fontId="6" fillId="3" borderId="32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0" borderId="28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22" fillId="8" borderId="7" xfId="0" applyFont="1" applyFill="1" applyBorder="1" applyAlignment="1">
      <alignment horizontal="center" vertical="center"/>
    </xf>
    <xf numFmtId="0" fontId="22" fillId="10" borderId="7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32" fillId="0" borderId="7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0" fontId="22" fillId="9" borderId="7" xfId="0" applyFont="1" applyFill="1" applyBorder="1" applyAlignment="1">
      <alignment horizontal="center" vertical="center"/>
    </xf>
    <xf numFmtId="0" fontId="21" fillId="0" borderId="7" xfId="0" applyFont="1" applyBorder="1" applyAlignment="1">
      <alignment horizontal="center" vertical="center"/>
    </xf>
    <xf numFmtId="0" fontId="0" fillId="0" borderId="0" xfId="0" applyAlignment="1">
      <alignment horizontal="left" wrapText="1"/>
    </xf>
    <xf numFmtId="2" fontId="0" fillId="0" borderId="7" xfId="0" applyNumberFormat="1" applyFill="1" applyBorder="1" applyAlignment="1">
      <alignment horizontal="center" vertical="center" wrapText="1"/>
    </xf>
    <xf numFmtId="0" fontId="27" fillId="0" borderId="0" xfId="0" applyFont="1" applyAlignment="1">
      <alignment horizontal="right" vertical="center"/>
    </xf>
    <xf numFmtId="0" fontId="27" fillId="0" borderId="0" xfId="0" applyFont="1" applyAlignment="1">
      <alignment horizontal="right"/>
    </xf>
    <xf numFmtId="0" fontId="53" fillId="0" borderId="7" xfId="0" applyFont="1" applyBorder="1" applyAlignment="1">
      <alignment horizontal="center"/>
    </xf>
    <xf numFmtId="0" fontId="51" fillId="0" borderId="7" xfId="0" applyFont="1" applyBorder="1" applyAlignment="1">
      <alignment horizontal="center"/>
    </xf>
    <xf numFmtId="0" fontId="0" fillId="0" borderId="0" xfId="0" applyAlignment="1">
      <alignment horizontal="right" vertical="center"/>
    </xf>
    <xf numFmtId="0" fontId="47" fillId="0" borderId="12" xfId="0" applyFont="1" applyBorder="1" applyAlignment="1">
      <alignment horizontal="center" vertical="center" wrapText="1"/>
    </xf>
    <xf numFmtId="0" fontId="47" fillId="0" borderId="14" xfId="0" applyFont="1" applyBorder="1" applyAlignment="1">
      <alignment horizontal="center" vertical="center" wrapText="1"/>
    </xf>
    <xf numFmtId="0" fontId="47" fillId="0" borderId="13" xfId="0" applyFont="1" applyBorder="1" applyAlignment="1">
      <alignment horizontal="center" vertical="center" wrapText="1"/>
    </xf>
    <xf numFmtId="0" fontId="21" fillId="0" borderId="47" xfId="0" applyFont="1" applyBorder="1" applyAlignment="1">
      <alignment horizontal="right"/>
    </xf>
    <xf numFmtId="0" fontId="21" fillId="0" borderId="54" xfId="0" applyFont="1" applyBorder="1" applyAlignment="1">
      <alignment horizontal="right"/>
    </xf>
    <xf numFmtId="0" fontId="21" fillId="0" borderId="47" xfId="0" applyFont="1" applyFill="1" applyBorder="1" applyAlignment="1">
      <alignment horizontal="right"/>
    </xf>
    <xf numFmtId="0" fontId="21" fillId="0" borderId="54" xfId="0" applyFont="1" applyFill="1" applyBorder="1" applyAlignment="1">
      <alignment horizontal="right"/>
    </xf>
    <xf numFmtId="0" fontId="0" fillId="0" borderId="0" xfId="0" applyAlignment="1">
      <alignment horizontal="center" wrapText="1"/>
    </xf>
    <xf numFmtId="0" fontId="48" fillId="0" borderId="52" xfId="0" applyFont="1" applyBorder="1" applyAlignment="1">
      <alignment horizontal="center" vertical="center" wrapText="1"/>
    </xf>
    <xf numFmtId="0" fontId="48" fillId="0" borderId="53" xfId="0" applyFont="1" applyBorder="1" applyAlignment="1">
      <alignment horizontal="center" vertical="center" wrapText="1"/>
    </xf>
    <xf numFmtId="0" fontId="48" fillId="0" borderId="12" xfId="0" applyFont="1" applyBorder="1" applyAlignment="1">
      <alignment horizontal="center" vertical="center" wrapText="1"/>
    </xf>
    <xf numFmtId="0" fontId="48" fillId="0" borderId="14" xfId="0" applyFont="1" applyBorder="1" applyAlignment="1">
      <alignment horizontal="center" vertical="center" wrapText="1"/>
    </xf>
    <xf numFmtId="0" fontId="48" fillId="0" borderId="13" xfId="0" applyFont="1" applyBorder="1" applyAlignment="1">
      <alignment horizontal="center" vertical="center" wrapText="1"/>
    </xf>
    <xf numFmtId="0" fontId="48" fillId="0" borderId="49" xfId="0" applyFont="1" applyBorder="1" applyAlignment="1">
      <alignment horizontal="center" vertical="center" wrapText="1"/>
    </xf>
    <xf numFmtId="0" fontId="48" fillId="0" borderId="50" xfId="0" applyFont="1" applyBorder="1" applyAlignment="1">
      <alignment horizontal="center" vertical="center" wrapText="1"/>
    </xf>
    <xf numFmtId="0" fontId="48" fillId="0" borderId="31" xfId="0" applyFont="1" applyBorder="1" applyAlignment="1">
      <alignment horizontal="center" vertical="center" wrapText="1"/>
    </xf>
    <xf numFmtId="0" fontId="48" fillId="0" borderId="39" xfId="0" applyFont="1" applyBorder="1" applyAlignment="1">
      <alignment horizontal="center" vertical="center" wrapText="1"/>
    </xf>
    <xf numFmtId="0" fontId="48" fillId="0" borderId="30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wrapText="1"/>
    </xf>
    <xf numFmtId="0" fontId="12" fillId="0" borderId="33" xfId="0" applyFont="1" applyBorder="1" applyAlignment="1">
      <alignment horizontal="right" vertical="center" wrapText="1"/>
    </xf>
    <xf numFmtId="0" fontId="12" fillId="0" borderId="1" xfId="0" applyFont="1" applyBorder="1" applyAlignment="1">
      <alignment horizontal="right" vertical="center" wrapText="1"/>
    </xf>
    <xf numFmtId="0" fontId="7" fillId="0" borderId="5" xfId="0" applyFont="1" applyBorder="1" applyAlignment="1">
      <alignment horizontal="justify" vertical="center" wrapText="1"/>
    </xf>
    <xf numFmtId="0" fontId="12" fillId="0" borderId="5" xfId="0" applyFont="1" applyBorder="1" applyAlignment="1">
      <alignment horizontal="right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77" xfId="0" applyFont="1" applyBorder="1" applyAlignment="1">
      <alignment horizontal="justify" vertical="center" wrapText="1"/>
    </xf>
    <xf numFmtId="0" fontId="1" fillId="0" borderId="50" xfId="0" applyFont="1" applyBorder="1" applyAlignment="1">
      <alignment horizontal="justify" vertical="center" wrapText="1"/>
    </xf>
    <xf numFmtId="0" fontId="39" fillId="0" borderId="77" xfId="0" applyFont="1" applyBorder="1" applyAlignment="1">
      <alignment horizontal="justify" vertical="center" wrapText="1"/>
    </xf>
    <xf numFmtId="0" fontId="39" fillId="0" borderId="50" xfId="0" applyFont="1" applyBorder="1" applyAlignment="1">
      <alignment horizontal="justify" vertical="center" wrapText="1"/>
    </xf>
    <xf numFmtId="0" fontId="1" fillId="0" borderId="80" xfId="0" applyFont="1" applyBorder="1" applyAlignment="1">
      <alignment horizontal="justify" vertical="center" wrapText="1"/>
    </xf>
    <xf numFmtId="0" fontId="1" fillId="0" borderId="81" xfId="0" applyFont="1" applyBorder="1" applyAlignment="1">
      <alignment horizontal="justify" vertical="center" wrapText="1"/>
    </xf>
    <xf numFmtId="0" fontId="72" fillId="0" borderId="78" xfId="0" applyFont="1" applyBorder="1" applyAlignment="1">
      <alignment horizontal="center" vertical="center" wrapText="1"/>
    </xf>
    <xf numFmtId="0" fontId="72" fillId="0" borderId="1" xfId="0" applyFont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6" fillId="0" borderId="78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80" fillId="0" borderId="33" xfId="0" applyFont="1" applyBorder="1" applyAlignment="1">
      <alignment horizontal="center" vertical="center" wrapText="1"/>
    </xf>
    <xf numFmtId="0" fontId="80" fillId="0" borderId="5" xfId="0" applyFont="1" applyBorder="1" applyAlignment="1">
      <alignment horizontal="center" vertical="center" wrapText="1"/>
    </xf>
    <xf numFmtId="0" fontId="80" fillId="0" borderId="1" xfId="0" applyFont="1" applyBorder="1" applyAlignment="1">
      <alignment horizontal="center" vertical="center" wrapText="1"/>
    </xf>
    <xf numFmtId="0" fontId="6" fillId="0" borderId="77" xfId="0" applyFont="1" applyBorder="1" applyAlignment="1">
      <alignment horizontal="center" vertical="center" wrapText="1"/>
    </xf>
    <xf numFmtId="0" fontId="6" fillId="0" borderId="50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1" fillId="17" borderId="83" xfId="0" applyFont="1" applyFill="1" applyBorder="1" applyAlignment="1">
      <alignment vertical="top" wrapText="1"/>
    </xf>
    <xf numFmtId="0" fontId="6" fillId="0" borderId="84" xfId="0" applyFont="1" applyBorder="1" applyAlignment="1">
      <alignment horizontal="justify" vertical="center" wrapText="1"/>
    </xf>
    <xf numFmtId="0" fontId="84" fillId="0" borderId="0" xfId="0" applyFont="1" applyAlignment="1">
      <alignment horizontal="left" vertical="center"/>
    </xf>
    <xf numFmtId="0" fontId="84" fillId="0" borderId="0" xfId="0" applyFont="1" applyAlignment="1">
      <alignment horizontal="left" vertical="center" wrapText="1"/>
    </xf>
    <xf numFmtId="0" fontId="53" fillId="0" borderId="0" xfId="0" applyFont="1" applyBorder="1" applyAlignment="1">
      <alignment horizontal="right" wrapText="1"/>
    </xf>
    <xf numFmtId="0" fontId="14" fillId="16" borderId="0" xfId="0" applyFont="1" applyFill="1" applyAlignment="1">
      <alignment horizontal="justify" vertical="center" wrapText="1"/>
    </xf>
    <xf numFmtId="0" fontId="1" fillId="17" borderId="0" xfId="0" applyFont="1" applyFill="1" applyAlignment="1">
      <alignment horizontal="center" vertical="center" wrapText="1"/>
    </xf>
    <xf numFmtId="0" fontId="1" fillId="17" borderId="0" xfId="0" applyFont="1" applyFill="1" applyAlignment="1">
      <alignment horizontal="justify" vertical="center" wrapText="1"/>
    </xf>
    <xf numFmtId="0" fontId="14" fillId="16" borderId="83" xfId="0" applyFont="1" applyFill="1" applyBorder="1" applyAlignment="1">
      <alignment horizontal="justify" vertical="center" wrapText="1"/>
    </xf>
    <xf numFmtId="0" fontId="12" fillId="0" borderId="84" xfId="0" applyFont="1" applyBorder="1" applyAlignment="1">
      <alignment horizontal="left" vertical="center" wrapText="1"/>
    </xf>
    <xf numFmtId="0" fontId="12" fillId="0" borderId="0" xfId="0" applyFont="1" applyBorder="1" applyAlignment="1">
      <alignment horizontal="left" vertical="center" wrapText="1"/>
    </xf>
    <xf numFmtId="0" fontId="12" fillId="0" borderId="83" xfId="0" applyFont="1" applyBorder="1" applyAlignment="1">
      <alignment horizontal="left" vertical="center" wrapText="1"/>
    </xf>
    <xf numFmtId="0" fontId="14" fillId="0" borderId="0" xfId="0" applyFont="1" applyAlignment="1">
      <alignment vertical="center" wrapText="1"/>
    </xf>
    <xf numFmtId="0" fontId="1" fillId="0" borderId="0" xfId="0" applyFont="1" applyAlignment="1">
      <alignment horizontal="justify" vertical="center" wrapText="1"/>
    </xf>
    <xf numFmtId="0" fontId="1" fillId="0" borderId="82" xfId="0" applyFont="1" applyBorder="1" applyAlignment="1">
      <alignment vertical="center" wrapText="1"/>
    </xf>
    <xf numFmtId="0" fontId="83" fillId="0" borderId="0" xfId="0" applyFont="1" applyAlignment="1">
      <alignment vertical="center" wrapText="1"/>
    </xf>
    <xf numFmtId="0" fontId="12" fillId="0" borderId="64" xfId="0" applyFont="1" applyBorder="1" applyAlignment="1">
      <alignment horizontal="right" vertical="center" wrapText="1"/>
    </xf>
    <xf numFmtId="0" fontId="12" fillId="0" borderId="2" xfId="0" applyFont="1" applyBorder="1" applyAlignment="1">
      <alignment horizontal="right" vertical="center" wrapText="1"/>
    </xf>
    <xf numFmtId="0" fontId="7" fillId="0" borderId="64" xfId="0" applyFont="1" applyBorder="1" applyAlignment="1">
      <alignment horizontal="justify" vertical="center" wrapText="1"/>
    </xf>
    <xf numFmtId="0" fontId="7" fillId="0" borderId="76" xfId="0" applyFont="1" applyBorder="1" applyAlignment="1">
      <alignment horizontal="justify" vertical="center" wrapText="1"/>
    </xf>
    <xf numFmtId="0" fontId="7" fillId="0" borderId="2" xfId="0" applyFont="1" applyBorder="1" applyAlignment="1">
      <alignment horizontal="justify" vertical="center" wrapText="1"/>
    </xf>
    <xf numFmtId="0" fontId="74" fillId="0" borderId="17" xfId="0" applyFont="1" applyBorder="1" applyAlignment="1">
      <alignment horizontal="justify" vertical="center" wrapText="1"/>
    </xf>
    <xf numFmtId="0" fontId="12" fillId="0" borderId="76" xfId="0" applyFont="1" applyBorder="1" applyAlignment="1">
      <alignment horizontal="right" vertical="center" wrapText="1"/>
    </xf>
    <xf numFmtId="0" fontId="0" fillId="0" borderId="0" xfId="0" applyBorder="1" applyAlignment="1">
      <alignment horizontal="left"/>
    </xf>
    <xf numFmtId="0" fontId="87" fillId="0" borderId="0" xfId="0" applyFont="1"/>
    <xf numFmtId="2" fontId="0" fillId="0" borderId="0" xfId="0" applyNumberFormat="1"/>
    <xf numFmtId="0" fontId="0" fillId="0" borderId="51" xfId="0" applyBorder="1" applyAlignment="1">
      <alignment horizontal="center"/>
    </xf>
    <xf numFmtId="164" fontId="0" fillId="0" borderId="0" xfId="0" applyNumberFormat="1" applyAlignment="1">
      <alignment horizontal="center"/>
    </xf>
    <xf numFmtId="0" fontId="48" fillId="0" borderId="3" xfId="0" applyFont="1" applyBorder="1" applyAlignment="1">
      <alignment horizontal="right" vertical="center" wrapText="1"/>
    </xf>
    <xf numFmtId="0" fontId="48" fillId="0" borderId="85" xfId="0" applyFont="1" applyBorder="1" applyAlignment="1">
      <alignment horizontal="center" vertical="center" wrapText="1"/>
    </xf>
    <xf numFmtId="0" fontId="48" fillId="0" borderId="86" xfId="0" applyFont="1" applyBorder="1" applyAlignment="1">
      <alignment horizontal="center" vertical="center" wrapText="1"/>
    </xf>
    <xf numFmtId="0" fontId="48" fillId="0" borderId="62" xfId="0" applyFont="1" applyBorder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1" fillId="0" borderId="27" xfId="0" applyFont="1" applyBorder="1" applyAlignment="1">
      <alignment horizontal="left" wrapText="1"/>
    </xf>
    <xf numFmtId="0" fontId="64" fillId="0" borderId="3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724613212627535"/>
          <c:y val="4.1714069017823284E-2"/>
          <c:w val="0.77481794674002169"/>
          <c:h val="0.76382849754702165"/>
        </c:manualLayout>
      </c:layout>
      <c:scatterChart>
        <c:scatterStyle val="lineMarker"/>
        <c:varyColors val="0"/>
        <c:ser>
          <c:idx val="0"/>
          <c:order val="0"/>
          <c:tx>
            <c:v>observados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Ex_321!$P$5:$P$21</c:f>
              <c:numCache>
                <c:formatCode>General</c:formatCode>
                <c:ptCount val="17"/>
                <c:pt idx="0">
                  <c:v>4.05</c:v>
                </c:pt>
                <c:pt idx="1">
                  <c:v>8.15</c:v>
                </c:pt>
                <c:pt idx="2">
                  <c:v>14.3</c:v>
                </c:pt>
                <c:pt idx="3">
                  <c:v>22.6</c:v>
                </c:pt>
                <c:pt idx="4">
                  <c:v>19.55</c:v>
                </c:pt>
                <c:pt idx="5">
                  <c:v>24.9</c:v>
                </c:pt>
                <c:pt idx="6">
                  <c:v>26.9</c:v>
                </c:pt>
                <c:pt idx="7">
                  <c:v>24.35</c:v>
                </c:pt>
                <c:pt idx="8">
                  <c:v>21.45</c:v>
                </c:pt>
                <c:pt idx="9">
                  <c:v>21.25</c:v>
                </c:pt>
                <c:pt idx="10">
                  <c:v>27.1</c:v>
                </c:pt>
                <c:pt idx="11">
                  <c:v>26.45</c:v>
                </c:pt>
                <c:pt idx="12">
                  <c:v>26.9</c:v>
                </c:pt>
                <c:pt idx="13">
                  <c:v>28</c:v>
                </c:pt>
                <c:pt idx="14">
                  <c:v>29.4</c:v>
                </c:pt>
                <c:pt idx="15">
                  <c:v>28.15</c:v>
                </c:pt>
                <c:pt idx="16">
                  <c:v>28.65</c:v>
                </c:pt>
              </c:numCache>
            </c:numRef>
          </c:xVal>
          <c:yVal>
            <c:numRef>
              <c:f>Ex_321!$N$5:$N$21</c:f>
              <c:numCache>
                <c:formatCode>General</c:formatCode>
                <c:ptCount val="17"/>
                <c:pt idx="0">
                  <c:v>5.5</c:v>
                </c:pt>
                <c:pt idx="1">
                  <c:v>11.5</c:v>
                </c:pt>
                <c:pt idx="2">
                  <c:v>15.5</c:v>
                </c:pt>
                <c:pt idx="3">
                  <c:v>18.5</c:v>
                </c:pt>
                <c:pt idx="4">
                  <c:v>20.5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22.5</c:v>
                </c:pt>
                <c:pt idx="9">
                  <c:v>22.5</c:v>
                </c:pt>
                <c:pt idx="10">
                  <c:v>22.5</c:v>
                </c:pt>
                <c:pt idx="11">
                  <c:v>23</c:v>
                </c:pt>
                <c:pt idx="12">
                  <c:v>23</c:v>
                </c:pt>
                <c:pt idx="13">
                  <c:v>23.3</c:v>
                </c:pt>
                <c:pt idx="14">
                  <c:v>23.5</c:v>
                </c:pt>
                <c:pt idx="15">
                  <c:v>23.5</c:v>
                </c:pt>
                <c:pt idx="16">
                  <c:v>25.5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ED7-491E-9691-8661AB3C32C1}"/>
            </c:ext>
          </c:extLst>
        </c:ser>
        <c:ser>
          <c:idx val="1"/>
          <c:order val="1"/>
          <c:tx>
            <c:v>estimados</c:v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xVal>
            <c:numRef>
              <c:f>Ex_321!$P$5:$P$21</c:f>
              <c:numCache>
                <c:formatCode>General</c:formatCode>
                <c:ptCount val="17"/>
                <c:pt idx="0">
                  <c:v>4.05</c:v>
                </c:pt>
                <c:pt idx="1">
                  <c:v>8.15</c:v>
                </c:pt>
                <c:pt idx="2">
                  <c:v>14.3</c:v>
                </c:pt>
                <c:pt idx="3">
                  <c:v>22.6</c:v>
                </c:pt>
                <c:pt idx="4">
                  <c:v>19.55</c:v>
                </c:pt>
                <c:pt idx="5">
                  <c:v>24.9</c:v>
                </c:pt>
                <c:pt idx="6">
                  <c:v>26.9</c:v>
                </c:pt>
                <c:pt idx="7">
                  <c:v>24.35</c:v>
                </c:pt>
                <c:pt idx="8">
                  <c:v>21.45</c:v>
                </c:pt>
                <c:pt idx="9">
                  <c:v>21.25</c:v>
                </c:pt>
                <c:pt idx="10">
                  <c:v>27.1</c:v>
                </c:pt>
                <c:pt idx="11">
                  <c:v>26.45</c:v>
                </c:pt>
                <c:pt idx="12">
                  <c:v>26.9</c:v>
                </c:pt>
                <c:pt idx="13">
                  <c:v>28</c:v>
                </c:pt>
                <c:pt idx="14">
                  <c:v>29.4</c:v>
                </c:pt>
                <c:pt idx="15">
                  <c:v>28.15</c:v>
                </c:pt>
                <c:pt idx="16">
                  <c:v>28.65</c:v>
                </c:pt>
              </c:numCache>
            </c:numRef>
          </c:xVal>
          <c:yVal>
            <c:numRef>
              <c:f>Ex_321!$S$5:$S$21</c:f>
              <c:numCache>
                <c:formatCode>0.0</c:formatCode>
                <c:ptCount val="17"/>
                <c:pt idx="0">
                  <c:v>5.6406972267481983</c:v>
                </c:pt>
                <c:pt idx="1">
                  <c:v>10.253995621963208</c:v>
                </c:pt>
                <c:pt idx="2">
                  <c:v>15.713667861685131</c:v>
                </c:pt>
                <c:pt idx="3">
                  <c:v>21.209885372272701</c:v>
                </c:pt>
                <c:pt idx="4">
                  <c:v>19.387197133614734</c:v>
                </c:pt>
                <c:pt idx="5">
                  <c:v>22.46009965188993</c:v>
                </c:pt>
                <c:pt idx="6">
                  <c:v>23.470824149150516</c:v>
                </c:pt>
                <c:pt idx="7">
                  <c:v>22.170060030372795</c:v>
                </c:pt>
                <c:pt idx="8">
                  <c:v>20.546075494465143</c:v>
                </c:pt>
                <c:pt idx="9">
                  <c:v>20.427823318148331</c:v>
                </c:pt>
                <c:pt idx="10">
                  <c:v>23.568273497352223</c:v>
                </c:pt>
                <c:pt idx="11">
                  <c:v>23.249216056718005</c:v>
                </c:pt>
                <c:pt idx="12">
                  <c:v>23.470824149150516</c:v>
                </c:pt>
                <c:pt idx="13">
                  <c:v>23.999049400064745</c:v>
                </c:pt>
                <c:pt idx="14">
                  <c:v>24.644939877447204</c:v>
                </c:pt>
                <c:pt idx="15">
                  <c:v>24.069637716968057</c:v>
                </c:pt>
                <c:pt idx="16">
                  <c:v>24.302501482358025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ED7-491E-9691-8661AB3C3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0910319"/>
        <c:axId val="450908239"/>
      </c:scatterChart>
      <c:valAx>
        <c:axId val="4509103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908239"/>
        <c:crosses val="autoZero"/>
        <c:crossBetween val="midCat"/>
      </c:valAx>
      <c:valAx>
        <c:axId val="4509082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Altura</a:t>
                </a:r>
              </a:p>
              <a:p>
                <a:pPr>
                  <a:defRPr/>
                </a:pPr>
                <a:r>
                  <a:rPr lang="en-US"/>
                  <a:t>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91031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/>
              <a:t>X Variable 1  Residual Plot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678180227471564"/>
          <c:y val="0.2136739373095605"/>
          <c:w val="0.63238495188101485"/>
          <c:h val="0.64068392313029832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Ex_321!$Q$5:$Q$21</c:f>
              <c:numCache>
                <c:formatCode>0.0000</c:formatCode>
                <c:ptCount val="17"/>
                <c:pt idx="0">
                  <c:v>0.24691358024691359</c:v>
                </c:pt>
                <c:pt idx="1">
                  <c:v>0.12269938650306748</c:v>
                </c:pt>
                <c:pt idx="2">
                  <c:v>6.9930069930069921E-2</c:v>
                </c:pt>
                <c:pt idx="3">
                  <c:v>4.4247787610619468E-2</c:v>
                </c:pt>
                <c:pt idx="4">
                  <c:v>5.1150895140664961E-2</c:v>
                </c:pt>
                <c:pt idx="5">
                  <c:v>4.0160642570281124E-2</c:v>
                </c:pt>
                <c:pt idx="6">
                  <c:v>3.717472118959108E-2</c:v>
                </c:pt>
                <c:pt idx="7">
                  <c:v>4.1067761806981518E-2</c:v>
                </c:pt>
                <c:pt idx="8">
                  <c:v>4.6620046620046623E-2</c:v>
                </c:pt>
                <c:pt idx="9">
                  <c:v>4.7058823529411764E-2</c:v>
                </c:pt>
                <c:pt idx="10">
                  <c:v>3.6900369003690037E-2</c:v>
                </c:pt>
                <c:pt idx="11">
                  <c:v>3.780718336483932E-2</c:v>
                </c:pt>
                <c:pt idx="12">
                  <c:v>3.717472118959108E-2</c:v>
                </c:pt>
                <c:pt idx="13">
                  <c:v>3.5714285714285712E-2</c:v>
                </c:pt>
                <c:pt idx="14">
                  <c:v>3.4013605442176874E-2</c:v>
                </c:pt>
                <c:pt idx="15">
                  <c:v>3.5523978685612793E-2</c:v>
                </c:pt>
                <c:pt idx="16">
                  <c:v>3.4904013961605584E-2</c:v>
                </c:pt>
              </c:numCache>
            </c:numRef>
          </c:xVal>
          <c:yVal>
            <c:numRef>
              <c:f>Ex_321!$AA$36:$AA$52</c:f>
              <c:numCache>
                <c:formatCode>General</c:formatCode>
                <c:ptCount val="17"/>
                <c:pt idx="0">
                  <c:v>4.5351333223331292E-3</c:v>
                </c:pt>
                <c:pt idx="1">
                  <c:v>-1.0566437784870431E-2</c:v>
                </c:pt>
                <c:pt idx="2">
                  <c:v>8.7726324979393866E-4</c:v>
                </c:pt>
                <c:pt idx="3">
                  <c:v>6.9062273473957658E-3</c:v>
                </c:pt>
                <c:pt idx="4">
                  <c:v>-2.7999440186647906E-3</c:v>
                </c:pt>
                <c:pt idx="5">
                  <c:v>9.3114549198768104E-4</c:v>
                </c:pt>
                <c:pt idx="6">
                  <c:v>2.8484574175306476E-3</c:v>
                </c:pt>
                <c:pt idx="7">
                  <c:v>3.4866849119900845E-4</c:v>
                </c:pt>
                <c:pt idx="8">
                  <c:v>-4.2266509318665962E-3</c:v>
                </c:pt>
                <c:pt idx="9">
                  <c:v>-4.5083971983353593E-3</c:v>
                </c:pt>
                <c:pt idx="10">
                  <c:v>2.0145227061234353E-3</c:v>
                </c:pt>
                <c:pt idx="11">
                  <c:v>4.6605789633662187E-4</c:v>
                </c:pt>
                <c:pt idx="12">
                  <c:v>8.7217283255040801E-4</c:v>
                </c:pt>
                <c:pt idx="13">
                  <c:v>1.2501378564757568E-3</c:v>
                </c:pt>
                <c:pt idx="14">
                  <c:v>1.9769107204599748E-3</c:v>
                </c:pt>
                <c:pt idx="15">
                  <c:v>1.0070738552336519E-3</c:v>
                </c:pt>
                <c:pt idx="16">
                  <c:v>-1.9323412536824125E-3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08C-4A9D-911B-0339F1746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7933647"/>
        <c:axId val="557936143"/>
      </c:scatterChart>
      <c:valAx>
        <c:axId val="55793364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X Variable 1</a:t>
                </a:r>
              </a:p>
            </c:rich>
          </c:tx>
          <c:layout>
            <c:manualLayout>
              <c:xMode val="edge"/>
              <c:yMode val="edge"/>
              <c:x val="0.44908521434820642"/>
              <c:y val="0.83520077231725343"/>
            </c:manualLayout>
          </c:layout>
          <c:overlay val="0"/>
        </c:title>
        <c:numFmt formatCode="0.0000" sourceLinked="1"/>
        <c:majorTickMark val="out"/>
        <c:minorTickMark val="none"/>
        <c:tickLblPos val="nextTo"/>
        <c:crossAx val="557936143"/>
        <c:crosses val="autoZero"/>
        <c:crossBetween val="midCat"/>
      </c:valAx>
      <c:valAx>
        <c:axId val="557936143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57933647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/>
              <a:t>Normal Probability Plot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2123843810967481"/>
          <c:y val="0.23691578026430907"/>
          <c:w val="0.69585175516162079"/>
          <c:h val="0.43894491258768092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Ex_321!$AC$36:$AC$52</c:f>
              <c:numCache>
                <c:formatCode>General</c:formatCode>
                <c:ptCount val="17"/>
                <c:pt idx="0">
                  <c:v>2.9411764705882355</c:v>
                </c:pt>
                <c:pt idx="1">
                  <c:v>8.8235294117647065</c:v>
                </c:pt>
                <c:pt idx="2">
                  <c:v>14.705882352941178</c:v>
                </c:pt>
                <c:pt idx="3">
                  <c:v>20.588235294117649</c:v>
                </c:pt>
                <c:pt idx="4">
                  <c:v>26.47058823529412</c:v>
                </c:pt>
                <c:pt idx="5">
                  <c:v>32.352941176470594</c:v>
                </c:pt>
                <c:pt idx="6">
                  <c:v>38.235294117647058</c:v>
                </c:pt>
                <c:pt idx="7">
                  <c:v>44.117647058823536</c:v>
                </c:pt>
                <c:pt idx="8">
                  <c:v>50</c:v>
                </c:pt>
                <c:pt idx="9">
                  <c:v>55.882352941176478</c:v>
                </c:pt>
                <c:pt idx="10">
                  <c:v>61.764705882352942</c:v>
                </c:pt>
                <c:pt idx="11">
                  <c:v>67.64705882352942</c:v>
                </c:pt>
                <c:pt idx="12">
                  <c:v>73.529411764705884</c:v>
                </c:pt>
                <c:pt idx="13">
                  <c:v>79.411764705882348</c:v>
                </c:pt>
                <c:pt idx="14">
                  <c:v>85.294117647058826</c:v>
                </c:pt>
                <c:pt idx="15">
                  <c:v>91.176470588235304</c:v>
                </c:pt>
                <c:pt idx="16">
                  <c:v>97.058823529411768</c:v>
                </c:pt>
              </c:numCache>
            </c:numRef>
          </c:xVal>
          <c:yVal>
            <c:numRef>
              <c:f>Ex_321!$AD$36:$AD$52</c:f>
              <c:numCache>
                <c:formatCode>General</c:formatCode>
                <c:ptCount val="17"/>
                <c:pt idx="0">
                  <c:v>3.9215686274509803E-2</c:v>
                </c:pt>
                <c:pt idx="1">
                  <c:v>4.2553191489361701E-2</c:v>
                </c:pt>
                <c:pt idx="2">
                  <c:v>4.2553191489361701E-2</c:v>
                </c:pt>
                <c:pt idx="3">
                  <c:v>4.2918454935622317E-2</c:v>
                </c:pt>
                <c:pt idx="4">
                  <c:v>4.3478260869565216E-2</c:v>
                </c:pt>
                <c:pt idx="5">
                  <c:v>4.3478260869565216E-2</c:v>
                </c:pt>
                <c:pt idx="6">
                  <c:v>4.4444444444444446E-2</c:v>
                </c:pt>
                <c:pt idx="7">
                  <c:v>4.4444444444444446E-2</c:v>
                </c:pt>
                <c:pt idx="8">
                  <c:v>4.4444444444444446E-2</c:v>
                </c:pt>
                <c:pt idx="9">
                  <c:v>4.5454545454545456E-2</c:v>
                </c:pt>
                <c:pt idx="10">
                  <c:v>4.5454545454545456E-2</c:v>
                </c:pt>
                <c:pt idx="11">
                  <c:v>4.5454545454545456E-2</c:v>
                </c:pt>
                <c:pt idx="12">
                  <c:v>4.878048780487805E-2</c:v>
                </c:pt>
                <c:pt idx="13">
                  <c:v>5.4054054054054057E-2</c:v>
                </c:pt>
                <c:pt idx="14">
                  <c:v>6.4516129032258063E-2</c:v>
                </c:pt>
                <c:pt idx="15">
                  <c:v>8.6956521739130432E-2</c:v>
                </c:pt>
                <c:pt idx="16">
                  <c:v>0.18181818181818182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CA7-4D96-B0C2-EDF1C53F0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7932815"/>
        <c:axId val="557940303"/>
      </c:scatterChart>
      <c:valAx>
        <c:axId val="55793281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Sample Percentile</a:t>
                </a:r>
              </a:p>
            </c:rich>
          </c:tx>
          <c:layout>
            <c:manualLayout>
              <c:xMode val="edge"/>
              <c:yMode val="edge"/>
              <c:x val="0.38463865145199094"/>
              <c:y val="0.8420561464904606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57940303"/>
        <c:crosses val="autoZero"/>
        <c:crossBetween val="midCat"/>
      </c:valAx>
      <c:valAx>
        <c:axId val="557940303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57932815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810257082005227"/>
          <c:y val="4.1714069017823284E-2"/>
          <c:w val="0.70396150804624469"/>
          <c:h val="0.76382849754702165"/>
        </c:manualLayout>
      </c:layout>
      <c:scatterChart>
        <c:scatterStyle val="lineMarker"/>
        <c:varyColors val="0"/>
        <c:ser>
          <c:idx val="0"/>
          <c:order val="0"/>
          <c:tx>
            <c:v>observados (árv modelo)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00FF"/>
              </a:solidFill>
              <a:ln w="9525">
                <a:noFill/>
              </a:ln>
              <a:effectLst/>
            </c:spPr>
          </c:marker>
          <c:xVal>
            <c:numRef>
              <c:f>Ex_321!$P$5:$P$21</c:f>
              <c:numCache>
                <c:formatCode>General</c:formatCode>
                <c:ptCount val="17"/>
                <c:pt idx="0">
                  <c:v>4.05</c:v>
                </c:pt>
                <c:pt idx="1">
                  <c:v>8.15</c:v>
                </c:pt>
                <c:pt idx="2">
                  <c:v>14.3</c:v>
                </c:pt>
                <c:pt idx="3">
                  <c:v>22.6</c:v>
                </c:pt>
                <c:pt idx="4">
                  <c:v>19.55</c:v>
                </c:pt>
                <c:pt idx="5">
                  <c:v>24.9</c:v>
                </c:pt>
                <c:pt idx="6">
                  <c:v>26.9</c:v>
                </c:pt>
                <c:pt idx="7">
                  <c:v>24.35</c:v>
                </c:pt>
                <c:pt idx="8">
                  <c:v>21.45</c:v>
                </c:pt>
                <c:pt idx="9">
                  <c:v>21.25</c:v>
                </c:pt>
                <c:pt idx="10">
                  <c:v>27.1</c:v>
                </c:pt>
                <c:pt idx="11">
                  <c:v>26.45</c:v>
                </c:pt>
                <c:pt idx="12">
                  <c:v>26.9</c:v>
                </c:pt>
                <c:pt idx="13">
                  <c:v>28</c:v>
                </c:pt>
                <c:pt idx="14">
                  <c:v>29.4</c:v>
                </c:pt>
                <c:pt idx="15">
                  <c:v>28.15</c:v>
                </c:pt>
                <c:pt idx="16">
                  <c:v>28.65</c:v>
                </c:pt>
              </c:numCache>
            </c:numRef>
          </c:xVal>
          <c:yVal>
            <c:numRef>
              <c:f>Ex_321!$T$5:$T$21</c:f>
              <c:numCache>
                <c:formatCode>0.00</c:formatCode>
                <c:ptCount val="17"/>
                <c:pt idx="0">
                  <c:v>5.5</c:v>
                </c:pt>
                <c:pt idx="1">
                  <c:v>11.5</c:v>
                </c:pt>
                <c:pt idx="2">
                  <c:v>15.5</c:v>
                </c:pt>
                <c:pt idx="3">
                  <c:v>18.5</c:v>
                </c:pt>
                <c:pt idx="4">
                  <c:v>20.5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22.5</c:v>
                </c:pt>
                <c:pt idx="9">
                  <c:v>22.5</c:v>
                </c:pt>
                <c:pt idx="10">
                  <c:v>22.5</c:v>
                </c:pt>
                <c:pt idx="11">
                  <c:v>23</c:v>
                </c:pt>
                <c:pt idx="12">
                  <c:v>23</c:v>
                </c:pt>
                <c:pt idx="13">
                  <c:v>23.3</c:v>
                </c:pt>
                <c:pt idx="14">
                  <c:v>23.5</c:v>
                </c:pt>
                <c:pt idx="15">
                  <c:v>23.5</c:v>
                </c:pt>
                <c:pt idx="16">
                  <c:v>25.5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7C-4E10-8ABB-5A31AA54483B}"/>
            </c:ext>
          </c:extLst>
        </c:ser>
        <c:ser>
          <c:idx val="1"/>
          <c:order val="1"/>
          <c:tx>
            <c:v>h estimada (restantes árv)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Ex_321!$P$22:$P$84</c:f>
              <c:numCache>
                <c:formatCode>General</c:formatCode>
                <c:ptCount val="63"/>
                <c:pt idx="0">
                  <c:v>27.2</c:v>
                </c:pt>
                <c:pt idx="1">
                  <c:v>21.7</c:v>
                </c:pt>
                <c:pt idx="2">
                  <c:v>25.8</c:v>
                </c:pt>
                <c:pt idx="3">
                  <c:v>26.85</c:v>
                </c:pt>
                <c:pt idx="4">
                  <c:v>24.75</c:v>
                </c:pt>
                <c:pt idx="5">
                  <c:v>0</c:v>
                </c:pt>
                <c:pt idx="6">
                  <c:v>22.15</c:v>
                </c:pt>
                <c:pt idx="7">
                  <c:v>20.5</c:v>
                </c:pt>
                <c:pt idx="8">
                  <c:v>0</c:v>
                </c:pt>
                <c:pt idx="9">
                  <c:v>25</c:v>
                </c:pt>
                <c:pt idx="10">
                  <c:v>28.35</c:v>
                </c:pt>
                <c:pt idx="11">
                  <c:v>20.75</c:v>
                </c:pt>
                <c:pt idx="12">
                  <c:v>24.7</c:v>
                </c:pt>
                <c:pt idx="13">
                  <c:v>25.2</c:v>
                </c:pt>
                <c:pt idx="14">
                  <c:v>21.95</c:v>
                </c:pt>
                <c:pt idx="15">
                  <c:v>22.75</c:v>
                </c:pt>
                <c:pt idx="16">
                  <c:v>14.65</c:v>
                </c:pt>
                <c:pt idx="17">
                  <c:v>20.05</c:v>
                </c:pt>
                <c:pt idx="18">
                  <c:v>20.100000000000001</c:v>
                </c:pt>
                <c:pt idx="19">
                  <c:v>22.6</c:v>
                </c:pt>
                <c:pt idx="20">
                  <c:v>0</c:v>
                </c:pt>
                <c:pt idx="21">
                  <c:v>17.350000000000001</c:v>
                </c:pt>
                <c:pt idx="22">
                  <c:v>24.5</c:v>
                </c:pt>
                <c:pt idx="23">
                  <c:v>22.95</c:v>
                </c:pt>
                <c:pt idx="24">
                  <c:v>24.25</c:v>
                </c:pt>
                <c:pt idx="25">
                  <c:v>21.95</c:v>
                </c:pt>
                <c:pt idx="26">
                  <c:v>22.6</c:v>
                </c:pt>
                <c:pt idx="27">
                  <c:v>23.3</c:v>
                </c:pt>
                <c:pt idx="28">
                  <c:v>21.85</c:v>
                </c:pt>
                <c:pt idx="29">
                  <c:v>28.5</c:v>
                </c:pt>
                <c:pt idx="30">
                  <c:v>21.4</c:v>
                </c:pt>
                <c:pt idx="31">
                  <c:v>19.05</c:v>
                </c:pt>
                <c:pt idx="32">
                  <c:v>24.75</c:v>
                </c:pt>
                <c:pt idx="33">
                  <c:v>25.85</c:v>
                </c:pt>
                <c:pt idx="34">
                  <c:v>25.2</c:v>
                </c:pt>
                <c:pt idx="35">
                  <c:v>20.399999999999999</c:v>
                </c:pt>
                <c:pt idx="36">
                  <c:v>21.4</c:v>
                </c:pt>
                <c:pt idx="37">
                  <c:v>24.25</c:v>
                </c:pt>
                <c:pt idx="38">
                  <c:v>0</c:v>
                </c:pt>
                <c:pt idx="39">
                  <c:v>0</c:v>
                </c:pt>
                <c:pt idx="40">
                  <c:v>28.75</c:v>
                </c:pt>
                <c:pt idx="41">
                  <c:v>23.6</c:v>
                </c:pt>
                <c:pt idx="42">
                  <c:v>26.5</c:v>
                </c:pt>
                <c:pt idx="43">
                  <c:v>14.05</c:v>
                </c:pt>
                <c:pt idx="44">
                  <c:v>22.8</c:v>
                </c:pt>
                <c:pt idx="45">
                  <c:v>21</c:v>
                </c:pt>
                <c:pt idx="46">
                  <c:v>25.55</c:v>
                </c:pt>
                <c:pt idx="47">
                  <c:v>22.7</c:v>
                </c:pt>
                <c:pt idx="48">
                  <c:v>28.15</c:v>
                </c:pt>
                <c:pt idx="49">
                  <c:v>0</c:v>
                </c:pt>
                <c:pt idx="50">
                  <c:v>23.75</c:v>
                </c:pt>
                <c:pt idx="51">
                  <c:v>28.95</c:v>
                </c:pt>
                <c:pt idx="52">
                  <c:v>27.2</c:v>
                </c:pt>
                <c:pt idx="53">
                  <c:v>19.3</c:v>
                </c:pt>
                <c:pt idx="54">
                  <c:v>16.25</c:v>
                </c:pt>
                <c:pt idx="55">
                  <c:v>23.7</c:v>
                </c:pt>
                <c:pt idx="56">
                  <c:v>20.45</c:v>
                </c:pt>
                <c:pt idx="57">
                  <c:v>24</c:v>
                </c:pt>
                <c:pt idx="58">
                  <c:v>23.8</c:v>
                </c:pt>
                <c:pt idx="59">
                  <c:v>22.2</c:v>
                </c:pt>
                <c:pt idx="60">
                  <c:v>17.5</c:v>
                </c:pt>
                <c:pt idx="61">
                  <c:v>29.75</c:v>
                </c:pt>
                <c:pt idx="62">
                  <c:v>18.600000000000001</c:v>
                </c:pt>
              </c:numCache>
            </c:numRef>
          </c:xVal>
          <c:yVal>
            <c:numRef>
              <c:f>Ex_321!$T$22:$T$84</c:f>
              <c:numCache>
                <c:formatCode>0.00</c:formatCode>
                <c:ptCount val="63"/>
                <c:pt idx="0">
                  <c:v>23.616760384419262</c:v>
                </c:pt>
                <c:pt idx="1">
                  <c:v>20.692702333865157</c:v>
                </c:pt>
                <c:pt idx="2">
                  <c:v>22.923254066641434</c:v>
                </c:pt>
                <c:pt idx="3">
                  <c:v>23.446362166830244</c:v>
                </c:pt>
                <c:pt idx="4">
                  <c:v>22.381534013825537</c:v>
                </c:pt>
                <c:pt idx="5">
                  <c:v>0</c:v>
                </c:pt>
                <c:pt idx="6">
                  <c:v>20.953356254542971</c:v>
                </c:pt>
                <c:pt idx="7">
                  <c:v>19.976686349765561</c:v>
                </c:pt>
                <c:pt idx="8">
                  <c:v>0</c:v>
                </c:pt>
                <c:pt idx="9">
                  <c:v>22.512255828044896</c:v>
                </c:pt>
                <c:pt idx="10">
                  <c:v>24.163229445792371</c:v>
                </c:pt>
                <c:pt idx="11">
                  <c:v>20.128431857865017</c:v>
                </c:pt>
                <c:pt idx="12">
                  <c:v>22.355256651920158</c:v>
                </c:pt>
                <c:pt idx="13">
                  <c:v>22.616041993968718</c:v>
                </c:pt>
                <c:pt idx="14">
                  <c:v>20.838025189860652</c:v>
                </c:pt>
                <c:pt idx="15">
                  <c:v>21.294495333752671</c:v>
                </c:pt>
                <c:pt idx="16">
                  <c:v>15.983098722347828</c:v>
                </c:pt>
                <c:pt idx="17">
                  <c:v>19.70002473771347</c:v>
                </c:pt>
                <c:pt idx="18">
                  <c:v>19.730991061200267</c:v>
                </c:pt>
                <c:pt idx="19">
                  <c:v>21.209885372272701</c:v>
                </c:pt>
                <c:pt idx="20">
                  <c:v>0</c:v>
                </c:pt>
                <c:pt idx="21">
                  <c:v>17.938764195284346</c:v>
                </c:pt>
                <c:pt idx="22">
                  <c:v>22.249700102525477</c:v>
                </c:pt>
                <c:pt idx="23">
                  <c:v>21.406618598056042</c:v>
                </c:pt>
                <c:pt idx="24">
                  <c:v>22.116739842011171</c:v>
                </c:pt>
                <c:pt idx="25">
                  <c:v>20.838025189860652</c:v>
                </c:pt>
                <c:pt idx="26">
                  <c:v>21.209885372272701</c:v>
                </c:pt>
                <c:pt idx="27">
                  <c:v>21.600959833430675</c:v>
                </c:pt>
                <c:pt idx="28">
                  <c:v>20.780051410213805</c:v>
                </c:pt>
                <c:pt idx="29">
                  <c:v>24.233031864578518</c:v>
                </c:pt>
                <c:pt idx="30">
                  <c:v>20.516592102702916</c:v>
                </c:pt>
                <c:pt idx="31">
                  <c:v>19.0685028382136</c:v>
                </c:pt>
                <c:pt idx="32">
                  <c:v>22.381534013825537</c:v>
                </c:pt>
                <c:pt idx="33">
                  <c:v>22.948578294307026</c:v>
                </c:pt>
                <c:pt idx="34">
                  <c:v>22.616041993968718</c:v>
                </c:pt>
                <c:pt idx="35">
                  <c:v>19.915599572603977</c:v>
                </c:pt>
                <c:pt idx="36">
                  <c:v>20.516592102702916</c:v>
                </c:pt>
                <c:pt idx="37">
                  <c:v>22.116739842011171</c:v>
                </c:pt>
                <c:pt idx="38">
                  <c:v>0</c:v>
                </c:pt>
                <c:pt idx="39">
                  <c:v>0</c:v>
                </c:pt>
                <c:pt idx="40">
                  <c:v>24.348630844908673</c:v>
                </c:pt>
                <c:pt idx="41">
                  <c:v>21.765667102943084</c:v>
                </c:pt>
                <c:pt idx="42">
                  <c:v>23.274001245187499</c:v>
                </c:pt>
                <c:pt idx="43">
                  <c:v>15.518827677284445</c:v>
                </c:pt>
                <c:pt idx="44">
                  <c:v>21.322599821218272</c:v>
                </c:pt>
                <c:pt idx="45">
                  <c:v>20.278804666519004</c:v>
                </c:pt>
                <c:pt idx="46">
                  <c:v>22.795997945858677</c:v>
                </c:pt>
                <c:pt idx="47">
                  <c:v>21.266341516510444</c:v>
                </c:pt>
                <c:pt idx="48">
                  <c:v>24.069637716968057</c:v>
                </c:pt>
                <c:pt idx="49">
                  <c:v>0</c:v>
                </c:pt>
                <c:pt idx="50">
                  <c:v>21.847382036653329</c:v>
                </c:pt>
                <c:pt idx="51">
                  <c:v>24.440451790009053</c:v>
                </c:pt>
                <c:pt idx="52">
                  <c:v>23.616760384419262</c:v>
                </c:pt>
                <c:pt idx="53">
                  <c:v>19.228593588800152</c:v>
                </c:pt>
                <c:pt idx="54">
                  <c:v>17.167243918294471</c:v>
                </c:pt>
                <c:pt idx="55">
                  <c:v>21.820190710167253</c:v>
                </c:pt>
                <c:pt idx="56">
                  <c:v>19.946170868624602</c:v>
                </c:pt>
                <c:pt idx="57">
                  <c:v>21.982638735572408</c:v>
                </c:pt>
                <c:pt idx="58">
                  <c:v>21.874526540202393</c:v>
                </c:pt>
                <c:pt idx="59">
                  <c:v>20.982061380344906</c:v>
                </c:pt>
                <c:pt idx="60">
                  <c:v>18.041431378809918</c:v>
                </c:pt>
                <c:pt idx="61">
                  <c:v>24.801998792801605</c:v>
                </c:pt>
                <c:pt idx="62">
                  <c:v>18.776524390021837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91-499A-B017-05EE0D4C5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0910319"/>
        <c:axId val="450908239"/>
      </c:scatterChart>
      <c:valAx>
        <c:axId val="4509103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908239"/>
        <c:crosses val="autoZero"/>
        <c:crossBetween val="midCat"/>
      </c:valAx>
      <c:valAx>
        <c:axId val="4509082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91031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emf"/><Relationship Id="rId2" Type="http://schemas.openxmlformats.org/officeDocument/2006/relationships/image" Target="../media/image21.emf"/><Relationship Id="rId1" Type="http://schemas.openxmlformats.org/officeDocument/2006/relationships/image" Target="../media/image20.emf"/><Relationship Id="rId6" Type="http://schemas.openxmlformats.org/officeDocument/2006/relationships/image" Target="../media/image25.png"/><Relationship Id="rId5" Type="http://schemas.openxmlformats.org/officeDocument/2006/relationships/image" Target="../media/image24.emf"/><Relationship Id="rId4" Type="http://schemas.openxmlformats.org/officeDocument/2006/relationships/image" Target="../media/image23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wmf"/><Relationship Id="rId2" Type="http://schemas.openxmlformats.org/officeDocument/2006/relationships/image" Target="../media/image3.wmf"/><Relationship Id="rId1" Type="http://schemas.openxmlformats.org/officeDocument/2006/relationships/image" Target="../media/image2.wmf"/><Relationship Id="rId6" Type="http://schemas.openxmlformats.org/officeDocument/2006/relationships/image" Target="../media/image7.wmf"/><Relationship Id="rId5" Type="http://schemas.openxmlformats.org/officeDocument/2006/relationships/image" Target="../media/image6.wmf"/><Relationship Id="rId4" Type="http://schemas.openxmlformats.org/officeDocument/2006/relationships/image" Target="../media/image5.w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7.wmf"/><Relationship Id="rId2" Type="http://schemas.openxmlformats.org/officeDocument/2006/relationships/image" Target="../media/image16.wmf"/><Relationship Id="rId1" Type="http://schemas.openxmlformats.org/officeDocument/2006/relationships/image" Target="../media/image15.wmf"/><Relationship Id="rId5" Type="http://schemas.openxmlformats.org/officeDocument/2006/relationships/image" Target="../media/image19.wmf"/><Relationship Id="rId4" Type="http://schemas.openxmlformats.org/officeDocument/2006/relationships/image" Target="../media/image18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22860</xdr:colOff>
          <xdr:row>1</xdr:row>
          <xdr:rowOff>114300</xdr:rowOff>
        </xdr:from>
        <xdr:to>
          <xdr:col>30</xdr:col>
          <xdr:colOff>22860</xdr:colOff>
          <xdr:row>4</xdr:row>
          <xdr:rowOff>22860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594360</xdr:colOff>
      <xdr:row>8</xdr:row>
      <xdr:rowOff>11430</xdr:rowOff>
    </xdr:from>
    <xdr:to>
      <xdr:col>7</xdr:col>
      <xdr:colOff>449580</xdr:colOff>
      <xdr:row>26</xdr:row>
      <xdr:rowOff>68580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449580</xdr:colOff>
      <xdr:row>13</xdr:row>
      <xdr:rowOff>83820</xdr:rowOff>
    </xdr:from>
    <xdr:to>
      <xdr:col>31</xdr:col>
      <xdr:colOff>259080</xdr:colOff>
      <xdr:row>20</xdr:row>
      <xdr:rowOff>121920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320040</xdr:colOff>
      <xdr:row>13</xdr:row>
      <xdr:rowOff>83820</xdr:rowOff>
    </xdr:from>
    <xdr:to>
      <xdr:col>35</xdr:col>
      <xdr:colOff>594360</xdr:colOff>
      <xdr:row>20</xdr:row>
      <xdr:rowOff>106680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601980</xdr:colOff>
      <xdr:row>29</xdr:row>
      <xdr:rowOff>22860</xdr:rowOff>
    </xdr:from>
    <xdr:to>
      <xdr:col>7</xdr:col>
      <xdr:colOff>457200</xdr:colOff>
      <xdr:row>47</xdr:row>
      <xdr:rowOff>118110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144780</xdr:colOff>
          <xdr:row>0</xdr:row>
          <xdr:rowOff>190500</xdr:rowOff>
        </xdr:from>
        <xdr:to>
          <xdr:col>9</xdr:col>
          <xdr:colOff>594360</xdr:colOff>
          <xdr:row>5</xdr:row>
          <xdr:rowOff>60960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16</xdr:col>
      <xdr:colOff>402280</xdr:colOff>
      <xdr:row>0</xdr:row>
      <xdr:rowOff>0</xdr:rowOff>
    </xdr:from>
    <xdr:to>
      <xdr:col>18</xdr:col>
      <xdr:colOff>393767</xdr:colOff>
      <xdr:row>3</xdr:row>
      <xdr:rowOff>33886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5607" t="59587" r="61321" b="29846"/>
        <a:stretch/>
      </xdr:blipFill>
      <xdr:spPr>
        <a:xfrm>
          <a:off x="9633366" y="0"/>
          <a:ext cx="1384858" cy="63911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1</xdr:row>
          <xdr:rowOff>15240</xdr:rowOff>
        </xdr:from>
        <xdr:to>
          <xdr:col>16</xdr:col>
          <xdr:colOff>7620</xdr:colOff>
          <xdr:row>3</xdr:row>
          <xdr:rowOff>91440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24</xdr:col>
      <xdr:colOff>538890</xdr:colOff>
      <xdr:row>0</xdr:row>
      <xdr:rowOff>0</xdr:rowOff>
    </xdr:from>
    <xdr:to>
      <xdr:col>27</xdr:col>
      <xdr:colOff>454463</xdr:colOff>
      <xdr:row>3</xdr:row>
      <xdr:rowOff>57333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Rectangle 4"/>
            <xdr:cNvSpPr/>
          </xdr:nvSpPr>
          <xdr:spPr>
            <a:xfrm>
              <a:off x="14899659" y="0"/>
              <a:ext cx="1752189" cy="656512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lang="pt-PT" altLang="en-US" i="0">
                        <a:latin typeface="Cambria Math" panose="02040503050406030204" pitchFamily="18" charset="0"/>
                      </a:rPr>
                      <m:t>Fw</m:t>
                    </m:r>
                    <m:r>
                      <a:rPr lang="pt-PT" altLang="en-US" i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t-PT" altLang="en-US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pt-PT" altLang="en-US" i="0">
                            <a:latin typeface="Cambria Math" panose="02040503050406030204" pitchFamily="18" charset="0"/>
                          </a:rPr>
                          <m:t>100</m:t>
                        </m:r>
                      </m:num>
                      <m:den>
                        <m:r>
                          <m:rPr>
                            <m:sty m:val="p"/>
                          </m:rPr>
                          <a:rPr lang="pt-PT" altLang="en-US" i="0">
                            <a:latin typeface="Cambria Math" panose="02040503050406030204" pitchFamily="18" charset="0"/>
                          </a:rPr>
                          <m:t>hdom</m:t>
                        </m:r>
                        <m:rad>
                          <m:radPr>
                            <m:degHide m:val="on"/>
                            <m:ctrlPr>
                              <a:rPr lang="pt-PT" altLang="en-US" i="1">
                                <a:latin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r>
                              <m:rPr>
                                <m:sty m:val="p"/>
                              </m:rPr>
                              <a:rPr lang="pt-PT" altLang="en-US" i="0">
                                <a:latin typeface="Cambria Math" panose="02040503050406030204" pitchFamily="18" charset="0"/>
                              </a:rPr>
                              <m:t>N</m:t>
                            </m:r>
                          </m:e>
                        </m:rad>
                      </m:den>
                    </m:f>
                  </m:oMath>
                </m:oMathPara>
              </a14:m>
              <a:endParaRPr lang="en-US"/>
            </a:p>
          </xdr:txBody>
        </xdr:sp>
      </mc:Choice>
      <mc:Fallback xmlns="">
        <xdr:sp macro="" textlink="">
          <xdr:nvSpPr>
            <xdr:cNvPr id="5" name="Rectangle 4"/>
            <xdr:cNvSpPr/>
          </xdr:nvSpPr>
          <xdr:spPr>
            <a:xfrm>
              <a:off x="14899659" y="0"/>
              <a:ext cx="1752189" cy="656512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pt-PT" altLang="en-US" i="0">
                  <a:latin typeface="Cambria Math" panose="02040503050406030204" pitchFamily="18" charset="0"/>
                </a:rPr>
                <a:t>Fw=100/(hdom√N)</a:t>
              </a:r>
              <a:endParaRPr lang="en-US"/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548640</xdr:colOff>
          <xdr:row>0</xdr:row>
          <xdr:rowOff>53340</xdr:rowOff>
        </xdr:from>
        <xdr:to>
          <xdr:col>30</xdr:col>
          <xdr:colOff>243840</xdr:colOff>
          <xdr:row>2</xdr:row>
          <xdr:rowOff>175260</xdr:rowOff>
        </xdr:to>
        <xdr:sp macro="" textlink="">
          <xdr:nvSpPr>
            <xdr:cNvPr id="3076" name="Object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17</xdr:col>
      <xdr:colOff>214922</xdr:colOff>
      <xdr:row>5</xdr:row>
      <xdr:rowOff>33224</xdr:rowOff>
    </xdr:from>
    <xdr:to>
      <xdr:col>19</xdr:col>
      <xdr:colOff>390768</xdr:colOff>
      <xdr:row>7</xdr:row>
      <xdr:rowOff>151777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33948" y="1023173"/>
          <a:ext cx="1556564" cy="496296"/>
        </a:xfrm>
        <a:prstGeom prst="rect">
          <a:avLst/>
        </a:prstGeom>
      </xdr:spPr>
    </xdr:pic>
    <xdr:clientData/>
  </xdr:twoCellAnchor>
  <xdr:twoCellAnchor>
    <xdr:from>
      <xdr:col>20</xdr:col>
      <xdr:colOff>156307</xdr:colOff>
      <xdr:row>5</xdr:row>
      <xdr:rowOff>26053</xdr:rowOff>
    </xdr:from>
    <xdr:to>
      <xdr:col>22</xdr:col>
      <xdr:colOff>403795</xdr:colOff>
      <xdr:row>7</xdr:row>
      <xdr:rowOff>150315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22"/>
            <xdr:cNvSpPr txBox="1"/>
          </xdr:nvSpPr>
          <xdr:spPr>
            <a:xfrm>
              <a:off x="12068256" y="1016002"/>
              <a:ext cx="1471898" cy="488980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lang="pt-PT" sz="1300" b="0" i="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SDI</m:t>
                    </m:r>
                    <m:r>
                      <a:rPr lang="pt-PT" sz="1300" b="0" i="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=</m:t>
                    </m:r>
                    <m:r>
                      <m:rPr>
                        <m:sty m:val="p"/>
                      </m:rPr>
                      <a:rPr lang="pt-PT" sz="1300" b="0" i="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N</m:t>
                    </m:r>
                    <m:r>
                      <a:rPr lang="pt-PT" sz="1300" b="0" i="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 </m:t>
                    </m:r>
                    <m:sSup>
                      <m:sSupPr>
                        <m:ctrlPr>
                          <a:rPr lang="pt-PT" sz="13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pt-PT" sz="130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f>
                              <m:fPr>
                                <m:ctrlPr>
                                  <a:rPr lang="pt-PT" sz="1300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fPr>
                              <m:num>
                                <m:r>
                                  <m:rPr>
                                    <m:sty m:val="p"/>
                                  </m:rPr>
                                  <a:rPr lang="pt-PT" sz="1300" b="0" i="0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dg</m:t>
                                </m:r>
                              </m:num>
                              <m:den>
                                <m:r>
                                  <a:rPr lang="pt-PT" sz="1300" b="0" i="0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25</m:t>
                                </m:r>
                              </m:den>
                            </m:f>
                          </m:e>
                        </m:d>
                      </m:e>
                      <m:sup>
                        <m:r>
                          <a:rPr lang="en-US" sz="1300" b="0" i="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1.6</m:t>
                        </m:r>
                      </m:sup>
                    </m:sSup>
                  </m:oMath>
                </m:oMathPara>
              </a14:m>
              <a:endParaRPr lang="pt-PT" sz="1300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" name="TextBox 22"/>
            <xdr:cNvSpPr txBox="1"/>
          </xdr:nvSpPr>
          <xdr:spPr>
            <a:xfrm>
              <a:off x="12068256" y="1016002"/>
              <a:ext cx="1471898" cy="488980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pt-PT" sz="1300" b="0" i="0">
                  <a:solidFill>
                    <a:schemeClr val="tx1"/>
                  </a:solidFill>
                  <a:latin typeface="Cambria Math" panose="02040503050406030204" pitchFamily="18" charset="0"/>
                </a:rPr>
                <a:t>SDI=N </a:t>
              </a:r>
              <a:r>
                <a:rPr lang="pt-PT" sz="1300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pt-PT" sz="1300" b="0" i="0">
                  <a:solidFill>
                    <a:schemeClr val="tx1"/>
                  </a:solidFill>
                  <a:latin typeface="Cambria Math" panose="02040503050406030204" pitchFamily="18" charset="0"/>
                </a:rPr>
                <a:t>dg/25)^</a:t>
              </a:r>
              <a:r>
                <a:rPr lang="en-US" sz="1300" b="0" i="0">
                  <a:solidFill>
                    <a:schemeClr val="tx1"/>
                  </a:solidFill>
                  <a:latin typeface="Cambria Math" panose="02040503050406030204" pitchFamily="18" charset="0"/>
                </a:rPr>
                <a:t>1.6</a:t>
              </a:r>
              <a:endParaRPr lang="pt-PT" sz="1300">
                <a:solidFill>
                  <a:schemeClr val="tx1"/>
                </a:solidFill>
              </a:endParaRP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76200</xdr:colOff>
          <xdr:row>4</xdr:row>
          <xdr:rowOff>30480</xdr:rowOff>
        </xdr:from>
        <xdr:to>
          <xdr:col>25</xdr:col>
          <xdr:colOff>556260</xdr:colOff>
          <xdr:row>6</xdr:row>
          <xdr:rowOff>160020</xdr:rowOff>
        </xdr:to>
        <xdr:sp macro="" textlink="">
          <xdr:nvSpPr>
            <xdr:cNvPr id="3078" name="Object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259080</xdr:colOff>
          <xdr:row>2</xdr:row>
          <xdr:rowOff>22860</xdr:rowOff>
        </xdr:from>
        <xdr:to>
          <xdr:col>33</xdr:col>
          <xdr:colOff>518160</xdr:colOff>
          <xdr:row>4</xdr:row>
          <xdr:rowOff>152400</xdr:rowOff>
        </xdr:to>
        <xdr:sp macro="" textlink="">
          <xdr:nvSpPr>
            <xdr:cNvPr id="3079" name="Object 7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7620</xdr:colOff>
          <xdr:row>13</xdr:row>
          <xdr:rowOff>22860</xdr:rowOff>
        </xdr:from>
        <xdr:to>
          <xdr:col>24</xdr:col>
          <xdr:colOff>129540</xdr:colOff>
          <xdr:row>16</xdr:row>
          <xdr:rowOff>167640</xdr:rowOff>
        </xdr:to>
        <xdr:sp macro="" textlink="">
          <xdr:nvSpPr>
            <xdr:cNvPr id="3080" name="Object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39</xdr:col>
      <xdr:colOff>15395</xdr:colOff>
      <xdr:row>1</xdr:row>
      <xdr:rowOff>68680</xdr:rowOff>
    </xdr:from>
    <xdr:to>
      <xdr:col>48</xdr:col>
      <xdr:colOff>67247</xdr:colOff>
      <xdr:row>12</xdr:row>
      <xdr:rowOff>177182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336" t="55594" r="17152" b="13766"/>
        <a:stretch/>
      </xdr:blipFill>
      <xdr:spPr>
        <a:xfrm>
          <a:off x="22821516" y="276498"/>
          <a:ext cx="5524397" cy="2263654"/>
        </a:xfrm>
        <a:prstGeom prst="rect">
          <a:avLst/>
        </a:prstGeom>
      </xdr:spPr>
    </xdr:pic>
    <xdr:clientData/>
  </xdr:twoCellAnchor>
  <xdr:twoCellAnchor editAs="oneCell">
    <xdr:from>
      <xdr:col>48</xdr:col>
      <xdr:colOff>20482</xdr:colOff>
      <xdr:row>1</xdr:row>
      <xdr:rowOff>61452</xdr:rowOff>
    </xdr:from>
    <xdr:to>
      <xdr:col>50</xdr:col>
      <xdr:colOff>112660</xdr:colOff>
      <xdr:row>5</xdr:row>
      <xdr:rowOff>113279</xdr:rowOff>
    </xdr:to>
    <xdr:pic>
      <xdr:nvPicPr>
        <xdr:cNvPr id="14" name="Picture 13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7159" t="31227" r="52685" b="57431"/>
        <a:stretch/>
      </xdr:blipFill>
      <xdr:spPr>
        <a:xfrm>
          <a:off x="16281562" y="9403572"/>
          <a:ext cx="1311378" cy="835580"/>
        </a:xfrm>
        <a:prstGeom prst="rect">
          <a:avLst/>
        </a:prstGeom>
      </xdr:spPr>
    </xdr:pic>
    <xdr:clientData/>
  </xdr:twoCellAnchor>
  <xdr:twoCellAnchor>
    <xdr:from>
      <xdr:col>39</xdr:col>
      <xdr:colOff>46182</xdr:colOff>
      <xdr:row>18</xdr:row>
      <xdr:rowOff>146243</xdr:rowOff>
    </xdr:from>
    <xdr:to>
      <xdr:col>48</xdr:col>
      <xdr:colOff>135159</xdr:colOff>
      <xdr:row>41</xdr:row>
      <xdr:rowOff>17874</xdr:rowOff>
    </xdr:to>
    <xdr:grpSp>
      <xdr:nvGrpSpPr>
        <xdr:cNvPr id="15" name="Group 14"/>
        <xdr:cNvGrpSpPr/>
      </xdr:nvGrpSpPr>
      <xdr:grpSpPr>
        <a:xfrm>
          <a:off x="23530530" y="3636695"/>
          <a:ext cx="5575377" cy="4261734"/>
          <a:chOff x="6367125" y="1772816"/>
          <a:chExt cx="5561523" cy="4320480"/>
        </a:xfrm>
      </xdr:grpSpPr>
      <xdr:sp macro="" textlink="">
        <xdr:nvSpPr>
          <xdr:cNvPr id="16" name="Rectangle 15"/>
          <xdr:cNvSpPr/>
        </xdr:nvSpPr>
        <xdr:spPr>
          <a:xfrm>
            <a:off x="6384032" y="1844824"/>
            <a:ext cx="5544616" cy="4248472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pic>
        <xdr:nvPicPr>
          <xdr:cNvPr id="17" name="Picture 16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6367125" y="1772816"/>
            <a:ext cx="5522107" cy="4311119"/>
          </a:xfrm>
          <a:prstGeom prst="rect">
            <a:avLst/>
          </a:prstGeom>
        </xdr:spPr>
      </xdr:pic>
    </xdr:grpSp>
    <xdr:clientData/>
  </xdr:twoCellAnchor>
  <xdr:twoCellAnchor editAs="oneCell">
    <xdr:from>
      <xdr:col>22</xdr:col>
      <xdr:colOff>414227</xdr:colOff>
      <xdr:row>16</xdr:row>
      <xdr:rowOff>30355</xdr:rowOff>
    </xdr:from>
    <xdr:to>
      <xdr:col>27</xdr:col>
      <xdr:colOff>545075</xdr:colOff>
      <xdr:row>19</xdr:row>
      <xdr:rowOff>24610</xdr:rowOff>
    </xdr:to>
    <xdr:pic>
      <xdr:nvPicPr>
        <xdr:cNvPr id="18" name="Picture 17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336" t="64354" r="35687" b="28145"/>
        <a:stretch/>
      </xdr:blipFill>
      <xdr:spPr>
        <a:xfrm>
          <a:off x="13525635" y="3142749"/>
          <a:ext cx="3171694" cy="548762"/>
        </a:xfrm>
        <a:prstGeom prst="rect">
          <a:avLst/>
        </a:prstGeom>
      </xdr:spPr>
    </xdr:pic>
    <xdr:clientData/>
  </xdr:twoCellAnchor>
  <xdr:twoCellAnchor>
    <xdr:from>
      <xdr:col>25</xdr:col>
      <xdr:colOff>98902</xdr:colOff>
      <xdr:row>16</xdr:row>
      <xdr:rowOff>71550</xdr:rowOff>
    </xdr:from>
    <xdr:to>
      <xdr:col>25</xdr:col>
      <xdr:colOff>253116</xdr:colOff>
      <xdr:row>19</xdr:row>
      <xdr:rowOff>3627</xdr:rowOff>
    </xdr:to>
    <xdr:sp macro="" textlink="">
      <xdr:nvSpPr>
        <xdr:cNvPr id="3" name="Freeform 2"/>
        <xdr:cNvSpPr/>
      </xdr:nvSpPr>
      <xdr:spPr>
        <a:xfrm>
          <a:off x="15034817" y="3183944"/>
          <a:ext cx="154214" cy="486584"/>
        </a:xfrm>
        <a:custGeom>
          <a:avLst/>
          <a:gdLst>
            <a:gd name="connsiteX0" fmla="*/ 83549 w 154214"/>
            <a:gd name="connsiteY0" fmla="*/ 0 h 486584"/>
            <a:gd name="connsiteX1" fmla="*/ 1268 w 154214"/>
            <a:gd name="connsiteY1" fmla="*/ 254000 h 486584"/>
            <a:gd name="connsiteX2" fmla="*/ 140789 w 154214"/>
            <a:gd name="connsiteY2" fmla="*/ 465070 h 486584"/>
            <a:gd name="connsiteX3" fmla="*/ 140789 w 154214"/>
            <a:gd name="connsiteY3" fmla="*/ 468648 h 48658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4214" h="486584">
              <a:moveTo>
                <a:pt x="83549" y="0"/>
              </a:moveTo>
              <a:cubicBezTo>
                <a:pt x="37638" y="88244"/>
                <a:pt x="-8272" y="176488"/>
                <a:pt x="1268" y="254000"/>
              </a:cubicBezTo>
              <a:cubicBezTo>
                <a:pt x="10808" y="331512"/>
                <a:pt x="140789" y="465070"/>
                <a:pt x="140789" y="465070"/>
              </a:cubicBezTo>
              <a:cubicBezTo>
                <a:pt x="164043" y="500845"/>
                <a:pt x="152416" y="484746"/>
                <a:pt x="140789" y="468648"/>
              </a:cubicBezTo>
            </a:path>
          </a:pathLst>
        </a:custGeom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27</xdr:col>
      <xdr:colOff>283499</xdr:colOff>
      <xdr:row>16</xdr:row>
      <xdr:rowOff>70119</xdr:rowOff>
    </xdr:from>
    <xdr:to>
      <xdr:col>27</xdr:col>
      <xdr:colOff>437713</xdr:colOff>
      <xdr:row>19</xdr:row>
      <xdr:rowOff>2196</xdr:rowOff>
    </xdr:to>
    <xdr:sp macro="" textlink="">
      <xdr:nvSpPr>
        <xdr:cNvPr id="19" name="Freeform 18"/>
        <xdr:cNvSpPr/>
      </xdr:nvSpPr>
      <xdr:spPr>
        <a:xfrm flipH="1">
          <a:off x="16435753" y="3182513"/>
          <a:ext cx="154214" cy="486584"/>
        </a:xfrm>
        <a:custGeom>
          <a:avLst/>
          <a:gdLst>
            <a:gd name="connsiteX0" fmla="*/ 83549 w 154214"/>
            <a:gd name="connsiteY0" fmla="*/ 0 h 486584"/>
            <a:gd name="connsiteX1" fmla="*/ 1268 w 154214"/>
            <a:gd name="connsiteY1" fmla="*/ 254000 h 486584"/>
            <a:gd name="connsiteX2" fmla="*/ 140789 w 154214"/>
            <a:gd name="connsiteY2" fmla="*/ 465070 h 486584"/>
            <a:gd name="connsiteX3" fmla="*/ 140789 w 154214"/>
            <a:gd name="connsiteY3" fmla="*/ 468648 h 48658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4214" h="486584">
              <a:moveTo>
                <a:pt x="83549" y="0"/>
              </a:moveTo>
              <a:cubicBezTo>
                <a:pt x="37638" y="88244"/>
                <a:pt x="-8272" y="176488"/>
                <a:pt x="1268" y="254000"/>
              </a:cubicBezTo>
              <a:cubicBezTo>
                <a:pt x="10808" y="331512"/>
                <a:pt x="140789" y="465070"/>
                <a:pt x="140789" y="465070"/>
              </a:cubicBezTo>
              <a:cubicBezTo>
                <a:pt x="164043" y="500845"/>
                <a:pt x="152416" y="484746"/>
                <a:pt x="140789" y="468648"/>
              </a:cubicBezTo>
            </a:path>
          </a:pathLst>
        </a:custGeom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26</xdr:col>
      <xdr:colOff>355049</xdr:colOff>
      <xdr:row>16</xdr:row>
      <xdr:rowOff>96593</xdr:rowOff>
    </xdr:from>
    <xdr:to>
      <xdr:col>26</xdr:col>
      <xdr:colOff>475803</xdr:colOff>
      <xdr:row>18</xdr:row>
      <xdr:rowOff>139522</xdr:rowOff>
    </xdr:to>
    <xdr:sp macro="" textlink="">
      <xdr:nvSpPr>
        <xdr:cNvPr id="20" name="Freeform 19"/>
        <xdr:cNvSpPr/>
      </xdr:nvSpPr>
      <xdr:spPr>
        <a:xfrm>
          <a:off x="15899134" y="3208987"/>
          <a:ext cx="120754" cy="414986"/>
        </a:xfrm>
        <a:custGeom>
          <a:avLst/>
          <a:gdLst>
            <a:gd name="connsiteX0" fmla="*/ 83549 w 154214"/>
            <a:gd name="connsiteY0" fmla="*/ 0 h 486584"/>
            <a:gd name="connsiteX1" fmla="*/ 1268 w 154214"/>
            <a:gd name="connsiteY1" fmla="*/ 254000 h 486584"/>
            <a:gd name="connsiteX2" fmla="*/ 140789 w 154214"/>
            <a:gd name="connsiteY2" fmla="*/ 465070 h 486584"/>
            <a:gd name="connsiteX3" fmla="*/ 140789 w 154214"/>
            <a:gd name="connsiteY3" fmla="*/ 468648 h 48658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4214" h="486584">
              <a:moveTo>
                <a:pt x="83549" y="0"/>
              </a:moveTo>
              <a:cubicBezTo>
                <a:pt x="37638" y="88244"/>
                <a:pt x="-8272" y="176488"/>
                <a:pt x="1268" y="254000"/>
              </a:cubicBezTo>
              <a:cubicBezTo>
                <a:pt x="10808" y="331512"/>
                <a:pt x="140789" y="465070"/>
                <a:pt x="140789" y="465070"/>
              </a:cubicBezTo>
              <a:cubicBezTo>
                <a:pt x="164043" y="500845"/>
                <a:pt x="152416" y="484746"/>
                <a:pt x="140789" y="468648"/>
              </a:cubicBezTo>
            </a:path>
          </a:pathLst>
        </a:cu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27</xdr:col>
      <xdr:colOff>217671</xdr:colOff>
      <xdr:row>16</xdr:row>
      <xdr:rowOff>85860</xdr:rowOff>
    </xdr:from>
    <xdr:to>
      <xdr:col>27</xdr:col>
      <xdr:colOff>388510</xdr:colOff>
      <xdr:row>18</xdr:row>
      <xdr:rowOff>139521</xdr:rowOff>
    </xdr:to>
    <xdr:sp macro="" textlink="">
      <xdr:nvSpPr>
        <xdr:cNvPr id="21" name="Freeform 20"/>
        <xdr:cNvSpPr/>
      </xdr:nvSpPr>
      <xdr:spPr>
        <a:xfrm flipH="1">
          <a:off x="16369925" y="3198254"/>
          <a:ext cx="170839" cy="425718"/>
        </a:xfrm>
        <a:custGeom>
          <a:avLst/>
          <a:gdLst>
            <a:gd name="connsiteX0" fmla="*/ 83549 w 154214"/>
            <a:gd name="connsiteY0" fmla="*/ 0 h 486584"/>
            <a:gd name="connsiteX1" fmla="*/ 1268 w 154214"/>
            <a:gd name="connsiteY1" fmla="*/ 254000 h 486584"/>
            <a:gd name="connsiteX2" fmla="*/ 140789 w 154214"/>
            <a:gd name="connsiteY2" fmla="*/ 465070 h 486584"/>
            <a:gd name="connsiteX3" fmla="*/ 140789 w 154214"/>
            <a:gd name="connsiteY3" fmla="*/ 468648 h 48658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4214" h="486584">
              <a:moveTo>
                <a:pt x="83549" y="0"/>
              </a:moveTo>
              <a:cubicBezTo>
                <a:pt x="37638" y="88244"/>
                <a:pt x="-8272" y="176488"/>
                <a:pt x="1268" y="254000"/>
              </a:cubicBezTo>
              <a:cubicBezTo>
                <a:pt x="10808" y="331512"/>
                <a:pt x="140789" y="465070"/>
                <a:pt x="140789" y="465070"/>
              </a:cubicBezTo>
              <a:cubicBezTo>
                <a:pt x="164043" y="500845"/>
                <a:pt x="152416" y="484746"/>
                <a:pt x="140789" y="468648"/>
              </a:cubicBezTo>
            </a:path>
          </a:pathLst>
        </a:cu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25</xdr:col>
      <xdr:colOff>300747</xdr:colOff>
      <xdr:row>17</xdr:row>
      <xdr:rowOff>64394</xdr:rowOff>
    </xdr:from>
    <xdr:to>
      <xdr:col>25</xdr:col>
      <xdr:colOff>343437</xdr:colOff>
      <xdr:row>18</xdr:row>
      <xdr:rowOff>14310</xdr:rowOff>
    </xdr:to>
    <xdr:sp macro="" textlink="">
      <xdr:nvSpPr>
        <xdr:cNvPr id="4" name="Freeform 3"/>
        <xdr:cNvSpPr/>
      </xdr:nvSpPr>
      <xdr:spPr>
        <a:xfrm>
          <a:off x="15236662" y="3359239"/>
          <a:ext cx="42690" cy="139522"/>
        </a:xfrm>
        <a:custGeom>
          <a:avLst/>
          <a:gdLst>
            <a:gd name="connsiteX0" fmla="*/ 42690 w 42690"/>
            <a:gd name="connsiteY0" fmla="*/ 0 h 139522"/>
            <a:gd name="connsiteX1" fmla="*/ 24803 w 42690"/>
            <a:gd name="connsiteY1" fmla="*/ 10733 h 139522"/>
            <a:gd name="connsiteX2" fmla="*/ 17648 w 42690"/>
            <a:gd name="connsiteY2" fmla="*/ 21465 h 139522"/>
            <a:gd name="connsiteX3" fmla="*/ 6915 w 42690"/>
            <a:gd name="connsiteY3" fmla="*/ 32198 h 139522"/>
            <a:gd name="connsiteX4" fmla="*/ 6915 w 42690"/>
            <a:gd name="connsiteY4" fmla="*/ 103747 h 139522"/>
            <a:gd name="connsiteX5" fmla="*/ 17648 w 42690"/>
            <a:gd name="connsiteY5" fmla="*/ 114479 h 139522"/>
            <a:gd name="connsiteX6" fmla="*/ 31958 w 42690"/>
            <a:gd name="connsiteY6" fmla="*/ 135944 h 139522"/>
            <a:gd name="connsiteX7" fmla="*/ 42690 w 42690"/>
            <a:gd name="connsiteY7" fmla="*/ 139522 h 13952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42690" h="139522">
              <a:moveTo>
                <a:pt x="42690" y="0"/>
              </a:moveTo>
              <a:cubicBezTo>
                <a:pt x="36728" y="3578"/>
                <a:pt x="30082" y="6208"/>
                <a:pt x="24803" y="10733"/>
              </a:cubicBezTo>
              <a:cubicBezTo>
                <a:pt x="21539" y="13531"/>
                <a:pt x="20401" y="18162"/>
                <a:pt x="17648" y="21465"/>
              </a:cubicBezTo>
              <a:cubicBezTo>
                <a:pt x="14409" y="25352"/>
                <a:pt x="10493" y="28620"/>
                <a:pt x="6915" y="32198"/>
              </a:cubicBezTo>
              <a:cubicBezTo>
                <a:pt x="-2025" y="59021"/>
                <a:pt x="-2582" y="56263"/>
                <a:pt x="6915" y="103747"/>
              </a:cubicBezTo>
              <a:cubicBezTo>
                <a:pt x="7907" y="108708"/>
                <a:pt x="14070" y="110902"/>
                <a:pt x="17648" y="114479"/>
              </a:cubicBezTo>
              <a:cubicBezTo>
                <a:pt x="21461" y="129733"/>
                <a:pt x="17840" y="128884"/>
                <a:pt x="31958" y="135944"/>
              </a:cubicBezTo>
              <a:cubicBezTo>
                <a:pt x="35331" y="137630"/>
                <a:pt x="42690" y="139522"/>
                <a:pt x="42690" y="139522"/>
              </a:cubicBezTo>
            </a:path>
          </a:pathLst>
        </a:custGeom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26</xdr:col>
      <xdr:colOff>5962</xdr:colOff>
      <xdr:row>17</xdr:row>
      <xdr:rowOff>55809</xdr:rowOff>
    </xdr:from>
    <xdr:to>
      <xdr:col>26</xdr:col>
      <xdr:colOff>48652</xdr:colOff>
      <xdr:row>18</xdr:row>
      <xdr:rowOff>5725</xdr:rowOff>
    </xdr:to>
    <xdr:sp macro="" textlink="">
      <xdr:nvSpPr>
        <xdr:cNvPr id="23" name="Freeform 22"/>
        <xdr:cNvSpPr/>
      </xdr:nvSpPr>
      <xdr:spPr>
        <a:xfrm flipH="1">
          <a:off x="15550047" y="3350654"/>
          <a:ext cx="42690" cy="139522"/>
        </a:xfrm>
        <a:custGeom>
          <a:avLst/>
          <a:gdLst>
            <a:gd name="connsiteX0" fmla="*/ 42690 w 42690"/>
            <a:gd name="connsiteY0" fmla="*/ 0 h 139522"/>
            <a:gd name="connsiteX1" fmla="*/ 24803 w 42690"/>
            <a:gd name="connsiteY1" fmla="*/ 10733 h 139522"/>
            <a:gd name="connsiteX2" fmla="*/ 17648 w 42690"/>
            <a:gd name="connsiteY2" fmla="*/ 21465 h 139522"/>
            <a:gd name="connsiteX3" fmla="*/ 6915 w 42690"/>
            <a:gd name="connsiteY3" fmla="*/ 32198 h 139522"/>
            <a:gd name="connsiteX4" fmla="*/ 6915 w 42690"/>
            <a:gd name="connsiteY4" fmla="*/ 103747 h 139522"/>
            <a:gd name="connsiteX5" fmla="*/ 17648 w 42690"/>
            <a:gd name="connsiteY5" fmla="*/ 114479 h 139522"/>
            <a:gd name="connsiteX6" fmla="*/ 31958 w 42690"/>
            <a:gd name="connsiteY6" fmla="*/ 135944 h 139522"/>
            <a:gd name="connsiteX7" fmla="*/ 42690 w 42690"/>
            <a:gd name="connsiteY7" fmla="*/ 139522 h 13952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42690" h="139522">
              <a:moveTo>
                <a:pt x="42690" y="0"/>
              </a:moveTo>
              <a:cubicBezTo>
                <a:pt x="36728" y="3578"/>
                <a:pt x="30082" y="6208"/>
                <a:pt x="24803" y="10733"/>
              </a:cubicBezTo>
              <a:cubicBezTo>
                <a:pt x="21539" y="13531"/>
                <a:pt x="20401" y="18162"/>
                <a:pt x="17648" y="21465"/>
              </a:cubicBezTo>
              <a:cubicBezTo>
                <a:pt x="14409" y="25352"/>
                <a:pt x="10493" y="28620"/>
                <a:pt x="6915" y="32198"/>
              </a:cubicBezTo>
              <a:cubicBezTo>
                <a:pt x="-2025" y="59021"/>
                <a:pt x="-2582" y="56263"/>
                <a:pt x="6915" y="103747"/>
              </a:cubicBezTo>
              <a:cubicBezTo>
                <a:pt x="7907" y="108708"/>
                <a:pt x="14070" y="110902"/>
                <a:pt x="17648" y="114479"/>
              </a:cubicBezTo>
              <a:cubicBezTo>
                <a:pt x="21461" y="129733"/>
                <a:pt x="17840" y="128884"/>
                <a:pt x="31958" y="135944"/>
              </a:cubicBezTo>
              <a:cubicBezTo>
                <a:pt x="35331" y="137630"/>
                <a:pt x="42690" y="139522"/>
                <a:pt x="42690" y="139522"/>
              </a:cubicBezTo>
            </a:path>
          </a:pathLst>
        </a:custGeom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426720</xdr:colOff>
      <xdr:row>0</xdr:row>
      <xdr:rowOff>45720</xdr:rowOff>
    </xdr:from>
    <xdr:to>
      <xdr:col>36</xdr:col>
      <xdr:colOff>359684</xdr:colOff>
      <xdr:row>3</xdr:row>
      <xdr:rowOff>123586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Rectangle 1"/>
            <xdr:cNvSpPr/>
          </xdr:nvSpPr>
          <xdr:spPr>
            <a:xfrm>
              <a:off x="18348960" y="45720"/>
              <a:ext cx="1761764" cy="664606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lang="pt-PT" altLang="en-US" i="0">
                        <a:latin typeface="Cambria Math" panose="02040503050406030204" pitchFamily="18" charset="0"/>
                      </a:rPr>
                      <m:t>Cspac</m:t>
                    </m:r>
                    <m:r>
                      <a:rPr lang="pt-PT" altLang="en-US" i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t-PT" altLang="en-US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pt-PT" altLang="en-US" i="0">
                            <a:latin typeface="Cambria Math" panose="02040503050406030204" pitchFamily="18" charset="0"/>
                          </a:rPr>
                          <m:t>100</m:t>
                        </m:r>
                      </m:num>
                      <m:den>
                        <m:acc>
                          <m:accPr>
                            <m:chr m:val="̅"/>
                            <m:ctrlPr>
                              <a:rPr lang="pt-PT" altLang="en-US" i="1">
                                <a:latin typeface="Cambria Math" panose="02040503050406030204" pitchFamily="18" charset="0"/>
                              </a:rPr>
                            </m:ctrlPr>
                          </m:accPr>
                          <m:e>
                            <m:r>
                              <m:rPr>
                                <m:sty m:val="p"/>
                              </m:rPr>
                              <a:rPr lang="pt-PT" altLang="en-US" i="0">
                                <a:latin typeface="Cambria Math" panose="02040503050406030204" pitchFamily="18" charset="0"/>
                              </a:rPr>
                              <m:t>cw</m:t>
                            </m:r>
                          </m:e>
                        </m:acc>
                        <m:rad>
                          <m:radPr>
                            <m:degHide m:val="on"/>
                            <m:ctrlPr>
                              <a:rPr lang="pt-PT" altLang="en-US" i="1">
                                <a:latin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r>
                              <m:rPr>
                                <m:sty m:val="p"/>
                              </m:rPr>
                              <a:rPr lang="pt-PT" altLang="en-US" i="0">
                                <a:latin typeface="Cambria Math" panose="02040503050406030204" pitchFamily="18" charset="0"/>
                              </a:rPr>
                              <m:t>N</m:t>
                            </m:r>
                          </m:e>
                        </m:rad>
                      </m:den>
                    </m:f>
                  </m:oMath>
                </m:oMathPara>
              </a14:m>
              <a:endParaRPr lang="en-US"/>
            </a:p>
          </xdr:txBody>
        </xdr:sp>
      </mc:Choice>
      <mc:Fallback xmlns="">
        <xdr:sp macro="" textlink="">
          <xdr:nvSpPr>
            <xdr:cNvPr id="2" name="Rectangle 1"/>
            <xdr:cNvSpPr/>
          </xdr:nvSpPr>
          <xdr:spPr>
            <a:xfrm>
              <a:off x="18348960" y="45720"/>
              <a:ext cx="1761764" cy="664606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pt-PT" altLang="en-US" i="0">
                  <a:latin typeface="Cambria Math" panose="02040503050406030204" pitchFamily="18" charset="0"/>
                </a:rPr>
                <a:t>Cspac=100/((cw) ̅√N)</a:t>
              </a:r>
              <a:endParaRPr lang="en-US"/>
            </a:p>
          </xdr:txBody>
        </xdr:sp>
      </mc:Fallback>
    </mc:AlternateContent>
    <xdr:clientData/>
  </xdr:twoCellAnchor>
  <xdr:twoCellAnchor>
    <xdr:from>
      <xdr:col>36</xdr:col>
      <xdr:colOff>373380</xdr:colOff>
      <xdr:row>0</xdr:row>
      <xdr:rowOff>68580</xdr:rowOff>
    </xdr:from>
    <xdr:to>
      <xdr:col>40</xdr:col>
      <xdr:colOff>398731</xdr:colOff>
      <xdr:row>3</xdr:row>
      <xdr:rowOff>115540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Rectangle 2"/>
            <xdr:cNvSpPr/>
          </xdr:nvSpPr>
          <xdr:spPr>
            <a:xfrm>
              <a:off x="20124420" y="68580"/>
              <a:ext cx="2463751" cy="633700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400050" lvl="1" indent="0">
                <a:buNone/>
              </a:pPr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lang="pt-PT" altLang="en-US" i="0">
                        <a:latin typeface="Cambria Math" panose="02040503050406030204" pitchFamily="18" charset="0"/>
                      </a:rPr>
                      <m:t>Cc</m:t>
                    </m:r>
                    <m:r>
                      <a:rPr lang="pt-PT" altLang="en-US" i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t-PT" altLang="en-US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nary>
                          <m:naryPr>
                            <m:chr m:val="∑"/>
                            <m:ctrlPr>
                              <a:rPr lang="pt-PT" altLang="en-US" i="1">
                                <a:latin typeface="Cambria Math" panose="02040503050406030204" pitchFamily="18" charset="0"/>
                              </a:rPr>
                            </m:ctrlPr>
                          </m:naryPr>
                          <m:sub>
                            <m:r>
                              <m:rPr>
                                <m:sty m:val="p"/>
                                <m:brk m:alnAt="23"/>
                              </m:rPr>
                              <a:rPr lang="pt-PT" altLang="en-US" i="0">
                                <a:latin typeface="Cambria Math" panose="02040503050406030204" pitchFamily="18" charset="0"/>
                              </a:rPr>
                              <m:t>i</m:t>
                            </m:r>
                            <m:r>
                              <a:rPr lang="pt-PT" altLang="en-US" i="0">
                                <a:latin typeface="Cambria Math" panose="02040503050406030204" pitchFamily="18" charset="0"/>
                              </a:rPr>
                              <m:t>=1</m:t>
                            </m:r>
                          </m:sub>
                          <m:sup>
                            <m:r>
                              <m:rPr>
                                <m:sty m:val="p"/>
                              </m:rPr>
                              <a:rPr lang="pt-PT" altLang="en-US" i="0">
                                <a:latin typeface="Cambria Math" panose="02040503050406030204" pitchFamily="18" charset="0"/>
                              </a:rPr>
                              <m:t>n</m:t>
                            </m:r>
                          </m:sup>
                          <m:e>
                            <m:sSub>
                              <m:sSubPr>
                                <m:ctrlPr>
                                  <a:rPr lang="pt-PT" altLang="en-US" i="1"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m:rPr>
                                    <m:sty m:val="p"/>
                                  </m:rPr>
                                  <a:rPr lang="pt-PT" altLang="en-US" i="0">
                                    <a:latin typeface="Cambria Math" panose="02040503050406030204" pitchFamily="18" charset="0"/>
                                  </a:rPr>
                                  <m:t>ca</m:t>
                                </m:r>
                              </m:e>
                              <m:sub>
                                <m:r>
                                  <m:rPr>
                                    <m:sty m:val="p"/>
                                  </m:rPr>
                                  <a:rPr lang="pt-PT" altLang="en-US" i="0">
                                    <a:latin typeface="Cambria Math" panose="02040503050406030204" pitchFamily="18" charset="0"/>
                                  </a:rPr>
                                  <m:t>i</m:t>
                                </m:r>
                              </m:sub>
                            </m:sSub>
                          </m:e>
                        </m:nary>
                      </m:num>
                      <m:den>
                        <m:r>
                          <m:rPr>
                            <m:sty m:val="p"/>
                          </m:rPr>
                          <a:rPr lang="pt-PT" altLang="en-US" i="0">
                            <a:latin typeface="Cambria Math" panose="02040503050406030204" pitchFamily="18" charset="0"/>
                          </a:rPr>
                          <m:t>A</m:t>
                        </m:r>
                      </m:den>
                    </m:f>
                    <m:r>
                      <a:rPr lang="pt-PT" altLang="en-US" i="0">
                        <a:latin typeface="Cambria Math" panose="02040503050406030204" pitchFamily="18" charset="0"/>
                      </a:rPr>
                      <m:t> 100</m:t>
                    </m:r>
                  </m:oMath>
                </m:oMathPara>
              </a14:m>
              <a:endParaRPr lang="pt-PT" altLang="en-US"/>
            </a:p>
          </xdr:txBody>
        </xdr:sp>
      </mc:Choice>
      <mc:Fallback xmlns="">
        <xdr:sp macro="" textlink="">
          <xdr:nvSpPr>
            <xdr:cNvPr id="3" name="Rectangle 2"/>
            <xdr:cNvSpPr/>
          </xdr:nvSpPr>
          <xdr:spPr>
            <a:xfrm>
              <a:off x="20124420" y="68580"/>
              <a:ext cx="2463751" cy="633700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400050" lvl="1" indent="0">
                <a:buNone/>
              </a:pPr>
              <a:r>
                <a:rPr lang="pt-PT" altLang="en-US" i="0">
                  <a:latin typeface="Cambria Math" panose="02040503050406030204" pitchFamily="18" charset="0"/>
                </a:rPr>
                <a:t>Cc=(∑_(i=1)^n▒ca_i )/A  100</a:t>
              </a:r>
              <a:endParaRPr lang="pt-PT" altLang="en-US"/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45720</xdr:colOff>
          <xdr:row>6</xdr:row>
          <xdr:rowOff>220980</xdr:rowOff>
        </xdr:from>
        <xdr:to>
          <xdr:col>20</xdr:col>
          <xdr:colOff>53340</xdr:colOff>
          <xdr:row>9</xdr:row>
          <xdr:rowOff>68580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640080</xdr:colOff>
          <xdr:row>14</xdr:row>
          <xdr:rowOff>114300</xdr:rowOff>
        </xdr:from>
        <xdr:to>
          <xdr:col>17</xdr:col>
          <xdr:colOff>251460</xdr:colOff>
          <xdr:row>17</xdr:row>
          <xdr:rowOff>106680</xdr:rowOff>
        </xdr:to>
        <xdr:sp macro="" textlink="">
          <xdr:nvSpPr>
            <xdr:cNvPr id="6146" name="Object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198120</xdr:colOff>
      <xdr:row>7</xdr:row>
      <xdr:rowOff>53340</xdr:rowOff>
    </xdr:from>
    <xdr:to>
      <xdr:col>13</xdr:col>
      <xdr:colOff>144780</xdr:colOff>
      <xdr:row>7</xdr:row>
      <xdr:rowOff>297180</xdr:rowOff>
    </xdr:to>
    <xdr:pic>
      <xdr:nvPicPr>
        <xdr:cNvPr id="2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3720" y="1341120"/>
          <a:ext cx="116586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449580</xdr:colOff>
      <xdr:row>7</xdr:row>
      <xdr:rowOff>76200</xdr:rowOff>
    </xdr:from>
    <xdr:to>
      <xdr:col>18</xdr:col>
      <xdr:colOff>403860</xdr:colOff>
      <xdr:row>7</xdr:row>
      <xdr:rowOff>708660</xdr:rowOff>
    </xdr:to>
    <xdr:pic>
      <xdr:nvPicPr>
        <xdr:cNvPr id="3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3980" y="1363980"/>
          <a:ext cx="2392680" cy="632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53340</xdr:colOff>
      <xdr:row>16</xdr:row>
      <xdr:rowOff>83820</xdr:rowOff>
    </xdr:from>
    <xdr:to>
      <xdr:col>14</xdr:col>
      <xdr:colOff>43612</xdr:colOff>
      <xdr:row>18</xdr:row>
      <xdr:rowOff>137160</xdr:rowOff>
    </xdr:to>
    <xdr:pic>
      <xdr:nvPicPr>
        <xdr:cNvPr id="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8940" y="4450080"/>
          <a:ext cx="1819072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335280</xdr:colOff>
      <xdr:row>16</xdr:row>
      <xdr:rowOff>45720</xdr:rowOff>
    </xdr:from>
    <xdr:to>
      <xdr:col>18</xdr:col>
      <xdr:colOff>556260</xdr:colOff>
      <xdr:row>19</xdr:row>
      <xdr:rowOff>152400</xdr:rowOff>
    </xdr:to>
    <xdr:pic>
      <xdr:nvPicPr>
        <xdr:cNvPr id="5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9680" y="4411980"/>
          <a:ext cx="2659380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220980</xdr:colOff>
      <xdr:row>18</xdr:row>
      <xdr:rowOff>152400</xdr:rowOff>
    </xdr:from>
    <xdr:to>
      <xdr:col>14</xdr:col>
      <xdr:colOff>297180</xdr:colOff>
      <xdr:row>19</xdr:row>
      <xdr:rowOff>152400</xdr:rowOff>
    </xdr:to>
    <xdr:pic>
      <xdr:nvPicPr>
        <xdr:cNvPr id="6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5780" y="4884420"/>
          <a:ext cx="685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27</xdr:row>
          <xdr:rowOff>0</xdr:rowOff>
        </xdr:from>
        <xdr:to>
          <xdr:col>13</xdr:col>
          <xdr:colOff>0</xdr:colOff>
          <xdr:row>29</xdr:row>
          <xdr:rowOff>15240</xdr:rowOff>
        </xdr:to>
        <xdr:sp macro="" textlink="">
          <xdr:nvSpPr>
            <xdr:cNvPr id="7175" name="Object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525780</xdr:colOff>
          <xdr:row>28</xdr:row>
          <xdr:rowOff>38100</xdr:rowOff>
        </xdr:from>
        <xdr:to>
          <xdr:col>18</xdr:col>
          <xdr:colOff>449580</xdr:colOff>
          <xdr:row>30</xdr:row>
          <xdr:rowOff>129540</xdr:rowOff>
        </xdr:to>
        <xdr:sp macro="" textlink="">
          <xdr:nvSpPr>
            <xdr:cNvPr id="7174" name="Object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30</xdr:row>
          <xdr:rowOff>0</xdr:rowOff>
        </xdr:from>
        <xdr:to>
          <xdr:col>13</xdr:col>
          <xdr:colOff>304800</xdr:colOff>
          <xdr:row>31</xdr:row>
          <xdr:rowOff>45720</xdr:rowOff>
        </xdr:to>
        <xdr:sp macro="" textlink="">
          <xdr:nvSpPr>
            <xdr:cNvPr id="7173" name="Object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31</xdr:row>
          <xdr:rowOff>0</xdr:rowOff>
        </xdr:from>
        <xdr:to>
          <xdr:col>12</xdr:col>
          <xdr:colOff>76200</xdr:colOff>
          <xdr:row>32</xdr:row>
          <xdr:rowOff>45720</xdr:rowOff>
        </xdr:to>
        <xdr:sp macro="" textlink="">
          <xdr:nvSpPr>
            <xdr:cNvPr id="7172" name="Object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32</xdr:row>
          <xdr:rowOff>0</xdr:rowOff>
        </xdr:from>
        <xdr:to>
          <xdr:col>12</xdr:col>
          <xdr:colOff>228600</xdr:colOff>
          <xdr:row>33</xdr:row>
          <xdr:rowOff>114300</xdr:rowOff>
        </xdr:to>
        <xdr:sp macro="" textlink="">
          <xdr:nvSpPr>
            <xdr:cNvPr id="7171" name="Object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17</xdr:col>
      <xdr:colOff>591128</xdr:colOff>
      <xdr:row>7</xdr:row>
      <xdr:rowOff>143164</xdr:rowOff>
    </xdr:from>
    <xdr:to>
      <xdr:col>18</xdr:col>
      <xdr:colOff>480292</xdr:colOff>
      <xdr:row>7</xdr:row>
      <xdr:rowOff>701964</xdr:rowOff>
    </xdr:to>
    <xdr:sp macro="" textlink="">
      <xdr:nvSpPr>
        <xdr:cNvPr id="7" name="Oval 6"/>
        <xdr:cNvSpPr/>
      </xdr:nvSpPr>
      <xdr:spPr>
        <a:xfrm>
          <a:off x="11000510" y="1440873"/>
          <a:ext cx="498764" cy="5588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19</xdr:col>
      <xdr:colOff>73891</xdr:colOff>
      <xdr:row>7</xdr:row>
      <xdr:rowOff>69273</xdr:rowOff>
    </xdr:from>
    <xdr:to>
      <xdr:col>21</xdr:col>
      <xdr:colOff>599064</xdr:colOff>
      <xdr:row>7</xdr:row>
      <xdr:rowOff>731290</xdr:rowOff>
    </xdr:to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3" name="Rectangle 12"/>
            <xdr:cNvSpPr/>
          </xdr:nvSpPr>
          <xdr:spPr>
            <a:xfrm>
              <a:off x="11702473" y="1366982"/>
              <a:ext cx="1744373" cy="662017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lang="pt-PT" altLang="en-US" i="0">
                        <a:latin typeface="Cambria Math" panose="02040503050406030204" pitchFamily="18" charset="0"/>
                      </a:rPr>
                      <m:t>Fw</m:t>
                    </m:r>
                    <m:r>
                      <a:rPr lang="pt-PT" altLang="en-US" i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t-PT" altLang="en-US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pt-PT" altLang="en-US" i="0">
                            <a:latin typeface="Cambria Math" panose="02040503050406030204" pitchFamily="18" charset="0"/>
                          </a:rPr>
                          <m:t>100</m:t>
                        </m:r>
                      </m:num>
                      <m:den>
                        <m:r>
                          <m:rPr>
                            <m:sty m:val="p"/>
                          </m:rPr>
                          <a:rPr lang="pt-PT" altLang="en-US" i="0">
                            <a:latin typeface="Cambria Math" panose="02040503050406030204" pitchFamily="18" charset="0"/>
                          </a:rPr>
                          <m:t>hdom</m:t>
                        </m:r>
                        <m:rad>
                          <m:radPr>
                            <m:degHide m:val="on"/>
                            <m:ctrlPr>
                              <a:rPr lang="pt-PT" altLang="en-US" i="1">
                                <a:latin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r>
                              <m:rPr>
                                <m:sty m:val="p"/>
                              </m:rPr>
                              <a:rPr lang="pt-PT" altLang="en-US" i="0">
                                <a:latin typeface="Cambria Math" panose="02040503050406030204" pitchFamily="18" charset="0"/>
                              </a:rPr>
                              <m:t>N</m:t>
                            </m:r>
                          </m:e>
                        </m:rad>
                      </m:den>
                    </m:f>
                  </m:oMath>
                </m:oMathPara>
              </a14:m>
              <a:endParaRPr lang="en-US"/>
            </a:p>
          </xdr:txBody>
        </xdr:sp>
      </mc:Choice>
      <mc:Fallback>
        <xdr:sp macro="" textlink="">
          <xdr:nvSpPr>
            <xdr:cNvPr id="13" name="Rectangle 12"/>
            <xdr:cNvSpPr/>
          </xdr:nvSpPr>
          <xdr:spPr>
            <a:xfrm>
              <a:off x="11702473" y="1366982"/>
              <a:ext cx="1744373" cy="662017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pt-PT" altLang="en-US" i="0">
                  <a:latin typeface="Cambria Math" panose="02040503050406030204" pitchFamily="18" charset="0"/>
                </a:rPr>
                <a:t>Fw=100/(hdom√N)</a:t>
              </a:r>
              <a:endParaRPr lang="en-US"/>
            </a:p>
          </xdr:txBody>
        </xdr:sp>
      </mc:Fallback>
    </mc:AlternateContent>
    <xdr:clientData/>
  </xdr:twoCellAnchor>
  <xdr:twoCellAnchor editAs="oneCell">
    <xdr:from>
      <xdr:col>8</xdr:col>
      <xdr:colOff>318358</xdr:colOff>
      <xdr:row>7</xdr:row>
      <xdr:rowOff>23135</xdr:rowOff>
    </xdr:from>
    <xdr:to>
      <xdr:col>10</xdr:col>
      <xdr:colOff>431493</xdr:colOff>
      <xdr:row>12</xdr:row>
      <xdr:rowOff>26955</xdr:rowOff>
    </xdr:to>
    <xdr:pic>
      <xdr:nvPicPr>
        <xdr:cNvPr id="14" name="Picture 13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7163" t="3101" r="27557" b="5201"/>
        <a:stretch/>
      </xdr:blipFill>
      <xdr:spPr>
        <a:xfrm>
          <a:off x="5211683" y="1317617"/>
          <a:ext cx="1324991" cy="15278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.bin"/><Relationship Id="rId13" Type="http://schemas.openxmlformats.org/officeDocument/2006/relationships/image" Target="../media/image6.w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3.wmf"/><Relationship Id="rId12" Type="http://schemas.openxmlformats.org/officeDocument/2006/relationships/oleObject" Target="../embeddings/oleObject6.bin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3.bin"/><Relationship Id="rId11" Type="http://schemas.openxmlformats.org/officeDocument/2006/relationships/image" Target="../media/image5.wmf"/><Relationship Id="rId5" Type="http://schemas.openxmlformats.org/officeDocument/2006/relationships/image" Target="../media/image2.wmf"/><Relationship Id="rId15" Type="http://schemas.openxmlformats.org/officeDocument/2006/relationships/image" Target="../media/image7.wmf"/><Relationship Id="rId10" Type="http://schemas.openxmlformats.org/officeDocument/2006/relationships/oleObject" Target="../embeddings/oleObject5.bin"/><Relationship Id="rId4" Type="http://schemas.openxmlformats.org/officeDocument/2006/relationships/oleObject" Target="../embeddings/oleObject2.bin"/><Relationship Id="rId9" Type="http://schemas.openxmlformats.org/officeDocument/2006/relationships/image" Target="../media/image4.wmf"/><Relationship Id="rId14" Type="http://schemas.openxmlformats.org/officeDocument/2006/relationships/oleObject" Target="../embeddings/oleObject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8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4.xml"/><Relationship Id="rId6" Type="http://schemas.openxmlformats.org/officeDocument/2006/relationships/image" Target="../media/image14.emf"/><Relationship Id="rId5" Type="http://schemas.openxmlformats.org/officeDocument/2006/relationships/oleObject" Target="../embeddings/oleObject9.bin"/><Relationship Id="rId4" Type="http://schemas.openxmlformats.org/officeDocument/2006/relationships/image" Target="../media/image13.emf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2.bin"/><Relationship Id="rId13" Type="http://schemas.openxmlformats.org/officeDocument/2006/relationships/image" Target="../media/image19.wmf"/><Relationship Id="rId3" Type="http://schemas.openxmlformats.org/officeDocument/2006/relationships/vmlDrawing" Target="../drawings/vmlDrawing4.vml"/><Relationship Id="rId7" Type="http://schemas.openxmlformats.org/officeDocument/2006/relationships/image" Target="../media/image16.wmf"/><Relationship Id="rId12" Type="http://schemas.openxmlformats.org/officeDocument/2006/relationships/oleObject" Target="../embeddings/oleObject14.bin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11.bin"/><Relationship Id="rId11" Type="http://schemas.openxmlformats.org/officeDocument/2006/relationships/image" Target="../media/image18.wmf"/><Relationship Id="rId5" Type="http://schemas.openxmlformats.org/officeDocument/2006/relationships/image" Target="../media/image15.wmf"/><Relationship Id="rId10" Type="http://schemas.openxmlformats.org/officeDocument/2006/relationships/oleObject" Target="../embeddings/oleObject13.bin"/><Relationship Id="rId4" Type="http://schemas.openxmlformats.org/officeDocument/2006/relationships/oleObject" Target="../embeddings/oleObject10.bin"/><Relationship Id="rId9" Type="http://schemas.openxmlformats.org/officeDocument/2006/relationships/image" Target="../media/image17.w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O28"/>
  <sheetViews>
    <sheetView zoomScale="95" zoomScaleNormal="95" workbookViewId="0">
      <selection activeCell="AH3" sqref="AH3"/>
    </sheetView>
  </sheetViews>
  <sheetFormatPr defaultRowHeight="14.4" x14ac:dyDescent="0.3"/>
  <cols>
    <col min="1" max="1" width="1.77734375" customWidth="1"/>
    <col min="2" max="3" width="4.5546875" customWidth="1"/>
    <col min="4" max="12" width="2.33203125" customWidth="1"/>
    <col min="13" max="13" width="3" customWidth="1"/>
    <col min="14" max="16" width="2.33203125" customWidth="1"/>
    <col min="17" max="17" width="5.5546875" customWidth="1"/>
    <col min="18" max="19" width="3.109375" customWidth="1"/>
    <col min="20" max="32" width="3" customWidth="1"/>
    <col min="34" max="41" width="4.21875" customWidth="1"/>
  </cols>
  <sheetData>
    <row r="2" spans="2:41" ht="15" thickBot="1" x14ac:dyDescent="0.35">
      <c r="B2" s="334" t="s">
        <v>50</v>
      </c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4"/>
      <c r="T2" s="334"/>
      <c r="U2" s="334"/>
      <c r="V2" s="334"/>
      <c r="W2" s="334"/>
      <c r="X2" s="334"/>
      <c r="Y2" s="334"/>
      <c r="Z2" s="334"/>
      <c r="AA2" s="334"/>
      <c r="AB2" s="334"/>
      <c r="AC2" s="334"/>
      <c r="AD2" s="334"/>
      <c r="AE2" s="334"/>
      <c r="AF2" s="334"/>
    </row>
    <row r="3" spans="2:41" ht="15.6" thickTop="1" thickBot="1" x14ac:dyDescent="0.35">
      <c r="B3" s="416" t="s">
        <v>51</v>
      </c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8"/>
      <c r="Q3" s="377" t="s">
        <v>52</v>
      </c>
      <c r="R3" s="378"/>
      <c r="S3" s="378"/>
      <c r="T3" s="378"/>
      <c r="U3" s="378"/>
      <c r="V3" s="378"/>
      <c r="W3" s="378"/>
      <c r="X3" s="378"/>
      <c r="Y3" s="378"/>
      <c r="Z3" s="378"/>
      <c r="AA3" s="378"/>
      <c r="AB3" s="378"/>
      <c r="AC3" s="378"/>
      <c r="AD3" s="378"/>
      <c r="AE3" s="378"/>
      <c r="AF3" s="380"/>
    </row>
    <row r="4" spans="2:41" ht="16.2" customHeight="1" thickTop="1" thickBot="1" x14ac:dyDescent="0.35">
      <c r="B4" s="419" t="s">
        <v>53</v>
      </c>
      <c r="C4" s="376"/>
      <c r="D4" s="420" t="s">
        <v>54</v>
      </c>
      <c r="E4" s="421"/>
      <c r="F4" s="421"/>
      <c r="G4" s="421"/>
      <c r="H4" s="421"/>
      <c r="I4" s="421"/>
      <c r="J4" s="421"/>
      <c r="K4" s="421"/>
      <c r="L4" s="421"/>
      <c r="M4" s="422"/>
      <c r="N4" s="423" t="s">
        <v>55</v>
      </c>
      <c r="O4" s="424"/>
      <c r="P4" s="425"/>
      <c r="Q4" s="426" t="s">
        <v>56</v>
      </c>
      <c r="R4" s="427"/>
      <c r="S4" s="427"/>
      <c r="T4" s="427"/>
      <c r="U4" s="427"/>
      <c r="V4" s="427"/>
      <c r="W4" s="427"/>
      <c r="X4" s="427"/>
      <c r="Y4" s="427"/>
      <c r="Z4" s="427"/>
      <c r="AA4" s="428"/>
      <c r="AB4" s="423" t="s">
        <v>57</v>
      </c>
      <c r="AC4" s="424"/>
      <c r="AD4" s="424"/>
      <c r="AE4" s="424"/>
      <c r="AF4" s="425"/>
    </row>
    <row r="5" spans="2:41" ht="15.6" thickTop="1" thickBot="1" x14ac:dyDescent="0.35">
      <c r="B5" s="431" t="s">
        <v>58</v>
      </c>
      <c r="C5" s="432"/>
      <c r="D5" s="326"/>
      <c r="E5" s="327"/>
      <c r="F5" s="328"/>
      <c r="G5" s="327"/>
      <c r="H5" s="328"/>
      <c r="I5" s="327"/>
      <c r="J5" s="328"/>
      <c r="K5" s="327"/>
      <c r="L5" s="392"/>
      <c r="M5" s="393"/>
      <c r="N5" s="407"/>
      <c r="O5" s="408"/>
      <c r="P5" s="17"/>
      <c r="Q5" s="39">
        <v>30.6</v>
      </c>
      <c r="R5" s="409">
        <v>19.600000000000001</v>
      </c>
      <c r="S5" s="410"/>
      <c r="T5" s="411"/>
      <c r="U5" s="412"/>
      <c r="V5" s="409"/>
      <c r="W5" s="410"/>
      <c r="X5" s="411"/>
      <c r="Y5" s="412"/>
      <c r="Z5" s="409"/>
      <c r="AA5" s="410"/>
      <c r="AB5" s="411">
        <v>8.4</v>
      </c>
      <c r="AC5" s="412"/>
      <c r="AD5" s="409"/>
      <c r="AE5" s="410"/>
      <c r="AF5" s="18"/>
      <c r="AH5" s="413" t="s">
        <v>59</v>
      </c>
      <c r="AI5" s="414"/>
      <c r="AJ5" s="415"/>
      <c r="AK5" s="408"/>
      <c r="AL5" s="415"/>
      <c r="AM5" s="408"/>
      <c r="AN5" s="415"/>
      <c r="AO5" s="408"/>
    </row>
    <row r="6" spans="2:41" ht="15" thickBot="1" x14ac:dyDescent="0.35">
      <c r="B6" s="429" t="s">
        <v>60</v>
      </c>
      <c r="C6" s="430"/>
      <c r="D6" s="326"/>
      <c r="E6" s="327"/>
      <c r="F6" s="328"/>
      <c r="G6" s="327"/>
      <c r="H6" s="328"/>
      <c r="I6" s="327"/>
      <c r="J6" s="328"/>
      <c r="K6" s="327"/>
      <c r="L6" s="392"/>
      <c r="M6" s="393"/>
      <c r="N6" s="388"/>
      <c r="O6" s="389"/>
      <c r="P6" s="17"/>
      <c r="Q6" s="40">
        <v>26.4</v>
      </c>
      <c r="R6" s="355">
        <v>21.7</v>
      </c>
      <c r="S6" s="356"/>
      <c r="T6" s="359"/>
      <c r="U6" s="360"/>
      <c r="V6" s="355"/>
      <c r="W6" s="356"/>
      <c r="X6" s="359"/>
      <c r="Y6" s="360"/>
      <c r="Z6" s="355"/>
      <c r="AA6" s="356"/>
      <c r="AB6" s="359"/>
      <c r="AC6" s="360"/>
      <c r="AD6" s="355"/>
      <c r="AE6" s="356"/>
      <c r="AF6" s="18"/>
      <c r="AH6" s="390" t="s">
        <v>59</v>
      </c>
      <c r="AI6" s="386"/>
      <c r="AJ6" s="391"/>
      <c r="AK6" s="389"/>
      <c r="AL6" s="391"/>
      <c r="AM6" s="389"/>
      <c r="AN6" s="391"/>
      <c r="AO6" s="389"/>
    </row>
    <row r="7" spans="2:41" ht="15" thickBot="1" x14ac:dyDescent="0.35">
      <c r="B7" s="400" t="s">
        <v>61</v>
      </c>
      <c r="C7" s="401"/>
      <c r="D7" s="326" t="s">
        <v>59</v>
      </c>
      <c r="E7" s="327"/>
      <c r="F7" s="328"/>
      <c r="G7" s="327"/>
      <c r="H7" s="328"/>
      <c r="I7" s="327"/>
      <c r="J7" s="328"/>
      <c r="K7" s="327"/>
      <c r="L7" s="392"/>
      <c r="M7" s="393"/>
      <c r="N7" s="388"/>
      <c r="O7" s="389"/>
      <c r="P7" s="17"/>
      <c r="Q7" s="41">
        <v>14.6</v>
      </c>
      <c r="R7" s="355">
        <v>23.2</v>
      </c>
      <c r="S7" s="356"/>
      <c r="T7" s="359"/>
      <c r="U7" s="360"/>
      <c r="V7" s="355"/>
      <c r="W7" s="356"/>
      <c r="X7" s="359"/>
      <c r="Y7" s="360"/>
      <c r="Z7" s="355"/>
      <c r="AA7" s="356"/>
      <c r="AB7" s="359"/>
      <c r="AC7" s="360"/>
      <c r="AD7" s="355"/>
      <c r="AE7" s="356"/>
      <c r="AF7" s="18"/>
      <c r="AH7" s="390" t="s">
        <v>62</v>
      </c>
      <c r="AI7" s="386"/>
      <c r="AJ7" s="391"/>
      <c r="AK7" s="389"/>
      <c r="AL7" s="391"/>
      <c r="AM7" s="389"/>
      <c r="AN7" s="391"/>
      <c r="AO7" s="389"/>
    </row>
    <row r="8" spans="2:41" ht="15" thickBot="1" x14ac:dyDescent="0.35">
      <c r="B8" s="398" t="s">
        <v>63</v>
      </c>
      <c r="C8" s="399"/>
      <c r="D8" s="326"/>
      <c r="E8" s="327"/>
      <c r="F8" s="328"/>
      <c r="G8" s="327"/>
      <c r="H8" s="328"/>
      <c r="I8" s="327"/>
      <c r="J8" s="328"/>
      <c r="K8" s="327"/>
      <c r="L8" s="392"/>
      <c r="M8" s="393"/>
      <c r="N8" s="388"/>
      <c r="O8" s="389"/>
      <c r="P8" s="17"/>
      <c r="Q8" s="26">
        <v>24.1</v>
      </c>
      <c r="R8" s="355">
        <v>25.4</v>
      </c>
      <c r="S8" s="356"/>
      <c r="T8" s="359"/>
      <c r="U8" s="360"/>
      <c r="V8" s="355"/>
      <c r="W8" s="356"/>
      <c r="X8" s="359"/>
      <c r="Y8" s="360"/>
      <c r="Z8" s="355"/>
      <c r="AA8" s="356"/>
      <c r="AB8" s="359"/>
      <c r="AC8" s="360"/>
      <c r="AD8" s="355"/>
      <c r="AE8" s="356"/>
      <c r="AF8" s="18"/>
      <c r="AH8" s="402" t="s">
        <v>62</v>
      </c>
      <c r="AI8" s="403"/>
      <c r="AJ8" s="391" t="s">
        <v>62</v>
      </c>
      <c r="AK8" s="389"/>
      <c r="AL8" s="391"/>
      <c r="AM8" s="389"/>
      <c r="AN8" s="391"/>
      <c r="AO8" s="389"/>
    </row>
    <row r="9" spans="2:41" ht="15" thickBot="1" x14ac:dyDescent="0.35">
      <c r="B9" s="396" t="s">
        <v>64</v>
      </c>
      <c r="C9" s="397"/>
      <c r="D9" s="326" t="s">
        <v>83</v>
      </c>
      <c r="E9" s="327"/>
      <c r="F9" s="328" t="s">
        <v>59</v>
      </c>
      <c r="G9" s="327"/>
      <c r="H9" s="328"/>
      <c r="I9" s="327"/>
      <c r="J9" s="328"/>
      <c r="K9" s="327"/>
      <c r="L9" s="392"/>
      <c r="M9" s="393"/>
      <c r="N9" s="388"/>
      <c r="O9" s="389"/>
      <c r="P9" s="17"/>
      <c r="Q9" s="26">
        <v>26</v>
      </c>
      <c r="R9" s="355">
        <v>14.5</v>
      </c>
      <c r="S9" s="356"/>
      <c r="T9" s="359"/>
      <c r="U9" s="360"/>
      <c r="V9" s="355"/>
      <c r="W9" s="356"/>
      <c r="X9" s="359"/>
      <c r="Y9" s="360"/>
      <c r="Z9" s="355"/>
      <c r="AA9" s="356"/>
      <c r="AB9" s="359"/>
      <c r="AC9" s="360"/>
      <c r="AD9" s="355"/>
      <c r="AE9" s="356"/>
      <c r="AF9" s="18"/>
      <c r="AH9" s="402" t="s">
        <v>62</v>
      </c>
      <c r="AI9" s="403"/>
      <c r="AJ9" s="404" t="s">
        <v>62</v>
      </c>
      <c r="AK9" s="403"/>
      <c r="AL9" s="405" t="s">
        <v>62</v>
      </c>
      <c r="AM9" s="406"/>
      <c r="AN9" s="391"/>
      <c r="AO9" s="389"/>
    </row>
    <row r="10" spans="2:41" ht="15" thickBot="1" x14ac:dyDescent="0.35">
      <c r="B10" s="394" t="s">
        <v>65</v>
      </c>
      <c r="C10" s="395"/>
      <c r="D10" s="326" t="s">
        <v>66</v>
      </c>
      <c r="E10" s="327"/>
      <c r="F10" s="328"/>
      <c r="G10" s="327"/>
      <c r="H10" s="328"/>
      <c r="I10" s="327"/>
      <c r="J10" s="328"/>
      <c r="K10" s="327"/>
      <c r="L10" s="392"/>
      <c r="M10" s="393"/>
      <c r="N10" s="388"/>
      <c r="O10" s="389"/>
      <c r="P10" s="17"/>
      <c r="Q10" s="26">
        <v>23.8</v>
      </c>
      <c r="R10" s="355">
        <v>22.1</v>
      </c>
      <c r="S10" s="356"/>
      <c r="T10" s="359"/>
      <c r="U10" s="360"/>
      <c r="V10" s="355"/>
      <c r="W10" s="356"/>
      <c r="X10" s="359"/>
      <c r="Y10" s="360"/>
      <c r="Z10" s="355"/>
      <c r="AA10" s="356"/>
      <c r="AB10" s="359"/>
      <c r="AC10" s="360"/>
      <c r="AD10" s="355"/>
      <c r="AE10" s="356"/>
      <c r="AF10" s="18"/>
      <c r="AH10" s="390" t="s">
        <v>59</v>
      </c>
      <c r="AI10" s="386"/>
      <c r="AJ10" s="391"/>
      <c r="AK10" s="389"/>
      <c r="AL10" s="391"/>
      <c r="AM10" s="389"/>
      <c r="AN10" s="391"/>
      <c r="AO10" s="389"/>
    </row>
    <row r="11" spans="2:41" ht="15" thickBot="1" x14ac:dyDescent="0.35">
      <c r="B11" s="372" t="s">
        <v>67</v>
      </c>
      <c r="C11" s="373"/>
      <c r="D11" s="326"/>
      <c r="E11" s="327"/>
      <c r="F11" s="328"/>
      <c r="G11" s="327"/>
      <c r="H11" s="328"/>
      <c r="I11" s="327"/>
      <c r="J11" s="328"/>
      <c r="K11" s="327"/>
      <c r="L11" s="392"/>
      <c r="M11" s="393"/>
      <c r="N11" s="388"/>
      <c r="O11" s="389"/>
      <c r="P11" s="17"/>
      <c r="Q11" s="27">
        <v>13.9</v>
      </c>
      <c r="R11" s="355">
        <v>20.3</v>
      </c>
      <c r="S11" s="356"/>
      <c r="T11" s="359"/>
      <c r="U11" s="360"/>
      <c r="V11" s="355"/>
      <c r="W11" s="356"/>
      <c r="X11" s="359"/>
      <c r="Y11" s="360"/>
      <c r="Z11" s="355"/>
      <c r="AA11" s="356"/>
      <c r="AB11" s="359"/>
      <c r="AC11" s="360"/>
      <c r="AD11" s="355"/>
      <c r="AE11" s="356"/>
      <c r="AF11" s="18"/>
      <c r="AH11" s="390"/>
      <c r="AI11" s="386"/>
      <c r="AJ11" s="391"/>
      <c r="AK11" s="389"/>
      <c r="AL11" s="391"/>
      <c r="AM11" s="389"/>
      <c r="AN11" s="391"/>
      <c r="AO11" s="389"/>
    </row>
    <row r="12" spans="2:41" ht="15" thickBot="1" x14ac:dyDescent="0.35">
      <c r="B12" s="372" t="s">
        <v>68</v>
      </c>
      <c r="C12" s="373"/>
      <c r="D12" s="326"/>
      <c r="E12" s="327"/>
      <c r="F12" s="328"/>
      <c r="G12" s="327"/>
      <c r="H12" s="328"/>
      <c r="I12" s="327"/>
      <c r="J12" s="328"/>
      <c r="K12" s="327"/>
      <c r="L12" s="392"/>
      <c r="M12" s="393"/>
      <c r="N12" s="388"/>
      <c r="O12" s="389"/>
      <c r="P12" s="17"/>
      <c r="Q12" s="26">
        <v>22.7</v>
      </c>
      <c r="R12" s="355">
        <v>23.5</v>
      </c>
      <c r="S12" s="356"/>
      <c r="T12" s="359"/>
      <c r="U12" s="360"/>
      <c r="V12" s="355"/>
      <c r="W12" s="356"/>
      <c r="X12" s="359"/>
      <c r="Y12" s="360"/>
      <c r="Z12" s="355"/>
      <c r="AA12" s="356"/>
      <c r="AB12" s="359"/>
      <c r="AC12" s="360"/>
      <c r="AD12" s="355"/>
      <c r="AE12" s="356"/>
      <c r="AF12" s="18"/>
      <c r="AH12" s="390"/>
      <c r="AI12" s="386"/>
      <c r="AJ12" s="391"/>
      <c r="AK12" s="389"/>
      <c r="AL12" s="391"/>
      <c r="AM12" s="389"/>
      <c r="AN12" s="391"/>
      <c r="AO12" s="389"/>
    </row>
    <row r="13" spans="2:41" ht="15" thickBot="1" x14ac:dyDescent="0.35">
      <c r="B13" s="372" t="s">
        <v>69</v>
      </c>
      <c r="C13" s="373"/>
      <c r="D13" s="326"/>
      <c r="E13" s="327"/>
      <c r="F13" s="328"/>
      <c r="G13" s="327"/>
      <c r="H13" s="328"/>
      <c r="I13" s="327"/>
      <c r="J13" s="328"/>
      <c r="K13" s="327"/>
      <c r="L13" s="392"/>
      <c r="M13" s="393"/>
      <c r="N13" s="388"/>
      <c r="O13" s="389"/>
      <c r="P13" s="17"/>
      <c r="Q13" s="42">
        <v>25.7</v>
      </c>
      <c r="R13" s="355">
        <v>17.100000000000001</v>
      </c>
      <c r="S13" s="356"/>
      <c r="T13" s="359"/>
      <c r="U13" s="360"/>
      <c r="V13" s="355"/>
      <c r="W13" s="356"/>
      <c r="X13" s="359"/>
      <c r="Y13" s="360"/>
      <c r="Z13" s="355"/>
      <c r="AA13" s="356"/>
      <c r="AB13" s="359"/>
      <c r="AC13" s="360"/>
      <c r="AD13" s="355"/>
      <c r="AE13" s="356"/>
      <c r="AF13" s="18"/>
      <c r="AH13" s="390"/>
      <c r="AI13" s="386"/>
      <c r="AJ13" s="391"/>
      <c r="AK13" s="389"/>
      <c r="AL13" s="391"/>
      <c r="AM13" s="389"/>
      <c r="AN13" s="391"/>
      <c r="AO13" s="389"/>
    </row>
    <row r="14" spans="2:41" ht="15" thickBot="1" x14ac:dyDescent="0.35">
      <c r="B14" s="372" t="s">
        <v>70</v>
      </c>
      <c r="C14" s="373"/>
      <c r="D14" s="326"/>
      <c r="E14" s="327"/>
      <c r="F14" s="328"/>
      <c r="G14" s="327"/>
      <c r="H14" s="328"/>
      <c r="I14" s="327"/>
      <c r="J14" s="328"/>
      <c r="K14" s="327"/>
      <c r="L14" s="392"/>
      <c r="M14" s="393"/>
      <c r="N14" s="388"/>
      <c r="O14" s="389"/>
      <c r="P14" s="17"/>
      <c r="Q14" s="32">
        <v>22.7</v>
      </c>
      <c r="R14" s="355">
        <v>24.1</v>
      </c>
      <c r="S14" s="356"/>
      <c r="T14" s="359"/>
      <c r="U14" s="360"/>
      <c r="V14" s="355"/>
      <c r="W14" s="356"/>
      <c r="X14" s="359"/>
      <c r="Y14" s="360"/>
      <c r="Z14" s="355"/>
      <c r="AA14" s="356"/>
      <c r="AB14" s="359"/>
      <c r="AC14" s="360"/>
      <c r="AD14" s="355"/>
      <c r="AE14" s="356"/>
      <c r="AF14" s="18"/>
      <c r="AH14" s="390"/>
      <c r="AI14" s="386"/>
      <c r="AJ14" s="391"/>
      <c r="AK14" s="389"/>
      <c r="AL14" s="391"/>
      <c r="AM14" s="389"/>
      <c r="AN14" s="391"/>
      <c r="AO14" s="389"/>
    </row>
    <row r="15" spans="2:41" ht="15" thickBot="1" x14ac:dyDescent="0.35">
      <c r="B15" s="372" t="s">
        <v>71</v>
      </c>
      <c r="C15" s="373"/>
      <c r="D15" s="326"/>
      <c r="E15" s="327"/>
      <c r="F15" s="328"/>
      <c r="G15" s="327"/>
      <c r="H15" s="328"/>
      <c r="I15" s="327"/>
      <c r="J15" s="328"/>
      <c r="K15" s="327"/>
      <c r="L15" s="392"/>
      <c r="M15" s="393"/>
      <c r="N15" s="388"/>
      <c r="O15" s="389"/>
      <c r="P15" s="17"/>
      <c r="Q15" s="31">
        <v>11.5</v>
      </c>
      <c r="R15" s="355">
        <v>25.4</v>
      </c>
      <c r="S15" s="356"/>
      <c r="T15" s="359"/>
      <c r="U15" s="360"/>
      <c r="V15" s="355"/>
      <c r="W15" s="356"/>
      <c r="X15" s="359"/>
      <c r="Y15" s="360"/>
      <c r="Z15" s="355"/>
      <c r="AA15" s="356"/>
      <c r="AB15" s="359"/>
      <c r="AC15" s="360"/>
      <c r="AD15" s="355"/>
      <c r="AE15" s="356"/>
      <c r="AF15" s="19"/>
      <c r="AH15" s="390"/>
      <c r="AI15" s="386"/>
      <c r="AJ15" s="391"/>
      <c r="AK15" s="389"/>
      <c r="AL15" s="391"/>
      <c r="AM15" s="389"/>
      <c r="AN15" s="391"/>
      <c r="AO15" s="389"/>
    </row>
    <row r="16" spans="2:41" ht="15" thickBot="1" x14ac:dyDescent="0.35">
      <c r="B16" s="372" t="s">
        <v>72</v>
      </c>
      <c r="C16" s="373"/>
      <c r="D16" s="326"/>
      <c r="E16" s="327"/>
      <c r="F16" s="328"/>
      <c r="G16" s="327"/>
      <c r="H16" s="328"/>
      <c r="I16" s="327"/>
      <c r="J16" s="328"/>
      <c r="K16" s="327"/>
      <c r="L16" s="392"/>
      <c r="M16" s="393"/>
      <c r="N16" s="388"/>
      <c r="O16" s="389"/>
      <c r="P16" s="17"/>
      <c r="Q16" s="31">
        <v>11.1</v>
      </c>
      <c r="R16" s="355"/>
      <c r="S16" s="356"/>
      <c r="T16" s="359"/>
      <c r="U16" s="360"/>
      <c r="V16" s="355"/>
      <c r="W16" s="356"/>
      <c r="X16" s="359"/>
      <c r="Y16" s="360"/>
      <c r="Z16" s="355"/>
      <c r="AA16" s="356"/>
      <c r="AB16" s="359"/>
      <c r="AC16" s="360"/>
      <c r="AD16" s="355"/>
      <c r="AE16" s="356"/>
      <c r="AF16" s="20"/>
      <c r="AH16" s="390"/>
      <c r="AI16" s="386"/>
      <c r="AJ16" s="391"/>
      <c r="AK16" s="389"/>
      <c r="AL16" s="391"/>
      <c r="AM16" s="389"/>
      <c r="AN16" s="391"/>
      <c r="AO16" s="389"/>
    </row>
    <row r="17" spans="2:41" ht="15" thickBot="1" x14ac:dyDescent="0.35">
      <c r="B17" s="372" t="s">
        <v>73</v>
      </c>
      <c r="C17" s="373"/>
      <c r="D17" s="326"/>
      <c r="E17" s="327"/>
      <c r="F17" s="328"/>
      <c r="G17" s="327"/>
      <c r="H17" s="328"/>
      <c r="I17" s="327"/>
      <c r="J17" s="328"/>
      <c r="K17" s="327"/>
      <c r="L17" s="392"/>
      <c r="M17" s="393"/>
      <c r="N17" s="388"/>
      <c r="O17" s="389"/>
      <c r="P17" s="17"/>
      <c r="Q17" s="33">
        <v>23.2</v>
      </c>
      <c r="R17" s="355"/>
      <c r="S17" s="356"/>
      <c r="T17" s="359"/>
      <c r="U17" s="360"/>
      <c r="V17" s="355"/>
      <c r="W17" s="356"/>
      <c r="X17" s="359"/>
      <c r="Y17" s="360"/>
      <c r="Z17" s="355"/>
      <c r="AA17" s="356"/>
      <c r="AB17" s="359"/>
      <c r="AC17" s="360"/>
      <c r="AD17" s="355"/>
      <c r="AE17" s="356"/>
      <c r="AF17" s="19"/>
      <c r="AH17" s="390"/>
      <c r="AI17" s="386"/>
      <c r="AJ17" s="391"/>
      <c r="AK17" s="389"/>
      <c r="AL17" s="391"/>
      <c r="AM17" s="389"/>
      <c r="AN17" s="391"/>
      <c r="AO17" s="389"/>
    </row>
    <row r="18" spans="2:41" ht="15" thickBot="1" x14ac:dyDescent="0.35">
      <c r="B18" s="370" t="s">
        <v>74</v>
      </c>
      <c r="C18" s="371"/>
      <c r="D18" s="329"/>
      <c r="E18" s="330"/>
      <c r="F18" s="331"/>
      <c r="G18" s="330"/>
      <c r="H18" s="331"/>
      <c r="I18" s="330"/>
      <c r="J18" s="331"/>
      <c r="K18" s="330"/>
      <c r="L18" s="385"/>
      <c r="M18" s="386"/>
      <c r="N18" s="387"/>
      <c r="O18" s="384"/>
      <c r="P18" s="21"/>
      <c r="Q18" s="38">
        <v>21.6</v>
      </c>
      <c r="R18" s="355"/>
      <c r="S18" s="356"/>
      <c r="T18" s="359"/>
      <c r="U18" s="360"/>
      <c r="V18" s="355"/>
      <c r="W18" s="356"/>
      <c r="X18" s="359"/>
      <c r="Y18" s="360"/>
      <c r="Z18" s="355"/>
      <c r="AA18" s="356"/>
      <c r="AB18" s="359"/>
      <c r="AC18" s="360"/>
      <c r="AD18" s="355"/>
      <c r="AE18" s="356"/>
      <c r="AF18" s="22"/>
      <c r="AH18" s="381"/>
      <c r="AI18" s="382"/>
      <c r="AJ18" s="383"/>
      <c r="AK18" s="384"/>
      <c r="AL18" s="383"/>
      <c r="AM18" s="384"/>
      <c r="AN18" s="383"/>
      <c r="AO18" s="384"/>
    </row>
    <row r="19" spans="2:41" ht="15.6" thickTop="1" thickBot="1" x14ac:dyDescent="0.35">
      <c r="B19" s="377" t="s">
        <v>75</v>
      </c>
      <c r="C19" s="378"/>
      <c r="D19" s="379"/>
      <c r="E19" s="379"/>
      <c r="F19" s="379"/>
      <c r="G19" s="379"/>
      <c r="H19" s="379"/>
      <c r="I19" s="379"/>
      <c r="J19" s="379"/>
      <c r="K19" s="379"/>
      <c r="L19" s="379"/>
      <c r="M19" s="379"/>
      <c r="N19" s="378"/>
      <c r="O19" s="378"/>
      <c r="P19" s="380"/>
      <c r="Q19" s="34">
        <v>18.2</v>
      </c>
      <c r="R19" s="355"/>
      <c r="S19" s="356"/>
      <c r="T19" s="359"/>
      <c r="U19" s="360"/>
      <c r="V19" s="355"/>
      <c r="W19" s="356"/>
      <c r="X19" s="359"/>
      <c r="Y19" s="360"/>
      <c r="Z19" s="355"/>
      <c r="AA19" s="356"/>
      <c r="AB19" s="359"/>
      <c r="AC19" s="360"/>
      <c r="AD19" s="355"/>
      <c r="AE19" s="356"/>
      <c r="AF19" s="22"/>
    </row>
    <row r="20" spans="2:41" ht="15.6" thickTop="1" thickBot="1" x14ac:dyDescent="0.35">
      <c r="B20" s="23" t="s">
        <v>76</v>
      </c>
      <c r="C20" s="374" t="s">
        <v>77</v>
      </c>
      <c r="D20" s="375"/>
      <c r="E20" s="374" t="s">
        <v>78</v>
      </c>
      <c r="F20" s="375"/>
      <c r="G20" s="374" t="s">
        <v>49</v>
      </c>
      <c r="H20" s="375"/>
      <c r="I20" s="374" t="s">
        <v>79</v>
      </c>
      <c r="J20" s="375"/>
      <c r="K20" s="374" t="s">
        <v>80</v>
      </c>
      <c r="L20" s="375"/>
      <c r="M20" s="374" t="s">
        <v>81</v>
      </c>
      <c r="N20" s="375"/>
      <c r="O20" s="374"/>
      <c r="P20" s="376"/>
      <c r="Q20" s="35">
        <v>24.2</v>
      </c>
      <c r="R20" s="355"/>
      <c r="S20" s="356"/>
      <c r="T20" s="359"/>
      <c r="U20" s="360"/>
      <c r="V20" s="355"/>
      <c r="W20" s="356"/>
      <c r="X20" s="359"/>
      <c r="Y20" s="360"/>
      <c r="Z20" s="355"/>
      <c r="AA20" s="356"/>
      <c r="AB20" s="359"/>
      <c r="AC20" s="360"/>
      <c r="AD20" s="355"/>
      <c r="AE20" s="356"/>
      <c r="AF20" s="20"/>
    </row>
    <row r="21" spans="2:41" ht="15.6" thickTop="1" thickBot="1" x14ac:dyDescent="0.35">
      <c r="B21" s="24">
        <v>1</v>
      </c>
      <c r="C21" s="366" t="s">
        <v>82</v>
      </c>
      <c r="D21" s="367"/>
      <c r="E21" s="368">
        <v>30.6</v>
      </c>
      <c r="F21" s="369"/>
      <c r="G21" s="361">
        <v>14.2</v>
      </c>
      <c r="H21" s="362"/>
      <c r="I21" s="361">
        <v>6.2</v>
      </c>
      <c r="J21" s="362"/>
      <c r="K21" s="361">
        <v>1.5</v>
      </c>
      <c r="L21" s="362"/>
      <c r="M21" s="361">
        <v>1.7</v>
      </c>
      <c r="N21" s="362"/>
      <c r="O21" s="361"/>
      <c r="P21" s="365"/>
      <c r="Q21" s="36">
        <v>21.5</v>
      </c>
      <c r="R21" s="355"/>
      <c r="S21" s="356"/>
      <c r="T21" s="359"/>
      <c r="U21" s="360"/>
      <c r="V21" s="355"/>
      <c r="W21" s="356"/>
      <c r="X21" s="359"/>
      <c r="Y21" s="360"/>
      <c r="Z21" s="355"/>
      <c r="AA21" s="356"/>
      <c r="AB21" s="359"/>
      <c r="AC21" s="360"/>
      <c r="AD21" s="355"/>
      <c r="AE21" s="356"/>
      <c r="AF21" s="18"/>
    </row>
    <row r="22" spans="2:41" ht="15" thickBot="1" x14ac:dyDescent="0.35">
      <c r="B22" s="24">
        <v>2</v>
      </c>
      <c r="C22" s="338" t="s">
        <v>82</v>
      </c>
      <c r="D22" s="339"/>
      <c r="E22" s="363">
        <v>26.4</v>
      </c>
      <c r="F22" s="364"/>
      <c r="G22" s="342">
        <v>14.9</v>
      </c>
      <c r="H22" s="343"/>
      <c r="I22" s="342">
        <v>6.3</v>
      </c>
      <c r="J22" s="343"/>
      <c r="K22" s="342">
        <v>2</v>
      </c>
      <c r="L22" s="343"/>
      <c r="M22" s="342">
        <v>1.5</v>
      </c>
      <c r="N22" s="343"/>
      <c r="O22" s="342"/>
      <c r="P22" s="344"/>
      <c r="Q22" s="36">
        <v>22.4</v>
      </c>
      <c r="R22" s="355"/>
      <c r="S22" s="356"/>
      <c r="T22" s="359"/>
      <c r="U22" s="360"/>
      <c r="V22" s="355"/>
      <c r="W22" s="356"/>
      <c r="X22" s="359"/>
      <c r="Y22" s="360"/>
      <c r="Z22" s="355"/>
      <c r="AA22" s="356"/>
      <c r="AB22" s="359"/>
      <c r="AC22" s="360"/>
      <c r="AD22" s="355"/>
      <c r="AE22" s="356"/>
      <c r="AF22" s="18"/>
    </row>
    <row r="23" spans="2:41" ht="15" thickBot="1" x14ac:dyDescent="0.35">
      <c r="B23" s="24">
        <v>3</v>
      </c>
      <c r="C23" s="338" t="s">
        <v>82</v>
      </c>
      <c r="D23" s="339"/>
      <c r="E23" s="357">
        <v>14.6</v>
      </c>
      <c r="F23" s="358"/>
      <c r="G23" s="342">
        <v>9.4</v>
      </c>
      <c r="H23" s="343"/>
      <c r="I23" s="342">
        <v>3.9</v>
      </c>
      <c r="J23" s="343"/>
      <c r="K23" s="342">
        <v>1.1000000000000001</v>
      </c>
      <c r="L23" s="343"/>
      <c r="M23" s="342">
        <v>1</v>
      </c>
      <c r="N23" s="343"/>
      <c r="O23" s="342"/>
      <c r="P23" s="344"/>
      <c r="Q23" s="28">
        <v>27.5</v>
      </c>
      <c r="R23" s="355"/>
      <c r="S23" s="356"/>
      <c r="T23" s="359"/>
      <c r="U23" s="360"/>
      <c r="V23" s="355"/>
      <c r="W23" s="356"/>
      <c r="X23" s="359"/>
      <c r="Y23" s="360"/>
      <c r="Z23" s="355"/>
      <c r="AA23" s="356"/>
      <c r="AB23" s="359"/>
      <c r="AC23" s="360"/>
      <c r="AD23" s="355"/>
      <c r="AE23" s="356"/>
      <c r="AF23" s="18"/>
    </row>
    <row r="24" spans="2:41" ht="15" thickBot="1" x14ac:dyDescent="0.35">
      <c r="B24" s="24">
        <v>4</v>
      </c>
      <c r="C24" s="338" t="s">
        <v>82</v>
      </c>
      <c r="D24" s="339"/>
      <c r="E24" s="353">
        <v>25.7</v>
      </c>
      <c r="F24" s="354"/>
      <c r="G24" s="342">
        <v>15.2</v>
      </c>
      <c r="H24" s="343"/>
      <c r="I24" s="342">
        <v>4.9000000000000004</v>
      </c>
      <c r="J24" s="343"/>
      <c r="K24" s="342">
        <v>2.2000000000000002</v>
      </c>
      <c r="L24" s="343"/>
      <c r="M24" s="342">
        <v>1.6</v>
      </c>
      <c r="N24" s="343"/>
      <c r="O24" s="342"/>
      <c r="P24" s="344"/>
      <c r="Q24" s="36">
        <v>21.1</v>
      </c>
      <c r="R24" s="355"/>
      <c r="S24" s="356"/>
      <c r="T24" s="359"/>
      <c r="U24" s="360"/>
      <c r="V24" s="355"/>
      <c r="W24" s="356"/>
      <c r="X24" s="359"/>
      <c r="Y24" s="360"/>
      <c r="Z24" s="355"/>
      <c r="AA24" s="356"/>
      <c r="AB24" s="359"/>
      <c r="AC24" s="360"/>
      <c r="AD24" s="355"/>
      <c r="AE24" s="356"/>
      <c r="AF24" s="18"/>
    </row>
    <row r="25" spans="2:41" ht="15" thickBot="1" x14ac:dyDescent="0.35">
      <c r="B25" s="24">
        <v>5</v>
      </c>
      <c r="C25" s="338" t="s">
        <v>82</v>
      </c>
      <c r="D25" s="339"/>
      <c r="E25" s="340">
        <v>11.5</v>
      </c>
      <c r="F25" s="341"/>
      <c r="G25" s="342">
        <v>10.5</v>
      </c>
      <c r="H25" s="343"/>
      <c r="I25" s="342">
        <v>5.0999999999999996</v>
      </c>
      <c r="J25" s="343"/>
      <c r="K25" s="342">
        <v>0.9</v>
      </c>
      <c r="L25" s="343"/>
      <c r="M25" s="342">
        <v>0.9</v>
      </c>
      <c r="N25" s="343"/>
      <c r="O25" s="342"/>
      <c r="P25" s="344"/>
      <c r="Q25" s="37">
        <v>25.2</v>
      </c>
      <c r="R25" s="348"/>
      <c r="S25" s="349"/>
      <c r="T25" s="346"/>
      <c r="U25" s="347"/>
      <c r="V25" s="348"/>
      <c r="W25" s="349"/>
      <c r="X25" s="346"/>
      <c r="Y25" s="347"/>
      <c r="Z25" s="348"/>
      <c r="AA25" s="349"/>
      <c r="AB25" s="346"/>
      <c r="AC25" s="347"/>
      <c r="AD25" s="348"/>
      <c r="AE25" s="349"/>
      <c r="AF25" s="25"/>
    </row>
    <row r="26" spans="2:41" ht="15.6" thickTop="1" thickBot="1" x14ac:dyDescent="0.35">
      <c r="B26" s="24">
        <v>6</v>
      </c>
      <c r="C26" s="338" t="s">
        <v>82</v>
      </c>
      <c r="D26" s="339"/>
      <c r="E26" s="340">
        <v>21.6</v>
      </c>
      <c r="F26" s="341"/>
      <c r="G26" s="342">
        <v>17.7</v>
      </c>
      <c r="H26" s="343"/>
      <c r="I26" s="342">
        <v>5.8</v>
      </c>
      <c r="J26" s="343"/>
      <c r="K26" s="342">
        <v>0.6</v>
      </c>
      <c r="L26" s="343"/>
      <c r="M26" s="342">
        <v>1.9</v>
      </c>
      <c r="N26" s="343"/>
      <c r="O26" s="342"/>
      <c r="P26" s="344"/>
      <c r="Q26" s="350" t="s">
        <v>75</v>
      </c>
      <c r="R26" s="351"/>
      <c r="S26" s="351"/>
      <c r="T26" s="351"/>
      <c r="U26" s="351"/>
      <c r="V26" s="351"/>
      <c r="W26" s="351"/>
      <c r="X26" s="351"/>
      <c r="Y26" s="351"/>
      <c r="Z26" s="351"/>
      <c r="AA26" s="351"/>
      <c r="AB26" s="351"/>
      <c r="AC26" s="351"/>
      <c r="AD26" s="351"/>
      <c r="AE26" s="351"/>
      <c r="AF26" s="352"/>
    </row>
    <row r="27" spans="2:41" ht="15" thickBot="1" x14ac:dyDescent="0.35">
      <c r="B27" s="24">
        <v>7</v>
      </c>
      <c r="C27" s="338" t="s">
        <v>82</v>
      </c>
      <c r="D27" s="339"/>
      <c r="E27" s="340">
        <v>19.600000000000001</v>
      </c>
      <c r="F27" s="341"/>
      <c r="G27" s="342">
        <v>16.100000000000001</v>
      </c>
      <c r="H27" s="343"/>
      <c r="I27" s="342">
        <v>10</v>
      </c>
      <c r="J27" s="343"/>
      <c r="K27" s="342">
        <v>0.8</v>
      </c>
      <c r="L27" s="343"/>
      <c r="M27" s="342">
        <v>1.2</v>
      </c>
      <c r="N27" s="343"/>
      <c r="O27" s="342"/>
      <c r="P27" s="344"/>
      <c r="Q27" s="345" t="s">
        <v>76</v>
      </c>
      <c r="R27" s="337"/>
      <c r="S27" s="336" t="s">
        <v>77</v>
      </c>
      <c r="T27" s="337"/>
      <c r="U27" s="336" t="s">
        <v>78</v>
      </c>
      <c r="V27" s="337"/>
      <c r="W27" s="336" t="s">
        <v>49</v>
      </c>
      <c r="X27" s="337"/>
      <c r="Y27" s="336" t="s">
        <v>79</v>
      </c>
      <c r="Z27" s="337"/>
      <c r="AA27" s="336" t="s">
        <v>80</v>
      </c>
      <c r="AB27" s="337"/>
      <c r="AC27" s="336" t="s">
        <v>81</v>
      </c>
      <c r="AD27" s="337"/>
      <c r="AE27" s="336"/>
      <c r="AF27" s="337"/>
    </row>
    <row r="28" spans="2:41" ht="15" thickBot="1" x14ac:dyDescent="0.35">
      <c r="B28" s="24">
        <v>8</v>
      </c>
      <c r="C28" s="338" t="s">
        <v>82</v>
      </c>
      <c r="D28" s="339"/>
      <c r="E28" s="340">
        <v>23.2</v>
      </c>
      <c r="F28" s="341"/>
      <c r="G28" s="342">
        <v>14.5</v>
      </c>
      <c r="H28" s="343"/>
      <c r="I28" s="342">
        <v>7.6</v>
      </c>
      <c r="J28" s="343"/>
      <c r="K28" s="342">
        <v>2.8</v>
      </c>
      <c r="L28" s="343"/>
      <c r="M28" s="342">
        <v>1</v>
      </c>
      <c r="N28" s="343"/>
      <c r="O28" s="342"/>
      <c r="P28" s="344"/>
      <c r="Q28" s="335"/>
      <c r="R28" s="333"/>
      <c r="S28" s="332"/>
      <c r="T28" s="333"/>
      <c r="U28" s="332"/>
      <c r="V28" s="333"/>
      <c r="W28" s="332"/>
      <c r="X28" s="333"/>
      <c r="Y28" s="332"/>
      <c r="Z28" s="333"/>
      <c r="AA28" s="332"/>
      <c r="AB28" s="333"/>
      <c r="AC28" s="332"/>
      <c r="AD28" s="333"/>
      <c r="AE28" s="332"/>
      <c r="AF28" s="333"/>
    </row>
  </sheetData>
  <mergeCells count="390">
    <mergeCell ref="B3:P3"/>
    <mergeCell ref="Q3:AF3"/>
    <mergeCell ref="B4:C4"/>
    <mergeCell ref="D4:M4"/>
    <mergeCell ref="N4:P4"/>
    <mergeCell ref="Q4:AA4"/>
    <mergeCell ref="AB4:AF4"/>
    <mergeCell ref="AH6:AI6"/>
    <mergeCell ref="AJ6:AK6"/>
    <mergeCell ref="B6:C6"/>
    <mergeCell ref="B5:C5"/>
    <mergeCell ref="AL6:AM6"/>
    <mergeCell ref="AN6:AO6"/>
    <mergeCell ref="L6:M6"/>
    <mergeCell ref="N6:O6"/>
    <mergeCell ref="R6:S6"/>
    <mergeCell ref="N5:O5"/>
    <mergeCell ref="R5:S5"/>
    <mergeCell ref="T5:U5"/>
    <mergeCell ref="V5:W5"/>
    <mergeCell ref="X5:Y5"/>
    <mergeCell ref="Z5:AA5"/>
    <mergeCell ref="AH5:AI5"/>
    <mergeCell ref="AJ5:AK5"/>
    <mergeCell ref="AL5:AM5"/>
    <mergeCell ref="AN5:AO5"/>
    <mergeCell ref="L5:M5"/>
    <mergeCell ref="T6:U6"/>
    <mergeCell ref="V6:W6"/>
    <mergeCell ref="X6:Y6"/>
    <mergeCell ref="Z6:AA6"/>
    <mergeCell ref="AB6:AC6"/>
    <mergeCell ref="AD6:AE6"/>
    <mergeCell ref="AB5:AC5"/>
    <mergeCell ref="AD5:AE5"/>
    <mergeCell ref="AH8:AI8"/>
    <mergeCell ref="AJ8:AK8"/>
    <mergeCell ref="AL8:AM8"/>
    <mergeCell ref="AN8:AO8"/>
    <mergeCell ref="L8:M8"/>
    <mergeCell ref="N8:O8"/>
    <mergeCell ref="R8:S8"/>
    <mergeCell ref="N7:O7"/>
    <mergeCell ref="R7:S7"/>
    <mergeCell ref="T7:U7"/>
    <mergeCell ref="V7:W7"/>
    <mergeCell ref="X7:Y7"/>
    <mergeCell ref="Z7:AA7"/>
    <mergeCell ref="AH7:AI7"/>
    <mergeCell ref="AJ7:AK7"/>
    <mergeCell ref="AL7:AM7"/>
    <mergeCell ref="AN7:AO7"/>
    <mergeCell ref="L7:M7"/>
    <mergeCell ref="T8:U8"/>
    <mergeCell ref="V8:W8"/>
    <mergeCell ref="X8:Y8"/>
    <mergeCell ref="Z8:AA8"/>
    <mergeCell ref="AB8:AC8"/>
    <mergeCell ref="AD8:AE8"/>
    <mergeCell ref="AB7:AC7"/>
    <mergeCell ref="AD7:AE7"/>
    <mergeCell ref="B8:C8"/>
    <mergeCell ref="B7:C7"/>
    <mergeCell ref="AH10:AI10"/>
    <mergeCell ref="AJ10:AK10"/>
    <mergeCell ref="AL10:AM10"/>
    <mergeCell ref="AN10:AO10"/>
    <mergeCell ref="L10:M10"/>
    <mergeCell ref="N10:O10"/>
    <mergeCell ref="R10:S10"/>
    <mergeCell ref="N9:O9"/>
    <mergeCell ref="R9:S9"/>
    <mergeCell ref="T9:U9"/>
    <mergeCell ref="V9:W9"/>
    <mergeCell ref="X9:Y9"/>
    <mergeCell ref="Z9:AA9"/>
    <mergeCell ref="AH9:AI9"/>
    <mergeCell ref="AJ9:AK9"/>
    <mergeCell ref="AL9:AM9"/>
    <mergeCell ref="AN9:AO9"/>
    <mergeCell ref="L9:M9"/>
    <mergeCell ref="T10:U10"/>
    <mergeCell ref="V10:W10"/>
    <mergeCell ref="X10:Y10"/>
    <mergeCell ref="Z10:AA10"/>
    <mergeCell ref="AB10:AC10"/>
    <mergeCell ref="AD10:AE10"/>
    <mergeCell ref="AB9:AC9"/>
    <mergeCell ref="AD9:AE9"/>
    <mergeCell ref="B10:C10"/>
    <mergeCell ref="B9:C9"/>
    <mergeCell ref="D9:E9"/>
    <mergeCell ref="F9:G9"/>
    <mergeCell ref="H9:I9"/>
    <mergeCell ref="J9:K9"/>
    <mergeCell ref="D10:E10"/>
    <mergeCell ref="F10:G10"/>
    <mergeCell ref="H10:I10"/>
    <mergeCell ref="J10:K10"/>
    <mergeCell ref="AH12:AI12"/>
    <mergeCell ref="AJ12:AK12"/>
    <mergeCell ref="AL12:AM12"/>
    <mergeCell ref="AN12:AO12"/>
    <mergeCell ref="L12:M12"/>
    <mergeCell ref="N12:O12"/>
    <mergeCell ref="R12:S12"/>
    <mergeCell ref="N11:O11"/>
    <mergeCell ref="R11:S11"/>
    <mergeCell ref="T11:U11"/>
    <mergeCell ref="V11:W11"/>
    <mergeCell ref="X11:Y11"/>
    <mergeCell ref="Z11:AA11"/>
    <mergeCell ref="AH11:AI11"/>
    <mergeCell ref="AJ11:AK11"/>
    <mergeCell ref="AL11:AM11"/>
    <mergeCell ref="AN11:AO11"/>
    <mergeCell ref="L11:M11"/>
    <mergeCell ref="T12:U12"/>
    <mergeCell ref="V12:W12"/>
    <mergeCell ref="X12:Y12"/>
    <mergeCell ref="Z12:AA12"/>
    <mergeCell ref="AB12:AC12"/>
    <mergeCell ref="AD12:AE12"/>
    <mergeCell ref="AB11:AC11"/>
    <mergeCell ref="AD11:AE11"/>
    <mergeCell ref="B12:C12"/>
    <mergeCell ref="B11:C11"/>
    <mergeCell ref="AH14:AI14"/>
    <mergeCell ref="AJ14:AK14"/>
    <mergeCell ref="AL14:AM14"/>
    <mergeCell ref="AN14:AO14"/>
    <mergeCell ref="L14:M14"/>
    <mergeCell ref="N14:O14"/>
    <mergeCell ref="R14:S14"/>
    <mergeCell ref="N13:O13"/>
    <mergeCell ref="R13:S13"/>
    <mergeCell ref="T13:U13"/>
    <mergeCell ref="V13:W13"/>
    <mergeCell ref="X13:Y13"/>
    <mergeCell ref="Z13:AA13"/>
    <mergeCell ref="AH13:AI13"/>
    <mergeCell ref="AJ13:AK13"/>
    <mergeCell ref="AL13:AM13"/>
    <mergeCell ref="AN13:AO13"/>
    <mergeCell ref="L13:M13"/>
    <mergeCell ref="T14:U14"/>
    <mergeCell ref="V14:W14"/>
    <mergeCell ref="X14:Y14"/>
    <mergeCell ref="Z14:AA14"/>
    <mergeCell ref="AB14:AC14"/>
    <mergeCell ref="AD14:AE14"/>
    <mergeCell ref="AB13:AC13"/>
    <mergeCell ref="AD13:AE13"/>
    <mergeCell ref="B14:C14"/>
    <mergeCell ref="B13:C13"/>
    <mergeCell ref="AH16:AI16"/>
    <mergeCell ref="AD15:AE15"/>
    <mergeCell ref="B16:C16"/>
    <mergeCell ref="B15:C15"/>
    <mergeCell ref="D14:E14"/>
    <mergeCell ref="F14:G14"/>
    <mergeCell ref="H14:I14"/>
    <mergeCell ref="J14:K14"/>
    <mergeCell ref="D15:E15"/>
    <mergeCell ref="F15:G15"/>
    <mergeCell ref="H15:I15"/>
    <mergeCell ref="J15:K15"/>
    <mergeCell ref="AJ16:AK16"/>
    <mergeCell ref="AL16:AM16"/>
    <mergeCell ref="AN16:AO16"/>
    <mergeCell ref="L16:M16"/>
    <mergeCell ref="N16:O16"/>
    <mergeCell ref="R16:S16"/>
    <mergeCell ref="N15:O15"/>
    <mergeCell ref="R15:S15"/>
    <mergeCell ref="T15:U15"/>
    <mergeCell ref="V15:W15"/>
    <mergeCell ref="X15:Y15"/>
    <mergeCell ref="Z15:AA15"/>
    <mergeCell ref="AH15:AI15"/>
    <mergeCell ref="AJ15:AK15"/>
    <mergeCell ref="AL15:AM15"/>
    <mergeCell ref="AN15:AO15"/>
    <mergeCell ref="L15:M15"/>
    <mergeCell ref="T16:U16"/>
    <mergeCell ref="V16:W16"/>
    <mergeCell ref="X16:Y16"/>
    <mergeCell ref="Z16:AA16"/>
    <mergeCell ref="AB16:AC16"/>
    <mergeCell ref="AD16:AE16"/>
    <mergeCell ref="AB15:AC15"/>
    <mergeCell ref="AH18:AI18"/>
    <mergeCell ref="AJ18:AK18"/>
    <mergeCell ref="AL18:AM18"/>
    <mergeCell ref="AN18:AO18"/>
    <mergeCell ref="L18:M18"/>
    <mergeCell ref="N18:O18"/>
    <mergeCell ref="R18:S18"/>
    <mergeCell ref="N17:O17"/>
    <mergeCell ref="R17:S17"/>
    <mergeCell ref="T17:U17"/>
    <mergeCell ref="V17:W17"/>
    <mergeCell ref="X17:Y17"/>
    <mergeCell ref="Z17:AA17"/>
    <mergeCell ref="AH17:AI17"/>
    <mergeCell ref="AJ17:AK17"/>
    <mergeCell ref="AL17:AM17"/>
    <mergeCell ref="AN17:AO17"/>
    <mergeCell ref="L17:M17"/>
    <mergeCell ref="T18:U18"/>
    <mergeCell ref="V18:W18"/>
    <mergeCell ref="X18:Y18"/>
    <mergeCell ref="Z18:AA18"/>
    <mergeCell ref="AB18:AC18"/>
    <mergeCell ref="AD18:AE18"/>
    <mergeCell ref="AB17:AC17"/>
    <mergeCell ref="AD17:AE17"/>
    <mergeCell ref="B18:C18"/>
    <mergeCell ref="B17:C17"/>
    <mergeCell ref="T20:U20"/>
    <mergeCell ref="V20:W20"/>
    <mergeCell ref="X20:Y20"/>
    <mergeCell ref="Z20:AA20"/>
    <mergeCell ref="AB20:AC20"/>
    <mergeCell ref="AD20:AE20"/>
    <mergeCell ref="AB19:AC19"/>
    <mergeCell ref="AD19:AE19"/>
    <mergeCell ref="C20:D20"/>
    <mergeCell ref="E20:F20"/>
    <mergeCell ref="G20:H20"/>
    <mergeCell ref="I20:J20"/>
    <mergeCell ref="K20:L20"/>
    <mergeCell ref="M20:N20"/>
    <mergeCell ref="O20:P20"/>
    <mergeCell ref="R20:S20"/>
    <mergeCell ref="B19:P19"/>
    <mergeCell ref="R19:S19"/>
    <mergeCell ref="T19:U19"/>
    <mergeCell ref="V19:W19"/>
    <mergeCell ref="X19:Y19"/>
    <mergeCell ref="Z19:AA19"/>
    <mergeCell ref="AD22:AE22"/>
    <mergeCell ref="AB21:AC21"/>
    <mergeCell ref="AD21:AE21"/>
    <mergeCell ref="C22:D22"/>
    <mergeCell ref="E22:F22"/>
    <mergeCell ref="G22:H22"/>
    <mergeCell ref="I22:J22"/>
    <mergeCell ref="K22:L22"/>
    <mergeCell ref="M22:N22"/>
    <mergeCell ref="O22:P22"/>
    <mergeCell ref="R22:S22"/>
    <mergeCell ref="O21:P21"/>
    <mergeCell ref="R21:S21"/>
    <mergeCell ref="T21:U21"/>
    <mergeCell ref="V21:W21"/>
    <mergeCell ref="X21:Y21"/>
    <mergeCell ref="Z21:AA21"/>
    <mergeCell ref="C21:D21"/>
    <mergeCell ref="E21:F21"/>
    <mergeCell ref="G21:H21"/>
    <mergeCell ref="I21:J21"/>
    <mergeCell ref="K21:L21"/>
    <mergeCell ref="M21:N21"/>
    <mergeCell ref="G23:H23"/>
    <mergeCell ref="I23:J23"/>
    <mergeCell ref="K23:L23"/>
    <mergeCell ref="M23:N23"/>
    <mergeCell ref="T22:U22"/>
    <mergeCell ref="V22:W22"/>
    <mergeCell ref="X22:Y22"/>
    <mergeCell ref="Z22:AA22"/>
    <mergeCell ref="AB22:AC22"/>
    <mergeCell ref="T24:U24"/>
    <mergeCell ref="V24:W24"/>
    <mergeCell ref="X24:Y24"/>
    <mergeCell ref="Z24:AA24"/>
    <mergeCell ref="AB24:AC24"/>
    <mergeCell ref="AD24:AE24"/>
    <mergeCell ref="AB23:AC23"/>
    <mergeCell ref="AD23:AE23"/>
    <mergeCell ref="T23:U23"/>
    <mergeCell ref="V23:W23"/>
    <mergeCell ref="X23:Y23"/>
    <mergeCell ref="Z23:AA23"/>
    <mergeCell ref="C24:D24"/>
    <mergeCell ref="E24:F24"/>
    <mergeCell ref="G24:H24"/>
    <mergeCell ref="I24:J24"/>
    <mergeCell ref="K24:L24"/>
    <mergeCell ref="M24:N24"/>
    <mergeCell ref="O24:P24"/>
    <mergeCell ref="R24:S24"/>
    <mergeCell ref="O23:P23"/>
    <mergeCell ref="R23:S23"/>
    <mergeCell ref="C23:D23"/>
    <mergeCell ref="E23:F23"/>
    <mergeCell ref="AB25:AC25"/>
    <mergeCell ref="AD25:AE25"/>
    <mergeCell ref="C26:D26"/>
    <mergeCell ref="E26:F26"/>
    <mergeCell ref="G26:H26"/>
    <mergeCell ref="I26:J26"/>
    <mergeCell ref="K26:L26"/>
    <mergeCell ref="M26:N26"/>
    <mergeCell ref="O26:P26"/>
    <mergeCell ref="Q26:AF26"/>
    <mergeCell ref="O25:P25"/>
    <mergeCell ref="R25:S25"/>
    <mergeCell ref="T25:U25"/>
    <mergeCell ref="V25:W25"/>
    <mergeCell ref="X25:Y25"/>
    <mergeCell ref="Z25:AA25"/>
    <mergeCell ref="C25:D25"/>
    <mergeCell ref="E25:F25"/>
    <mergeCell ref="G25:H25"/>
    <mergeCell ref="I25:J25"/>
    <mergeCell ref="K25:L25"/>
    <mergeCell ref="M25:N25"/>
    <mergeCell ref="M28:N28"/>
    <mergeCell ref="O28:P28"/>
    <mergeCell ref="O27:P27"/>
    <mergeCell ref="Q27:R27"/>
    <mergeCell ref="S27:T27"/>
    <mergeCell ref="U27:V27"/>
    <mergeCell ref="W27:X27"/>
    <mergeCell ref="Y27:Z27"/>
    <mergeCell ref="C27:D27"/>
    <mergeCell ref="E27:F27"/>
    <mergeCell ref="G27:H27"/>
    <mergeCell ref="I27:J27"/>
    <mergeCell ref="K27:L27"/>
    <mergeCell ref="M27:N27"/>
    <mergeCell ref="AC28:AD28"/>
    <mergeCell ref="AE28:AF28"/>
    <mergeCell ref="B2:AF2"/>
    <mergeCell ref="D5:E5"/>
    <mergeCell ref="F5:G5"/>
    <mergeCell ref="H5:I5"/>
    <mergeCell ref="J5:K5"/>
    <mergeCell ref="D6:E6"/>
    <mergeCell ref="F6:G6"/>
    <mergeCell ref="H6:I6"/>
    <mergeCell ref="Q28:R28"/>
    <mergeCell ref="S28:T28"/>
    <mergeCell ref="U28:V28"/>
    <mergeCell ref="W28:X28"/>
    <mergeCell ref="Y28:Z28"/>
    <mergeCell ref="AA28:AB28"/>
    <mergeCell ref="AA27:AB27"/>
    <mergeCell ref="AC27:AD27"/>
    <mergeCell ref="AE27:AF27"/>
    <mergeCell ref="C28:D28"/>
    <mergeCell ref="E28:F28"/>
    <mergeCell ref="G28:H28"/>
    <mergeCell ref="I28:J28"/>
    <mergeCell ref="K28:L28"/>
    <mergeCell ref="D11:E11"/>
    <mergeCell ref="F11:G11"/>
    <mergeCell ref="H11:I11"/>
    <mergeCell ref="J11:K11"/>
    <mergeCell ref="J6:K6"/>
    <mergeCell ref="D7:E7"/>
    <mergeCell ref="F7:G7"/>
    <mergeCell ref="H7:I7"/>
    <mergeCell ref="J7:K7"/>
    <mergeCell ref="D8:E8"/>
    <mergeCell ref="F8:G8"/>
    <mergeCell ref="H8:I8"/>
    <mergeCell ref="J8:K8"/>
    <mergeCell ref="D12:E12"/>
    <mergeCell ref="F12:G12"/>
    <mergeCell ref="H12:I12"/>
    <mergeCell ref="J12:K12"/>
    <mergeCell ref="D13:E13"/>
    <mergeCell ref="F13:G13"/>
    <mergeCell ref="H13:I13"/>
    <mergeCell ref="J13:K13"/>
    <mergeCell ref="D18:E18"/>
    <mergeCell ref="F18:G18"/>
    <mergeCell ref="H18:I18"/>
    <mergeCell ref="J18:K18"/>
    <mergeCell ref="D16:E16"/>
    <mergeCell ref="F16:G16"/>
    <mergeCell ref="H16:I16"/>
    <mergeCell ref="J16:K16"/>
    <mergeCell ref="D17:E17"/>
    <mergeCell ref="F17:G17"/>
    <mergeCell ref="H17:I17"/>
    <mergeCell ref="J17:K1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84"/>
  <sheetViews>
    <sheetView workbookViewId="0">
      <selection activeCell="I10" sqref="I10"/>
    </sheetView>
  </sheetViews>
  <sheetFormatPr defaultRowHeight="14.4" x14ac:dyDescent="0.3"/>
  <cols>
    <col min="11" max="11" width="6.44140625" customWidth="1"/>
    <col min="12" max="12" width="8.21875" customWidth="1"/>
    <col min="13" max="13" width="7.33203125" customWidth="1"/>
    <col min="14" max="14" width="6.44140625" customWidth="1"/>
    <col min="15" max="15" width="8.21875" style="1" customWidth="1"/>
    <col min="16" max="16" width="7" customWidth="1"/>
    <col min="21" max="21" width="2.77734375" customWidth="1"/>
    <col min="22" max="22" width="15.109375" style="43" customWidth="1"/>
    <col min="23" max="24" width="8.88671875" style="43"/>
    <col min="25" max="25" width="13" customWidth="1"/>
    <col min="26" max="26" width="10.21875" customWidth="1"/>
    <col min="27" max="27" width="6.88671875" customWidth="1"/>
  </cols>
  <sheetData>
    <row r="1" spans="1:33" x14ac:dyDescent="0.3">
      <c r="Y1" s="12" t="s">
        <v>3</v>
      </c>
      <c r="Z1" s="12"/>
      <c r="AA1" s="12"/>
      <c r="AB1" s="12"/>
      <c r="AC1" s="12"/>
      <c r="AD1" s="12"/>
      <c r="AE1" s="12"/>
    </row>
    <row r="2" spans="1:33" x14ac:dyDescent="0.3">
      <c r="A2" s="433" t="s">
        <v>1</v>
      </c>
      <c r="B2" s="433"/>
      <c r="C2" s="433"/>
      <c r="D2" s="433"/>
      <c r="E2" s="433"/>
      <c r="F2" s="433"/>
      <c r="G2" s="433"/>
      <c r="H2" s="433"/>
      <c r="I2" s="433"/>
      <c r="L2" s="5" t="s">
        <v>4</v>
      </c>
      <c r="M2" s="3"/>
      <c r="N2" s="6" t="s">
        <v>6</v>
      </c>
      <c r="Y2" s="2"/>
      <c r="Z2" s="2"/>
      <c r="AA2" s="2"/>
      <c r="AB2" s="2"/>
      <c r="AC2" s="2"/>
      <c r="AD2" s="2"/>
      <c r="AE2" s="2"/>
    </row>
    <row r="3" spans="1:33" ht="15" customHeight="1" x14ac:dyDescent="0.3">
      <c r="A3" s="434" t="s">
        <v>0</v>
      </c>
      <c r="B3" s="434"/>
      <c r="C3" s="434"/>
      <c r="D3" s="434"/>
      <c r="E3" s="434"/>
      <c r="F3" s="434"/>
      <c r="G3" s="434"/>
      <c r="H3" s="434"/>
      <c r="I3" s="434"/>
      <c r="K3" s="440" t="s">
        <v>7</v>
      </c>
      <c r="L3" s="440" t="s">
        <v>9</v>
      </c>
      <c r="M3" s="440" t="s">
        <v>8</v>
      </c>
      <c r="N3" s="439" t="s">
        <v>5</v>
      </c>
      <c r="O3" s="438" t="s">
        <v>10</v>
      </c>
      <c r="P3" s="438" t="s">
        <v>11</v>
      </c>
      <c r="Q3" s="436" t="s">
        <v>12</v>
      </c>
      <c r="R3" s="437" t="s">
        <v>13</v>
      </c>
      <c r="S3" s="442" t="s">
        <v>48</v>
      </c>
      <c r="T3" s="443" t="s">
        <v>49</v>
      </c>
      <c r="U3" s="56"/>
      <c r="W3" s="50">
        <v>1.8735554564004872E-2</v>
      </c>
      <c r="X3" t="s">
        <v>47</v>
      </c>
      <c r="Y3" s="2"/>
      <c r="Z3" s="2"/>
      <c r="AA3" s="2"/>
      <c r="AB3" s="2"/>
      <c r="AC3" s="2"/>
      <c r="AD3" s="2"/>
      <c r="AE3" s="2"/>
      <c r="AF3" s="12"/>
      <c r="AG3" s="12"/>
    </row>
    <row r="4" spans="1:33" x14ac:dyDescent="0.3">
      <c r="A4" s="434"/>
      <c r="B4" s="434"/>
      <c r="C4" s="434"/>
      <c r="D4" s="434"/>
      <c r="E4" s="434"/>
      <c r="F4" s="434"/>
      <c r="G4" s="434"/>
      <c r="H4" s="434"/>
      <c r="I4" s="434"/>
      <c r="K4" s="440"/>
      <c r="L4" s="440"/>
      <c r="M4" s="440"/>
      <c r="N4" s="439"/>
      <c r="O4" s="438"/>
      <c r="P4" s="438"/>
      <c r="Q4" s="436"/>
      <c r="R4" s="437"/>
      <c r="S4" s="442"/>
      <c r="T4" s="443"/>
      <c r="U4" s="56"/>
      <c r="W4" s="50">
        <v>0.64211735042396734</v>
      </c>
      <c r="X4" t="s">
        <v>46</v>
      </c>
      <c r="Y4" s="2"/>
      <c r="Z4" s="2"/>
      <c r="AA4" s="2"/>
      <c r="AB4" s="2"/>
      <c r="AC4" s="2"/>
      <c r="AD4" s="2"/>
      <c r="AE4" s="2"/>
      <c r="AF4" s="13"/>
      <c r="AG4" s="13"/>
    </row>
    <row r="5" spans="1:33" x14ac:dyDescent="0.3">
      <c r="A5" s="435" t="s">
        <v>2</v>
      </c>
      <c r="B5" s="435"/>
      <c r="C5" s="435"/>
      <c r="D5" s="435"/>
      <c r="E5" s="435"/>
      <c r="F5" s="435"/>
      <c r="G5" s="435"/>
      <c r="H5" s="435"/>
      <c r="I5" s="435"/>
      <c r="K5" s="15">
        <v>20</v>
      </c>
      <c r="L5" s="16">
        <v>40</v>
      </c>
      <c r="M5" s="16">
        <v>41</v>
      </c>
      <c r="N5" s="16">
        <v>5.5</v>
      </c>
      <c r="O5" s="4">
        <f t="shared" ref="O5:O36" si="0">IF(L5="",1,0)</f>
        <v>0</v>
      </c>
      <c r="P5" s="7">
        <f t="shared" ref="P5:P36" si="1">(L5+M5)/20</f>
        <v>4.05</v>
      </c>
      <c r="Q5" s="46">
        <f>1/P5</f>
        <v>0.24691358024691359</v>
      </c>
      <c r="R5" s="47">
        <f>1/N5</f>
        <v>0.18181818181818182</v>
      </c>
      <c r="S5" s="48">
        <f>P5/($W$4+$W$3*P5)</f>
        <v>5.6406972267481983</v>
      </c>
      <c r="T5" s="54">
        <f>IF(N5&gt;0,N5,S5)</f>
        <v>5.5</v>
      </c>
      <c r="U5" s="57"/>
      <c r="V5" s="445" t="s">
        <v>87</v>
      </c>
      <c r="W5" s="445"/>
      <c r="X5" s="44"/>
      <c r="AE5" s="14"/>
      <c r="AF5" s="13"/>
      <c r="AG5" s="13"/>
    </row>
    <row r="6" spans="1:33" ht="14.4" customHeight="1" x14ac:dyDescent="0.3">
      <c r="A6" s="435"/>
      <c r="B6" s="435"/>
      <c r="C6" s="435"/>
      <c r="D6" s="435"/>
      <c r="E6" s="435"/>
      <c r="F6" s="435"/>
      <c r="G6" s="435"/>
      <c r="H6" s="435"/>
      <c r="I6" s="435"/>
      <c r="K6" s="15">
        <v>33</v>
      </c>
      <c r="L6" s="16">
        <v>83</v>
      </c>
      <c r="M6" s="16">
        <v>80</v>
      </c>
      <c r="N6" s="16">
        <v>11.5</v>
      </c>
      <c r="O6" s="4">
        <f t="shared" si="0"/>
        <v>0</v>
      </c>
      <c r="P6" s="7">
        <f t="shared" si="1"/>
        <v>8.15</v>
      </c>
      <c r="Q6" s="46">
        <f t="shared" ref="Q6:Q21" si="2">1/P6</f>
        <v>0.12269938650306748</v>
      </c>
      <c r="R6" s="47">
        <f t="shared" ref="R6:R21" si="3">1/N6</f>
        <v>8.6956521739130432E-2</v>
      </c>
      <c r="S6" s="48">
        <f t="shared" ref="S6:S36" si="4">P6/($W$4+$W$3*P6)</f>
        <v>10.253995621963208</v>
      </c>
      <c r="T6" s="54">
        <f t="shared" ref="T6:T69" si="5">IF(N6&gt;0,N6,S6)</f>
        <v>11.5</v>
      </c>
      <c r="U6" s="57"/>
      <c r="V6" s="445"/>
      <c r="W6" s="445"/>
      <c r="X6" s="44"/>
      <c r="Y6" s="45" t="s">
        <v>84</v>
      </c>
      <c r="AF6" s="13"/>
      <c r="AG6" s="13"/>
    </row>
    <row r="7" spans="1:33" x14ac:dyDescent="0.3">
      <c r="K7" s="15">
        <v>9</v>
      </c>
      <c r="L7" s="16">
        <v>145</v>
      </c>
      <c r="M7" s="16">
        <v>141</v>
      </c>
      <c r="N7" s="16">
        <v>15.5</v>
      </c>
      <c r="O7" s="4">
        <f t="shared" si="0"/>
        <v>0</v>
      </c>
      <c r="P7" s="7">
        <f t="shared" si="1"/>
        <v>14.3</v>
      </c>
      <c r="Q7" s="46">
        <f t="shared" si="2"/>
        <v>6.9930069930069921E-2</v>
      </c>
      <c r="R7" s="47">
        <f t="shared" si="3"/>
        <v>6.4516129032258063E-2</v>
      </c>
      <c r="S7" s="48">
        <f t="shared" si="4"/>
        <v>15.713667861685131</v>
      </c>
      <c r="T7" s="54">
        <f t="shared" si="5"/>
        <v>15.5</v>
      </c>
      <c r="U7" s="57"/>
      <c r="V7" s="445"/>
      <c r="W7" s="445"/>
      <c r="X7" s="44"/>
      <c r="Z7" t="s">
        <v>85</v>
      </c>
      <c r="AF7" s="14"/>
      <c r="AG7" s="14"/>
    </row>
    <row r="8" spans="1:33" ht="14.4" customHeight="1" x14ac:dyDescent="0.35">
      <c r="B8" s="441" t="s">
        <v>89</v>
      </c>
      <c r="C8" s="441"/>
      <c r="D8" s="441"/>
      <c r="E8" s="441"/>
      <c r="F8" s="441"/>
      <c r="G8" s="441"/>
      <c r="H8" s="441"/>
      <c r="K8" s="15">
        <v>1</v>
      </c>
      <c r="L8" s="16">
        <v>235</v>
      </c>
      <c r="M8" s="16">
        <v>217</v>
      </c>
      <c r="N8" s="16">
        <v>18.5</v>
      </c>
      <c r="O8" s="4">
        <f t="shared" si="0"/>
        <v>0</v>
      </c>
      <c r="P8" s="7">
        <f t="shared" si="1"/>
        <v>22.6</v>
      </c>
      <c r="Q8" s="46">
        <f t="shared" si="2"/>
        <v>4.4247787610619468E-2</v>
      </c>
      <c r="R8" s="47">
        <f t="shared" si="3"/>
        <v>5.4054054054054057E-2</v>
      </c>
      <c r="S8" s="48">
        <f t="shared" si="4"/>
        <v>21.209885372272701</v>
      </c>
      <c r="T8" s="54">
        <f t="shared" si="5"/>
        <v>18.5</v>
      </c>
      <c r="U8" s="57"/>
      <c r="V8" s="445"/>
      <c r="W8" s="445"/>
      <c r="X8" s="44"/>
      <c r="Z8" s="444" t="s">
        <v>86</v>
      </c>
      <c r="AA8" s="444"/>
      <c r="AB8" s="444"/>
      <c r="AC8" s="444"/>
      <c r="AD8" s="444"/>
      <c r="AE8" s="444"/>
    </row>
    <row r="9" spans="1:33" x14ac:dyDescent="0.3">
      <c r="K9" s="15">
        <v>32</v>
      </c>
      <c r="L9" s="16">
        <v>195</v>
      </c>
      <c r="M9" s="16">
        <v>196</v>
      </c>
      <c r="N9" s="16">
        <v>20.5</v>
      </c>
      <c r="O9" s="4">
        <f t="shared" si="0"/>
        <v>0</v>
      </c>
      <c r="P9" s="7">
        <f t="shared" si="1"/>
        <v>19.55</v>
      </c>
      <c r="Q9" s="46">
        <f t="shared" si="2"/>
        <v>5.1150895140664961E-2</v>
      </c>
      <c r="R9" s="47">
        <f t="shared" si="3"/>
        <v>4.878048780487805E-2</v>
      </c>
      <c r="S9" s="48">
        <f t="shared" si="4"/>
        <v>19.387197133614734</v>
      </c>
      <c r="T9" s="54">
        <f t="shared" si="5"/>
        <v>20.5</v>
      </c>
      <c r="U9" s="57"/>
      <c r="V9" s="445"/>
      <c r="W9" s="445"/>
      <c r="X9" s="44"/>
      <c r="Z9" s="444"/>
      <c r="AA9" s="444"/>
      <c r="AB9" s="444"/>
      <c r="AC9" s="444"/>
      <c r="AD9" s="444"/>
      <c r="AE9" s="444"/>
    </row>
    <row r="10" spans="1:33" x14ac:dyDescent="0.3">
      <c r="K10" s="15">
        <v>39</v>
      </c>
      <c r="L10" s="16">
        <v>247</v>
      </c>
      <c r="M10" s="16">
        <v>251</v>
      </c>
      <c r="N10" s="16">
        <v>22</v>
      </c>
      <c r="O10" s="4">
        <f t="shared" si="0"/>
        <v>0</v>
      </c>
      <c r="P10" s="7">
        <f t="shared" si="1"/>
        <v>24.9</v>
      </c>
      <c r="Q10" s="46">
        <f t="shared" si="2"/>
        <v>4.0160642570281124E-2</v>
      </c>
      <c r="R10" s="47">
        <f t="shared" si="3"/>
        <v>4.5454545454545456E-2</v>
      </c>
      <c r="S10" s="48">
        <f t="shared" si="4"/>
        <v>22.46009965188993</v>
      </c>
      <c r="T10" s="54">
        <f t="shared" si="5"/>
        <v>22</v>
      </c>
      <c r="U10" s="57"/>
      <c r="V10" s="445"/>
      <c r="W10" s="445"/>
      <c r="X10" s="44"/>
      <c r="Z10" s="444"/>
      <c r="AA10" s="444"/>
      <c r="AB10" s="444"/>
      <c r="AC10" s="444"/>
      <c r="AD10" s="444"/>
      <c r="AE10" s="444"/>
    </row>
    <row r="11" spans="1:33" x14ac:dyDescent="0.3">
      <c r="K11" s="16">
        <v>52</v>
      </c>
      <c r="L11" s="16">
        <v>266</v>
      </c>
      <c r="M11" s="16">
        <v>272</v>
      </c>
      <c r="N11" s="16">
        <v>22</v>
      </c>
      <c r="O11" s="4">
        <f t="shared" si="0"/>
        <v>0</v>
      </c>
      <c r="P11" s="7">
        <f t="shared" si="1"/>
        <v>26.9</v>
      </c>
      <c r="Q11" s="46">
        <f t="shared" si="2"/>
        <v>3.717472118959108E-2</v>
      </c>
      <c r="R11" s="47">
        <f t="shared" si="3"/>
        <v>4.5454545454545456E-2</v>
      </c>
      <c r="S11" s="48">
        <f t="shared" si="4"/>
        <v>23.470824149150516</v>
      </c>
      <c r="T11" s="54">
        <f t="shared" si="5"/>
        <v>22</v>
      </c>
      <c r="U11" s="57"/>
      <c r="V11" s="445"/>
      <c r="W11" s="445"/>
      <c r="X11" s="44"/>
    </row>
    <row r="12" spans="1:33" x14ac:dyDescent="0.3">
      <c r="K12" s="16">
        <v>80</v>
      </c>
      <c r="L12" s="16">
        <v>245</v>
      </c>
      <c r="M12" s="16">
        <v>242</v>
      </c>
      <c r="N12" s="16">
        <v>22</v>
      </c>
      <c r="O12" s="4">
        <f t="shared" si="0"/>
        <v>0</v>
      </c>
      <c r="P12" s="7">
        <f t="shared" si="1"/>
        <v>24.35</v>
      </c>
      <c r="Q12" s="46">
        <f t="shared" si="2"/>
        <v>4.1067761806981518E-2</v>
      </c>
      <c r="R12" s="47">
        <f t="shared" si="3"/>
        <v>4.5454545454545456E-2</v>
      </c>
      <c r="S12" s="48">
        <f t="shared" si="4"/>
        <v>22.170060030372795</v>
      </c>
      <c r="T12" s="54">
        <f t="shared" si="5"/>
        <v>22</v>
      </c>
      <c r="U12" s="57"/>
      <c r="V12" s="445"/>
      <c r="W12" s="445"/>
      <c r="X12" s="44"/>
      <c r="Y12" t="s">
        <v>14</v>
      </c>
    </row>
    <row r="13" spans="1:33" ht="15" thickBot="1" x14ac:dyDescent="0.35">
      <c r="K13" s="15">
        <v>3</v>
      </c>
      <c r="L13" s="16">
        <v>212</v>
      </c>
      <c r="M13" s="16">
        <v>217</v>
      </c>
      <c r="N13" s="16">
        <v>22.5</v>
      </c>
      <c r="O13" s="4">
        <f t="shared" si="0"/>
        <v>0</v>
      </c>
      <c r="P13" s="7">
        <f t="shared" si="1"/>
        <v>21.45</v>
      </c>
      <c r="Q13" s="46">
        <f t="shared" si="2"/>
        <v>4.6620046620046623E-2</v>
      </c>
      <c r="R13" s="47">
        <f t="shared" si="3"/>
        <v>4.4444444444444446E-2</v>
      </c>
      <c r="S13" s="48">
        <f t="shared" si="4"/>
        <v>20.546075494465143</v>
      </c>
      <c r="T13" s="54">
        <f t="shared" si="5"/>
        <v>22.5</v>
      </c>
      <c r="U13" s="57"/>
      <c r="V13" s="445"/>
      <c r="W13" s="445"/>
      <c r="X13" s="44"/>
    </row>
    <row r="14" spans="1:33" x14ac:dyDescent="0.3">
      <c r="K14" s="15">
        <v>21</v>
      </c>
      <c r="L14" s="16">
        <v>212</v>
      </c>
      <c r="M14" s="16">
        <v>213</v>
      </c>
      <c r="N14" s="16">
        <v>22.5</v>
      </c>
      <c r="O14" s="4">
        <f t="shared" si="0"/>
        <v>0</v>
      </c>
      <c r="P14" s="7">
        <f t="shared" si="1"/>
        <v>21.25</v>
      </c>
      <c r="Q14" s="46">
        <f t="shared" si="2"/>
        <v>4.7058823529411764E-2</v>
      </c>
      <c r="R14" s="47">
        <f t="shared" si="3"/>
        <v>4.4444444444444446E-2</v>
      </c>
      <c r="S14" s="48">
        <f t="shared" si="4"/>
        <v>20.427823318148331</v>
      </c>
      <c r="T14" s="54">
        <f t="shared" si="5"/>
        <v>22.5</v>
      </c>
      <c r="U14" s="57"/>
      <c r="V14" s="445"/>
      <c r="W14" s="445"/>
      <c r="X14" s="44"/>
      <c r="Y14" s="11" t="s">
        <v>15</v>
      </c>
      <c r="Z14" s="11"/>
    </row>
    <row r="15" spans="1:33" x14ac:dyDescent="0.3">
      <c r="K15" s="16">
        <v>73</v>
      </c>
      <c r="L15" s="16">
        <v>269</v>
      </c>
      <c r="M15" s="16">
        <v>273</v>
      </c>
      <c r="N15" s="16">
        <v>22.5</v>
      </c>
      <c r="O15" s="4">
        <f t="shared" si="0"/>
        <v>0</v>
      </c>
      <c r="P15" s="7">
        <f t="shared" si="1"/>
        <v>27.1</v>
      </c>
      <c r="Q15" s="46">
        <f t="shared" si="2"/>
        <v>3.6900369003690037E-2</v>
      </c>
      <c r="R15" s="47">
        <f t="shared" si="3"/>
        <v>4.4444444444444446E-2</v>
      </c>
      <c r="S15" s="48">
        <f t="shared" si="4"/>
        <v>23.568273497352223</v>
      </c>
      <c r="T15" s="54">
        <f t="shared" si="5"/>
        <v>22.5</v>
      </c>
      <c r="U15" s="57"/>
      <c r="V15" s="445"/>
      <c r="W15" s="445"/>
      <c r="X15" s="44"/>
      <c r="Y15" s="8" t="s">
        <v>16</v>
      </c>
      <c r="Z15" s="8">
        <v>0.99329136537241947</v>
      </c>
    </row>
    <row r="16" spans="1:33" x14ac:dyDescent="0.3">
      <c r="K16" s="15">
        <v>8</v>
      </c>
      <c r="L16" s="16">
        <v>262</v>
      </c>
      <c r="M16" s="16">
        <v>267</v>
      </c>
      <c r="N16" s="16">
        <v>23</v>
      </c>
      <c r="O16" s="4">
        <f t="shared" si="0"/>
        <v>0</v>
      </c>
      <c r="P16" s="7">
        <f t="shared" si="1"/>
        <v>26.45</v>
      </c>
      <c r="Q16" s="46">
        <f t="shared" si="2"/>
        <v>3.780718336483932E-2</v>
      </c>
      <c r="R16" s="47">
        <f t="shared" si="3"/>
        <v>4.3478260869565216E-2</v>
      </c>
      <c r="S16" s="48">
        <f t="shared" si="4"/>
        <v>23.249216056718005</v>
      </c>
      <c r="T16" s="54">
        <f t="shared" si="5"/>
        <v>23</v>
      </c>
      <c r="U16" s="57"/>
      <c r="V16" s="445"/>
      <c r="W16" s="445"/>
      <c r="X16" s="44"/>
      <c r="Y16" s="8" t="s">
        <v>17</v>
      </c>
      <c r="Z16" s="8">
        <v>0.98662773652340541</v>
      </c>
    </row>
    <row r="17" spans="2:33" x14ac:dyDescent="0.3">
      <c r="K17" s="15">
        <v>31</v>
      </c>
      <c r="L17" s="16">
        <v>260</v>
      </c>
      <c r="M17" s="16">
        <v>278</v>
      </c>
      <c r="N17" s="16">
        <v>23</v>
      </c>
      <c r="O17" s="4">
        <f t="shared" si="0"/>
        <v>0</v>
      </c>
      <c r="P17" s="7">
        <f t="shared" si="1"/>
        <v>26.9</v>
      </c>
      <c r="Q17" s="46">
        <f t="shared" si="2"/>
        <v>3.717472118959108E-2</v>
      </c>
      <c r="R17" s="47">
        <f t="shared" si="3"/>
        <v>4.3478260869565216E-2</v>
      </c>
      <c r="S17" s="48">
        <f t="shared" si="4"/>
        <v>23.470824149150516</v>
      </c>
      <c r="T17" s="54">
        <f t="shared" si="5"/>
        <v>23</v>
      </c>
      <c r="U17" s="57"/>
      <c r="V17" s="445"/>
      <c r="W17" s="445"/>
      <c r="X17" s="44"/>
      <c r="Y17" s="8" t="s">
        <v>18</v>
      </c>
      <c r="Z17" s="8">
        <v>0.98573625229163242</v>
      </c>
    </row>
    <row r="18" spans="2:33" x14ac:dyDescent="0.3">
      <c r="K18" s="16">
        <v>64</v>
      </c>
      <c r="L18" s="16">
        <v>285</v>
      </c>
      <c r="M18" s="16">
        <v>275</v>
      </c>
      <c r="N18" s="16">
        <v>23.3</v>
      </c>
      <c r="O18" s="4">
        <f t="shared" si="0"/>
        <v>0</v>
      </c>
      <c r="P18" s="7">
        <f t="shared" si="1"/>
        <v>28</v>
      </c>
      <c r="Q18" s="46">
        <f t="shared" si="2"/>
        <v>3.5714285714285712E-2</v>
      </c>
      <c r="R18" s="47">
        <f t="shared" si="3"/>
        <v>4.2918454935622317E-2</v>
      </c>
      <c r="S18" s="48">
        <f t="shared" si="4"/>
        <v>23.999049400064745</v>
      </c>
      <c r="T18" s="54">
        <f t="shared" si="5"/>
        <v>23.3</v>
      </c>
      <c r="U18" s="57"/>
      <c r="V18" s="445"/>
      <c r="W18" s="445"/>
      <c r="X18" s="44"/>
      <c r="Y18" s="8" t="s">
        <v>19</v>
      </c>
      <c r="Z18" s="8">
        <v>4.0912116231314397E-3</v>
      </c>
    </row>
    <row r="19" spans="2:33" ht="15" thickBot="1" x14ac:dyDescent="0.35">
      <c r="K19" s="15">
        <v>11</v>
      </c>
      <c r="L19" s="16">
        <v>295</v>
      </c>
      <c r="M19" s="16">
        <v>293</v>
      </c>
      <c r="N19" s="16">
        <v>23.5</v>
      </c>
      <c r="O19" s="4">
        <f t="shared" si="0"/>
        <v>0</v>
      </c>
      <c r="P19" s="7">
        <f t="shared" si="1"/>
        <v>29.4</v>
      </c>
      <c r="Q19" s="46">
        <f t="shared" si="2"/>
        <v>3.4013605442176874E-2</v>
      </c>
      <c r="R19" s="47">
        <f t="shared" si="3"/>
        <v>4.2553191489361701E-2</v>
      </c>
      <c r="S19" s="48">
        <f t="shared" si="4"/>
        <v>24.644939877447204</v>
      </c>
      <c r="T19" s="54">
        <f t="shared" si="5"/>
        <v>23.5</v>
      </c>
      <c r="U19" s="57"/>
      <c r="V19" s="445"/>
      <c r="W19" s="445"/>
      <c r="X19" s="44"/>
      <c r="Y19" s="9" t="s">
        <v>20</v>
      </c>
      <c r="Z19" s="9">
        <v>17</v>
      </c>
    </row>
    <row r="20" spans="2:33" x14ac:dyDescent="0.3">
      <c r="K20" s="16">
        <v>58</v>
      </c>
      <c r="L20" s="16">
        <v>288</v>
      </c>
      <c r="M20" s="16">
        <v>275</v>
      </c>
      <c r="N20" s="16">
        <v>23.5</v>
      </c>
      <c r="O20" s="4">
        <f t="shared" si="0"/>
        <v>0</v>
      </c>
      <c r="P20" s="7">
        <f t="shared" si="1"/>
        <v>28.15</v>
      </c>
      <c r="Q20" s="46">
        <f t="shared" si="2"/>
        <v>3.5523978685612793E-2</v>
      </c>
      <c r="R20" s="47">
        <f t="shared" si="3"/>
        <v>4.2553191489361701E-2</v>
      </c>
      <c r="S20" s="48">
        <f t="shared" si="4"/>
        <v>24.069637716968057</v>
      </c>
      <c r="T20" s="54">
        <f t="shared" si="5"/>
        <v>23.5</v>
      </c>
      <c r="U20" s="57"/>
      <c r="V20" s="445"/>
      <c r="W20" s="445"/>
      <c r="X20" s="44"/>
    </row>
    <row r="21" spans="2:33" ht="15" thickBot="1" x14ac:dyDescent="0.35">
      <c r="K21" s="16">
        <v>71</v>
      </c>
      <c r="L21" s="16">
        <v>284</v>
      </c>
      <c r="M21" s="16">
        <v>289</v>
      </c>
      <c r="N21" s="16">
        <v>25.5</v>
      </c>
      <c r="O21" s="4">
        <f t="shared" si="0"/>
        <v>0</v>
      </c>
      <c r="P21" s="7">
        <f t="shared" si="1"/>
        <v>28.65</v>
      </c>
      <c r="Q21" s="46">
        <f t="shared" si="2"/>
        <v>3.4904013961605584E-2</v>
      </c>
      <c r="R21" s="47">
        <f t="shared" si="3"/>
        <v>3.9215686274509803E-2</v>
      </c>
      <c r="S21" s="48">
        <f t="shared" si="4"/>
        <v>24.302501482358025</v>
      </c>
      <c r="T21" s="54">
        <f t="shared" si="5"/>
        <v>25.5</v>
      </c>
      <c r="U21" s="57"/>
      <c r="V21" s="445"/>
      <c r="W21" s="445"/>
      <c r="X21" s="44"/>
      <c r="Y21" t="s">
        <v>21</v>
      </c>
    </row>
    <row r="22" spans="2:33" x14ac:dyDescent="0.3">
      <c r="K22" s="15">
        <v>2</v>
      </c>
      <c r="L22" s="16">
        <v>272</v>
      </c>
      <c r="M22" s="16">
        <v>272</v>
      </c>
      <c r="N22" s="16"/>
      <c r="O22" s="4">
        <f t="shared" si="0"/>
        <v>0</v>
      </c>
      <c r="P22" s="7">
        <f t="shared" si="1"/>
        <v>27.2</v>
      </c>
      <c r="S22" s="49">
        <f t="shared" si="4"/>
        <v>23.616760384419262</v>
      </c>
      <c r="T22" s="55">
        <f t="shared" si="5"/>
        <v>23.616760384419262</v>
      </c>
      <c r="U22" s="58"/>
      <c r="V22" s="445"/>
      <c r="W22" s="445"/>
      <c r="X22" s="44"/>
      <c r="Y22" s="10"/>
      <c r="Z22" s="10" t="s">
        <v>26</v>
      </c>
      <c r="AA22" s="10" t="s">
        <v>27</v>
      </c>
      <c r="AB22" s="10" t="s">
        <v>28</v>
      </c>
      <c r="AC22" s="10" t="s">
        <v>29</v>
      </c>
      <c r="AD22" s="10" t="s">
        <v>30</v>
      </c>
    </row>
    <row r="23" spans="2:33" x14ac:dyDescent="0.3">
      <c r="K23" s="15">
        <v>4</v>
      </c>
      <c r="L23" s="16">
        <v>216</v>
      </c>
      <c r="M23" s="16">
        <v>218</v>
      </c>
      <c r="N23" s="16"/>
      <c r="O23" s="4">
        <f t="shared" si="0"/>
        <v>0</v>
      </c>
      <c r="P23" s="7">
        <f t="shared" si="1"/>
        <v>21.7</v>
      </c>
      <c r="S23" s="49">
        <f t="shared" si="4"/>
        <v>20.692702333865157</v>
      </c>
      <c r="T23" s="55">
        <f t="shared" si="5"/>
        <v>20.692702333865157</v>
      </c>
      <c r="U23" s="58"/>
      <c r="V23" s="445"/>
      <c r="W23" s="445"/>
      <c r="X23" s="44"/>
      <c r="Y23" s="8" t="s">
        <v>22</v>
      </c>
      <c r="Z23" s="8">
        <v>1</v>
      </c>
      <c r="AA23" s="8">
        <v>1.8524374119969555E-2</v>
      </c>
      <c r="AB23" s="8">
        <v>1.8524374119969555E-2</v>
      </c>
      <c r="AC23" s="8">
        <v>1106.7248318696688</v>
      </c>
      <c r="AD23" s="8">
        <v>1.8020886636638959E-15</v>
      </c>
    </row>
    <row r="24" spans="2:33" x14ac:dyDescent="0.3">
      <c r="K24" s="15">
        <v>5</v>
      </c>
      <c r="L24" s="16">
        <v>267</v>
      </c>
      <c r="M24" s="16">
        <v>249</v>
      </c>
      <c r="N24" s="16"/>
      <c r="O24" s="4">
        <f t="shared" si="0"/>
        <v>0</v>
      </c>
      <c r="P24" s="7">
        <f t="shared" si="1"/>
        <v>25.8</v>
      </c>
      <c r="S24" s="49">
        <f t="shared" si="4"/>
        <v>22.923254066641434</v>
      </c>
      <c r="T24" s="55">
        <f t="shared" si="5"/>
        <v>22.923254066641434</v>
      </c>
      <c r="U24" s="58"/>
      <c r="V24" s="445"/>
      <c r="W24" s="445"/>
      <c r="X24" s="44"/>
      <c r="Y24" s="8" t="s">
        <v>23</v>
      </c>
      <c r="Z24" s="8">
        <v>15</v>
      </c>
      <c r="AA24" s="8">
        <v>2.5107018817868687E-4</v>
      </c>
      <c r="AB24" s="8">
        <v>1.6738012545245792E-5</v>
      </c>
      <c r="AC24" s="8"/>
      <c r="AD24" s="8"/>
    </row>
    <row r="25" spans="2:33" ht="15" thickBot="1" x14ac:dyDescent="0.35">
      <c r="K25" s="15">
        <v>6</v>
      </c>
      <c r="L25" s="16">
        <v>272</v>
      </c>
      <c r="M25" s="16">
        <v>265</v>
      </c>
      <c r="N25" s="16"/>
      <c r="O25" s="4">
        <f t="shared" si="0"/>
        <v>0</v>
      </c>
      <c r="P25" s="7">
        <f t="shared" si="1"/>
        <v>26.85</v>
      </c>
      <c r="S25" s="49">
        <f t="shared" si="4"/>
        <v>23.446362166830244</v>
      </c>
      <c r="T25" s="55">
        <f t="shared" si="5"/>
        <v>23.446362166830244</v>
      </c>
      <c r="U25" s="58"/>
      <c r="V25" s="445"/>
      <c r="W25" s="445"/>
      <c r="X25" s="44"/>
      <c r="Y25" s="9" t="s">
        <v>24</v>
      </c>
      <c r="Z25" s="9">
        <v>16</v>
      </c>
      <c r="AA25" s="9">
        <v>1.8775444308148242E-2</v>
      </c>
      <c r="AB25" s="9"/>
      <c r="AC25" s="9"/>
      <c r="AD25" s="9"/>
    </row>
    <row r="26" spans="2:33" ht="15" thickBot="1" x14ac:dyDescent="0.35">
      <c r="K26" s="15">
        <v>7</v>
      </c>
      <c r="L26" s="16">
        <v>254</v>
      </c>
      <c r="M26" s="16">
        <v>241</v>
      </c>
      <c r="N26" s="16"/>
      <c r="O26" s="4">
        <f t="shared" si="0"/>
        <v>0</v>
      </c>
      <c r="P26" s="7">
        <f t="shared" si="1"/>
        <v>24.75</v>
      </c>
      <c r="S26" s="49">
        <f t="shared" si="4"/>
        <v>22.381534013825537</v>
      </c>
      <c r="T26" s="55">
        <f t="shared" si="5"/>
        <v>22.381534013825537</v>
      </c>
      <c r="U26" s="58"/>
      <c r="V26" s="445"/>
      <c r="W26" s="445"/>
      <c r="X26" s="44"/>
    </row>
    <row r="27" spans="2:33" x14ac:dyDescent="0.3">
      <c r="K27" s="15">
        <v>10</v>
      </c>
      <c r="L27" s="16"/>
      <c r="M27" s="16"/>
      <c r="N27" s="16"/>
      <c r="O27" s="4">
        <f t="shared" si="0"/>
        <v>1</v>
      </c>
      <c r="P27" s="7">
        <f t="shared" si="1"/>
        <v>0</v>
      </c>
      <c r="S27" s="49">
        <f t="shared" si="4"/>
        <v>0</v>
      </c>
      <c r="T27" s="55">
        <f t="shared" si="5"/>
        <v>0</v>
      </c>
      <c r="U27" s="58"/>
      <c r="V27" s="44"/>
      <c r="W27" s="44"/>
      <c r="X27" s="44"/>
      <c r="Y27" s="10"/>
      <c r="Z27" s="52" t="s">
        <v>31</v>
      </c>
      <c r="AA27" s="10" t="s">
        <v>19</v>
      </c>
      <c r="AB27" s="10" t="s">
        <v>32</v>
      </c>
      <c r="AC27" s="10" t="s">
        <v>33</v>
      </c>
      <c r="AD27" s="10" t="s">
        <v>34</v>
      </c>
      <c r="AE27" s="10" t="s">
        <v>35</v>
      </c>
      <c r="AF27" s="10" t="s">
        <v>36</v>
      </c>
      <c r="AG27" s="10" t="s">
        <v>37</v>
      </c>
    </row>
    <row r="28" spans="2:33" x14ac:dyDescent="0.3">
      <c r="K28" s="15">
        <v>12</v>
      </c>
      <c r="L28" s="16">
        <v>223</v>
      </c>
      <c r="M28" s="16">
        <v>220</v>
      </c>
      <c r="N28" s="16"/>
      <c r="O28" s="4">
        <f t="shared" si="0"/>
        <v>0</v>
      </c>
      <c r="P28" s="7">
        <f t="shared" si="1"/>
        <v>22.15</v>
      </c>
      <c r="S28" s="49">
        <f t="shared" si="4"/>
        <v>20.953356254542971</v>
      </c>
      <c r="T28" s="55">
        <f t="shared" si="5"/>
        <v>20.953356254542971</v>
      </c>
      <c r="U28" s="58"/>
      <c r="V28" s="44"/>
      <c r="W28" s="44"/>
      <c r="X28" s="44"/>
      <c r="Y28" s="8" t="s">
        <v>25</v>
      </c>
      <c r="Z28" s="50">
        <v>1.8735554564004872E-2</v>
      </c>
      <c r="AA28" s="8">
        <v>1.5070784203951265E-3</v>
      </c>
      <c r="AB28" s="8">
        <v>12.431705152471611</v>
      </c>
      <c r="AC28" s="8">
        <v>2.662747523982202E-9</v>
      </c>
      <c r="AD28" s="8">
        <v>1.5523292949730738E-2</v>
      </c>
      <c r="AE28" s="8">
        <v>2.1947816178279008E-2</v>
      </c>
      <c r="AF28" s="8">
        <v>1.5523292949730738E-2</v>
      </c>
      <c r="AG28" s="8">
        <v>2.1947816178279008E-2</v>
      </c>
    </row>
    <row r="29" spans="2:33" ht="18.600000000000001" thickBot="1" x14ac:dyDescent="0.4">
      <c r="B29" s="441" t="s">
        <v>88</v>
      </c>
      <c r="C29" s="441"/>
      <c r="D29" s="441"/>
      <c r="E29" s="441"/>
      <c r="F29" s="441"/>
      <c r="G29" s="441"/>
      <c r="H29" s="441"/>
      <c r="K29" s="15">
        <v>13</v>
      </c>
      <c r="L29" s="16">
        <v>205</v>
      </c>
      <c r="M29" s="16">
        <v>205</v>
      </c>
      <c r="N29" s="16"/>
      <c r="O29" s="4">
        <f t="shared" si="0"/>
        <v>0</v>
      </c>
      <c r="P29" s="7">
        <f t="shared" si="1"/>
        <v>20.5</v>
      </c>
      <c r="S29" s="49">
        <f t="shared" si="4"/>
        <v>19.976686349765561</v>
      </c>
      <c r="T29" s="55">
        <f t="shared" si="5"/>
        <v>19.976686349765561</v>
      </c>
      <c r="U29" s="58"/>
      <c r="V29" s="44"/>
      <c r="W29" s="44"/>
      <c r="X29" s="44"/>
      <c r="Y29" s="9" t="s">
        <v>38</v>
      </c>
      <c r="Z29" s="51">
        <v>0.64211735042396734</v>
      </c>
      <c r="AA29" s="9">
        <v>1.9301656291067299E-2</v>
      </c>
      <c r="AB29" s="9">
        <v>33.26747408309906</v>
      </c>
      <c r="AC29" s="9">
        <v>1.8020886636639086E-15</v>
      </c>
      <c r="AD29" s="9">
        <v>0.600976843893821</v>
      </c>
      <c r="AE29" s="9">
        <v>0.68325785695411367</v>
      </c>
      <c r="AF29" s="9">
        <v>0.600976843893821</v>
      </c>
      <c r="AG29" s="9">
        <v>0.68325785695411367</v>
      </c>
    </row>
    <row r="30" spans="2:33" x14ac:dyDescent="0.3">
      <c r="K30" s="15">
        <v>14</v>
      </c>
      <c r="L30" s="16"/>
      <c r="M30" s="16"/>
      <c r="N30" s="16"/>
      <c r="O30" s="4">
        <f t="shared" si="0"/>
        <v>1</v>
      </c>
      <c r="P30" s="7">
        <f t="shared" si="1"/>
        <v>0</v>
      </c>
      <c r="S30" s="49">
        <f t="shared" si="4"/>
        <v>0</v>
      </c>
      <c r="T30" s="55">
        <f t="shared" si="5"/>
        <v>0</v>
      </c>
      <c r="U30" s="58"/>
      <c r="V30" s="44"/>
      <c r="W30" s="44"/>
      <c r="X30" s="44"/>
    </row>
    <row r="31" spans="2:33" x14ac:dyDescent="0.3">
      <c r="K31" s="15">
        <v>15</v>
      </c>
      <c r="L31" s="16">
        <v>246</v>
      </c>
      <c r="M31" s="16">
        <v>254</v>
      </c>
      <c r="N31" s="16"/>
      <c r="O31" s="4">
        <f t="shared" si="0"/>
        <v>0</v>
      </c>
      <c r="P31" s="7">
        <f t="shared" si="1"/>
        <v>25</v>
      </c>
      <c r="S31" s="49">
        <f t="shared" si="4"/>
        <v>22.512255828044896</v>
      </c>
      <c r="T31" s="55">
        <f t="shared" si="5"/>
        <v>22.512255828044896</v>
      </c>
      <c r="U31" s="58"/>
      <c r="V31" s="44"/>
      <c r="W31" s="44"/>
      <c r="X31" s="44"/>
    </row>
    <row r="32" spans="2:33" x14ac:dyDescent="0.3">
      <c r="K32" s="15">
        <v>16</v>
      </c>
      <c r="L32" s="16">
        <v>278</v>
      </c>
      <c r="M32" s="16">
        <v>289</v>
      </c>
      <c r="N32" s="16"/>
      <c r="O32" s="4">
        <f t="shared" si="0"/>
        <v>0</v>
      </c>
      <c r="P32" s="7">
        <f t="shared" si="1"/>
        <v>28.35</v>
      </c>
      <c r="S32" s="49">
        <f t="shared" si="4"/>
        <v>24.163229445792371</v>
      </c>
      <c r="T32" s="55">
        <f t="shared" si="5"/>
        <v>24.163229445792371</v>
      </c>
      <c r="U32" s="58"/>
      <c r="V32" s="44"/>
      <c r="W32" s="44"/>
      <c r="X32" s="44"/>
    </row>
    <row r="33" spans="11:30" x14ac:dyDescent="0.3">
      <c r="K33" s="15">
        <v>17</v>
      </c>
      <c r="L33" s="16">
        <v>212</v>
      </c>
      <c r="M33" s="16">
        <v>203</v>
      </c>
      <c r="N33" s="16"/>
      <c r="O33" s="4">
        <f t="shared" si="0"/>
        <v>0</v>
      </c>
      <c r="P33" s="7">
        <f t="shared" si="1"/>
        <v>20.75</v>
      </c>
      <c r="S33" s="49">
        <f t="shared" si="4"/>
        <v>20.128431857865017</v>
      </c>
      <c r="T33" s="55">
        <f t="shared" si="5"/>
        <v>20.128431857865017</v>
      </c>
      <c r="U33" s="58"/>
      <c r="V33" s="44"/>
      <c r="W33" s="44"/>
      <c r="X33" s="44"/>
      <c r="Y33" t="s">
        <v>39</v>
      </c>
      <c r="AC33" t="s">
        <v>43</v>
      </c>
    </row>
    <row r="34" spans="11:30" ht="15" thickBot="1" x14ac:dyDescent="0.35">
      <c r="K34" s="15">
        <v>18</v>
      </c>
      <c r="L34" s="16">
        <v>249</v>
      </c>
      <c r="M34" s="16">
        <v>245</v>
      </c>
      <c r="N34" s="16"/>
      <c r="O34" s="4">
        <f t="shared" si="0"/>
        <v>0</v>
      </c>
      <c r="P34" s="7">
        <f t="shared" si="1"/>
        <v>24.7</v>
      </c>
      <c r="S34" s="49">
        <f t="shared" si="4"/>
        <v>22.355256651920158</v>
      </c>
      <c r="T34" s="55">
        <f t="shared" si="5"/>
        <v>22.355256651920158</v>
      </c>
      <c r="U34" s="58"/>
      <c r="V34" s="44"/>
      <c r="W34" s="44"/>
      <c r="X34" s="44"/>
    </row>
    <row r="35" spans="11:30" x14ac:dyDescent="0.3">
      <c r="K35" s="15">
        <v>19</v>
      </c>
      <c r="L35" s="16">
        <v>253</v>
      </c>
      <c r="M35" s="16">
        <v>251</v>
      </c>
      <c r="N35" s="16"/>
      <c r="O35" s="4">
        <f t="shared" si="0"/>
        <v>0</v>
      </c>
      <c r="P35" s="7">
        <f t="shared" si="1"/>
        <v>25.2</v>
      </c>
      <c r="S35" s="49">
        <f t="shared" si="4"/>
        <v>22.616041993968718</v>
      </c>
      <c r="T35" s="55">
        <f t="shared" si="5"/>
        <v>22.616041993968718</v>
      </c>
      <c r="U35" s="58"/>
      <c r="V35" s="44"/>
      <c r="W35" s="44"/>
      <c r="X35" s="44"/>
      <c r="Y35" s="10" t="s">
        <v>40</v>
      </c>
      <c r="Z35" s="10" t="s">
        <v>41</v>
      </c>
      <c r="AA35" s="10" t="s">
        <v>42</v>
      </c>
      <c r="AC35" s="10" t="s">
        <v>44</v>
      </c>
      <c r="AD35" s="10" t="s">
        <v>45</v>
      </c>
    </row>
    <row r="36" spans="11:30" x14ac:dyDescent="0.3">
      <c r="K36" s="15">
        <v>22</v>
      </c>
      <c r="L36" s="16">
        <v>222</v>
      </c>
      <c r="M36" s="16">
        <v>217</v>
      </c>
      <c r="N36" s="16"/>
      <c r="O36" s="4">
        <f t="shared" si="0"/>
        <v>0</v>
      </c>
      <c r="P36" s="7">
        <f t="shared" si="1"/>
        <v>21.95</v>
      </c>
      <c r="S36" s="49">
        <f t="shared" si="4"/>
        <v>20.838025189860652</v>
      </c>
      <c r="T36" s="55">
        <f t="shared" si="5"/>
        <v>20.838025189860652</v>
      </c>
      <c r="U36" s="58"/>
      <c r="V36" s="44"/>
      <c r="W36" s="44"/>
      <c r="X36" s="44"/>
      <c r="Y36" s="8">
        <v>1</v>
      </c>
      <c r="Z36" s="8">
        <v>0.17728304849584869</v>
      </c>
      <c r="AA36" s="8">
        <v>4.5351333223331292E-3</v>
      </c>
      <c r="AC36" s="8">
        <v>2.9411764705882355</v>
      </c>
      <c r="AD36" s="8">
        <v>3.9215686274509803E-2</v>
      </c>
    </row>
    <row r="37" spans="11:30" x14ac:dyDescent="0.3">
      <c r="K37" s="15">
        <v>23</v>
      </c>
      <c r="L37" s="16">
        <v>227</v>
      </c>
      <c r="M37" s="16">
        <v>228</v>
      </c>
      <c r="N37" s="16"/>
      <c r="O37" s="4">
        <f t="shared" ref="O37:O68" si="6">IF(L37="",1,0)</f>
        <v>0</v>
      </c>
      <c r="P37" s="7">
        <f t="shared" ref="P37:P68" si="7">(L37+M37)/20</f>
        <v>22.75</v>
      </c>
      <c r="S37" s="49">
        <f t="shared" ref="S37:S68" si="8">P37/($W$4+$W$3*P37)</f>
        <v>21.294495333752671</v>
      </c>
      <c r="T37" s="55">
        <f t="shared" si="5"/>
        <v>21.294495333752671</v>
      </c>
      <c r="U37" s="58"/>
      <c r="V37" s="44"/>
      <c r="W37" s="44"/>
      <c r="X37" s="44"/>
      <c r="Y37" s="8">
        <v>2</v>
      </c>
      <c r="Z37" s="8">
        <v>9.7522959524000863E-2</v>
      </c>
      <c r="AA37" s="8">
        <v>-1.0566437784870431E-2</v>
      </c>
      <c r="AC37" s="8">
        <v>8.8235294117647065</v>
      </c>
      <c r="AD37" s="8">
        <v>4.2553191489361701E-2</v>
      </c>
    </row>
    <row r="38" spans="11:30" x14ac:dyDescent="0.3">
      <c r="K38" s="15">
        <v>24</v>
      </c>
      <c r="L38" s="16">
        <v>147</v>
      </c>
      <c r="M38" s="16">
        <v>146</v>
      </c>
      <c r="N38" s="16"/>
      <c r="O38" s="4">
        <f t="shared" si="6"/>
        <v>0</v>
      </c>
      <c r="P38" s="7">
        <f t="shared" si="7"/>
        <v>14.65</v>
      </c>
      <c r="S38" s="49">
        <f t="shared" si="8"/>
        <v>15.983098722347828</v>
      </c>
      <c r="T38" s="55">
        <f t="shared" si="5"/>
        <v>15.983098722347828</v>
      </c>
      <c r="U38" s="58"/>
      <c r="V38" s="44"/>
      <c r="W38" s="44"/>
      <c r="X38" s="44"/>
      <c r="Y38" s="8">
        <v>3</v>
      </c>
      <c r="Z38" s="8">
        <v>6.3638865782464124E-2</v>
      </c>
      <c r="AA38" s="8">
        <v>8.7726324979393866E-4</v>
      </c>
      <c r="AC38" s="8">
        <v>14.705882352941178</v>
      </c>
      <c r="AD38" s="8">
        <v>4.2553191489361701E-2</v>
      </c>
    </row>
    <row r="39" spans="11:30" x14ac:dyDescent="0.3">
      <c r="K39" s="15">
        <v>25</v>
      </c>
      <c r="L39" s="16">
        <v>202</v>
      </c>
      <c r="M39" s="16">
        <v>199</v>
      </c>
      <c r="N39" s="16"/>
      <c r="O39" s="4">
        <f t="shared" si="6"/>
        <v>0</v>
      </c>
      <c r="P39" s="7">
        <f t="shared" si="7"/>
        <v>20.05</v>
      </c>
      <c r="S39" s="49">
        <f t="shared" si="8"/>
        <v>19.70002473771347</v>
      </c>
      <c r="T39" s="55">
        <f t="shared" si="5"/>
        <v>19.70002473771347</v>
      </c>
      <c r="U39" s="58"/>
      <c r="V39" s="44"/>
      <c r="W39" s="44"/>
      <c r="X39" s="44"/>
      <c r="Y39" s="8">
        <v>4</v>
      </c>
      <c r="Z39" s="8">
        <v>4.7147826706658291E-2</v>
      </c>
      <c r="AA39" s="8">
        <v>6.9062273473957658E-3</v>
      </c>
      <c r="AC39" s="8">
        <v>20.588235294117649</v>
      </c>
      <c r="AD39" s="8">
        <v>4.2918454935622317E-2</v>
      </c>
    </row>
    <row r="40" spans="11:30" x14ac:dyDescent="0.3">
      <c r="K40" s="15">
        <v>26</v>
      </c>
      <c r="L40" s="16">
        <v>207</v>
      </c>
      <c r="M40" s="16">
        <v>195</v>
      </c>
      <c r="N40" s="16"/>
      <c r="O40" s="4">
        <f t="shared" si="6"/>
        <v>0</v>
      </c>
      <c r="P40" s="7">
        <f t="shared" si="7"/>
        <v>20.100000000000001</v>
      </c>
      <c r="S40" s="49">
        <f t="shared" si="8"/>
        <v>19.730991061200267</v>
      </c>
      <c r="T40" s="55">
        <f t="shared" si="5"/>
        <v>19.730991061200267</v>
      </c>
      <c r="U40" s="58"/>
      <c r="V40" s="44"/>
      <c r="W40" s="44"/>
      <c r="X40" s="44"/>
      <c r="Y40" s="8">
        <v>5</v>
      </c>
      <c r="Z40" s="8">
        <v>5.1580431823542841E-2</v>
      </c>
      <c r="AA40" s="8">
        <v>-2.7999440186647906E-3</v>
      </c>
      <c r="AC40" s="8">
        <v>26.47058823529412</v>
      </c>
      <c r="AD40" s="8">
        <v>4.3478260869565216E-2</v>
      </c>
    </row>
    <row r="41" spans="11:30" x14ac:dyDescent="0.3">
      <c r="K41" s="15">
        <v>27</v>
      </c>
      <c r="L41" s="16">
        <v>223</v>
      </c>
      <c r="M41" s="16">
        <v>229</v>
      </c>
      <c r="N41" s="16"/>
      <c r="O41" s="4">
        <f t="shared" si="6"/>
        <v>0</v>
      </c>
      <c r="P41" s="7">
        <f t="shared" si="7"/>
        <v>22.6</v>
      </c>
      <c r="S41" s="49">
        <f t="shared" si="8"/>
        <v>21.209885372272701</v>
      </c>
      <c r="T41" s="55">
        <f t="shared" si="5"/>
        <v>21.209885372272701</v>
      </c>
      <c r="U41" s="58"/>
      <c r="V41" s="44"/>
      <c r="W41" s="44"/>
      <c r="X41" s="44"/>
      <c r="Y41" s="8">
        <v>6</v>
      </c>
      <c r="Z41" s="8">
        <v>4.4523399962557775E-2</v>
      </c>
      <c r="AA41" s="8">
        <v>9.3114549198768104E-4</v>
      </c>
      <c r="AC41" s="8">
        <v>32.352941176470594</v>
      </c>
      <c r="AD41" s="8">
        <v>4.3478260869565216E-2</v>
      </c>
    </row>
    <row r="42" spans="11:30" x14ac:dyDescent="0.3">
      <c r="K42" s="15">
        <v>28</v>
      </c>
      <c r="L42" s="16"/>
      <c r="M42" s="16"/>
      <c r="N42" s="16"/>
      <c r="O42" s="4">
        <f t="shared" si="6"/>
        <v>1</v>
      </c>
      <c r="P42" s="7">
        <f t="shared" si="7"/>
        <v>0</v>
      </c>
      <c r="S42" s="49">
        <f t="shared" si="8"/>
        <v>0</v>
      </c>
      <c r="T42" s="55">
        <f t="shared" si="5"/>
        <v>0</v>
      </c>
      <c r="U42" s="58"/>
      <c r="V42" s="44"/>
      <c r="W42" s="44"/>
      <c r="X42" s="44"/>
      <c r="Y42" s="8">
        <v>7</v>
      </c>
      <c r="Z42" s="8">
        <v>4.2606088037014808E-2</v>
      </c>
      <c r="AA42" s="8">
        <v>2.8484574175306476E-3</v>
      </c>
      <c r="AC42" s="8">
        <v>38.235294117647058</v>
      </c>
      <c r="AD42" s="8">
        <v>4.4444444444444446E-2</v>
      </c>
    </row>
    <row r="43" spans="11:30" x14ac:dyDescent="0.3">
      <c r="K43" s="15">
        <v>29</v>
      </c>
      <c r="L43" s="16">
        <v>162</v>
      </c>
      <c r="M43" s="16">
        <v>185</v>
      </c>
      <c r="N43" s="16"/>
      <c r="O43" s="4">
        <f t="shared" si="6"/>
        <v>0</v>
      </c>
      <c r="P43" s="7">
        <f t="shared" si="7"/>
        <v>17.350000000000001</v>
      </c>
      <c r="S43" s="49">
        <f t="shared" si="8"/>
        <v>17.938764195284346</v>
      </c>
      <c r="T43" s="55">
        <f t="shared" si="5"/>
        <v>17.938764195284346</v>
      </c>
      <c r="U43" s="58"/>
      <c r="V43" s="44"/>
      <c r="W43" s="44"/>
      <c r="X43" s="44"/>
      <c r="Y43" s="8">
        <v>8</v>
      </c>
      <c r="Z43" s="8">
        <v>4.5105876963346447E-2</v>
      </c>
      <c r="AA43" s="8">
        <v>3.4866849119900845E-4</v>
      </c>
      <c r="AC43" s="8">
        <v>44.117647058823536</v>
      </c>
      <c r="AD43" s="8">
        <v>4.4444444444444446E-2</v>
      </c>
    </row>
    <row r="44" spans="11:30" x14ac:dyDescent="0.3">
      <c r="K44" s="15">
        <v>30</v>
      </c>
      <c r="L44" s="16">
        <v>239</v>
      </c>
      <c r="M44" s="16">
        <v>251</v>
      </c>
      <c r="N44" s="16"/>
      <c r="O44" s="4">
        <f t="shared" si="6"/>
        <v>0</v>
      </c>
      <c r="P44" s="7">
        <f t="shared" si="7"/>
        <v>24.5</v>
      </c>
      <c r="S44" s="49">
        <f t="shared" si="8"/>
        <v>22.249700102525477</v>
      </c>
      <c r="T44" s="55">
        <f t="shared" si="5"/>
        <v>22.249700102525477</v>
      </c>
      <c r="U44" s="58"/>
      <c r="V44" s="44"/>
      <c r="W44" s="44"/>
      <c r="X44" s="44"/>
      <c r="Y44" s="8">
        <v>9</v>
      </c>
      <c r="Z44" s="8">
        <v>4.8671095376311042E-2</v>
      </c>
      <c r="AA44" s="8">
        <v>-4.2266509318665962E-3</v>
      </c>
      <c r="AC44" s="8">
        <v>50</v>
      </c>
      <c r="AD44" s="8">
        <v>4.4444444444444446E-2</v>
      </c>
    </row>
    <row r="45" spans="11:30" x14ac:dyDescent="0.3">
      <c r="K45" s="15">
        <v>34</v>
      </c>
      <c r="L45" s="16">
        <v>225</v>
      </c>
      <c r="M45" s="16">
        <v>234</v>
      </c>
      <c r="N45" s="16"/>
      <c r="O45" s="4">
        <f t="shared" si="6"/>
        <v>0</v>
      </c>
      <c r="P45" s="7">
        <f t="shared" si="7"/>
        <v>22.95</v>
      </c>
      <c r="S45" s="49">
        <f t="shared" si="8"/>
        <v>21.406618598056042</v>
      </c>
      <c r="T45" s="55">
        <f t="shared" si="5"/>
        <v>21.406618598056042</v>
      </c>
      <c r="U45" s="58"/>
      <c r="V45" s="44"/>
      <c r="W45" s="44"/>
      <c r="X45" s="44"/>
      <c r="Y45" s="8">
        <v>10</v>
      </c>
      <c r="Z45" s="8">
        <v>4.8952841642779805E-2</v>
      </c>
      <c r="AA45" s="8">
        <v>-4.5083971983353593E-3</v>
      </c>
      <c r="AC45" s="8">
        <v>55.882352941176478</v>
      </c>
      <c r="AD45" s="8">
        <v>4.5454545454545456E-2</v>
      </c>
    </row>
    <row r="46" spans="11:30" x14ac:dyDescent="0.3">
      <c r="K46" s="15">
        <v>35</v>
      </c>
      <c r="L46" s="16">
        <v>241</v>
      </c>
      <c r="M46" s="16">
        <v>244</v>
      </c>
      <c r="N46" s="16"/>
      <c r="O46" s="4">
        <f t="shared" si="6"/>
        <v>0</v>
      </c>
      <c r="P46" s="7">
        <f t="shared" si="7"/>
        <v>24.25</v>
      </c>
      <c r="S46" s="49">
        <f t="shared" si="8"/>
        <v>22.116739842011171</v>
      </c>
      <c r="T46" s="55">
        <f t="shared" si="5"/>
        <v>22.116739842011171</v>
      </c>
      <c r="U46" s="58"/>
      <c r="V46" s="44"/>
      <c r="W46" s="44"/>
      <c r="X46" s="44"/>
      <c r="Y46" s="8">
        <v>11</v>
      </c>
      <c r="Z46" s="8">
        <v>4.2429921738321011E-2</v>
      </c>
      <c r="AA46" s="8">
        <v>2.0145227061234353E-3</v>
      </c>
      <c r="AC46" s="8">
        <v>61.764705882352942</v>
      </c>
      <c r="AD46" s="8">
        <v>4.5454545454545456E-2</v>
      </c>
    </row>
    <row r="47" spans="11:30" x14ac:dyDescent="0.3">
      <c r="K47" s="15">
        <v>36</v>
      </c>
      <c r="L47" s="16">
        <v>221</v>
      </c>
      <c r="M47" s="16">
        <v>218</v>
      </c>
      <c r="N47" s="16"/>
      <c r="O47" s="4">
        <f t="shared" si="6"/>
        <v>0</v>
      </c>
      <c r="P47" s="7">
        <f t="shared" si="7"/>
        <v>21.95</v>
      </c>
      <c r="S47" s="49">
        <f t="shared" si="8"/>
        <v>20.838025189860652</v>
      </c>
      <c r="T47" s="55">
        <f t="shared" si="5"/>
        <v>20.838025189860652</v>
      </c>
      <c r="U47" s="58"/>
      <c r="V47" s="44"/>
      <c r="W47" s="44"/>
      <c r="X47" s="44"/>
      <c r="Y47" s="8">
        <v>12</v>
      </c>
      <c r="Z47" s="8">
        <v>4.3012202973228594E-2</v>
      </c>
      <c r="AA47" s="8">
        <v>4.6605789633662187E-4</v>
      </c>
      <c r="AC47" s="8">
        <v>67.64705882352942</v>
      </c>
      <c r="AD47" s="8">
        <v>4.5454545454545456E-2</v>
      </c>
    </row>
    <row r="48" spans="11:30" x14ac:dyDescent="0.3">
      <c r="K48" s="15">
        <v>37</v>
      </c>
      <c r="L48" s="16">
        <v>230</v>
      </c>
      <c r="M48" s="16">
        <v>222</v>
      </c>
      <c r="N48" s="16"/>
      <c r="O48" s="4">
        <f t="shared" si="6"/>
        <v>0</v>
      </c>
      <c r="P48" s="7">
        <f t="shared" si="7"/>
        <v>22.6</v>
      </c>
      <c r="S48" s="49">
        <f t="shared" si="8"/>
        <v>21.209885372272701</v>
      </c>
      <c r="T48" s="55">
        <f t="shared" si="5"/>
        <v>21.209885372272701</v>
      </c>
      <c r="U48" s="58"/>
      <c r="V48" s="44"/>
      <c r="W48" s="44"/>
      <c r="X48" s="44"/>
      <c r="Y48" s="8">
        <v>13</v>
      </c>
      <c r="Z48" s="8">
        <v>4.2606088037014808E-2</v>
      </c>
      <c r="AA48" s="8">
        <v>8.7217283255040801E-4</v>
      </c>
      <c r="AC48" s="8">
        <v>73.529411764705884</v>
      </c>
      <c r="AD48" s="8">
        <v>4.878048780487805E-2</v>
      </c>
    </row>
    <row r="49" spans="11:30" x14ac:dyDescent="0.3">
      <c r="K49" s="15">
        <v>38</v>
      </c>
      <c r="L49" s="16">
        <v>237</v>
      </c>
      <c r="M49" s="16">
        <v>229</v>
      </c>
      <c r="N49" s="16"/>
      <c r="O49" s="4">
        <f t="shared" si="6"/>
        <v>0</v>
      </c>
      <c r="P49" s="7">
        <f t="shared" si="7"/>
        <v>23.3</v>
      </c>
      <c r="S49" s="49">
        <f t="shared" si="8"/>
        <v>21.600959833430675</v>
      </c>
      <c r="T49" s="55">
        <f t="shared" si="5"/>
        <v>21.600959833430675</v>
      </c>
      <c r="U49" s="58"/>
      <c r="V49" s="44"/>
      <c r="W49" s="44"/>
      <c r="X49" s="44"/>
      <c r="Y49" s="8">
        <v>14</v>
      </c>
      <c r="Z49" s="8">
        <v>4.1668317079146561E-2</v>
      </c>
      <c r="AA49" s="8">
        <v>1.2501378564757568E-3</v>
      </c>
      <c r="AC49" s="8">
        <v>79.411764705882348</v>
      </c>
      <c r="AD49" s="8">
        <v>5.4054054054054057E-2</v>
      </c>
    </row>
    <row r="50" spans="11:30" x14ac:dyDescent="0.3">
      <c r="K50" s="15">
        <v>40</v>
      </c>
      <c r="L50" s="16">
        <v>214</v>
      </c>
      <c r="M50" s="16">
        <v>223</v>
      </c>
      <c r="N50" s="16"/>
      <c r="O50" s="4">
        <f t="shared" si="6"/>
        <v>0</v>
      </c>
      <c r="P50" s="7">
        <f t="shared" si="7"/>
        <v>21.85</v>
      </c>
      <c r="S50" s="49">
        <f t="shared" si="8"/>
        <v>20.780051410213805</v>
      </c>
      <c r="T50" s="55">
        <f t="shared" si="5"/>
        <v>20.780051410213805</v>
      </c>
      <c r="U50" s="58"/>
      <c r="V50" s="44"/>
      <c r="W50" s="44"/>
      <c r="X50" s="44"/>
      <c r="Y50" s="8">
        <v>15</v>
      </c>
      <c r="Z50" s="8">
        <v>4.0576280768901726E-2</v>
      </c>
      <c r="AA50" s="8">
        <v>1.9769107204599748E-3</v>
      </c>
      <c r="AC50" s="8">
        <v>85.294117647058826</v>
      </c>
      <c r="AD50" s="8">
        <v>6.4516129032258063E-2</v>
      </c>
    </row>
    <row r="51" spans="11:30" x14ac:dyDescent="0.3">
      <c r="K51" s="16">
        <v>41</v>
      </c>
      <c r="L51" s="16">
        <v>281</v>
      </c>
      <c r="M51" s="16">
        <v>289</v>
      </c>
      <c r="N51" s="16"/>
      <c r="O51" s="4">
        <f t="shared" si="6"/>
        <v>0</v>
      </c>
      <c r="P51" s="7">
        <f t="shared" si="7"/>
        <v>28.5</v>
      </c>
      <c r="S51" s="49">
        <f t="shared" si="8"/>
        <v>24.233031864578518</v>
      </c>
      <c r="T51" s="55">
        <f t="shared" si="5"/>
        <v>24.233031864578518</v>
      </c>
      <c r="U51" s="58"/>
      <c r="V51" s="44"/>
      <c r="W51" s="44"/>
      <c r="X51" s="44"/>
      <c r="Y51" s="8">
        <v>16</v>
      </c>
      <c r="Z51" s="8">
        <v>4.1546117634128049E-2</v>
      </c>
      <c r="AA51" s="8">
        <v>1.0070738552336519E-3</v>
      </c>
      <c r="AC51" s="8">
        <v>91.176470588235304</v>
      </c>
      <c r="AD51" s="8">
        <v>8.6956521739130432E-2</v>
      </c>
    </row>
    <row r="52" spans="11:30" ht="15" thickBot="1" x14ac:dyDescent="0.35">
      <c r="K52" s="16">
        <v>42</v>
      </c>
      <c r="L52" s="16">
        <v>215</v>
      </c>
      <c r="M52" s="16">
        <v>213</v>
      </c>
      <c r="N52" s="16"/>
      <c r="O52" s="4">
        <f t="shared" si="6"/>
        <v>0</v>
      </c>
      <c r="P52" s="7">
        <f t="shared" si="7"/>
        <v>21.4</v>
      </c>
      <c r="S52" s="49">
        <f t="shared" si="8"/>
        <v>20.516592102702916</v>
      </c>
      <c r="T52" s="55">
        <f t="shared" si="5"/>
        <v>20.516592102702916</v>
      </c>
      <c r="U52" s="58"/>
      <c r="V52" s="44"/>
      <c r="W52" s="44"/>
      <c r="X52" s="44"/>
      <c r="Y52" s="9">
        <v>17</v>
      </c>
      <c r="Z52" s="9">
        <v>4.1148027528192216E-2</v>
      </c>
      <c r="AA52" s="9">
        <v>-1.9323412536824125E-3</v>
      </c>
      <c r="AC52" s="9">
        <v>97.058823529411768</v>
      </c>
      <c r="AD52" s="9">
        <v>0.18181818181818182</v>
      </c>
    </row>
    <row r="53" spans="11:30" x14ac:dyDescent="0.3">
      <c r="K53" s="16">
        <v>43</v>
      </c>
      <c r="L53" s="16">
        <v>194</v>
      </c>
      <c r="M53" s="16">
        <v>187</v>
      </c>
      <c r="N53" s="16"/>
      <c r="O53" s="4">
        <f t="shared" si="6"/>
        <v>0</v>
      </c>
      <c r="P53" s="7">
        <f t="shared" si="7"/>
        <v>19.05</v>
      </c>
      <c r="S53" s="49">
        <f t="shared" si="8"/>
        <v>19.0685028382136</v>
      </c>
      <c r="T53" s="55">
        <f t="shared" si="5"/>
        <v>19.0685028382136</v>
      </c>
      <c r="U53" s="58"/>
      <c r="V53" s="44"/>
      <c r="W53" s="44"/>
      <c r="X53" s="44"/>
    </row>
    <row r="54" spans="11:30" x14ac:dyDescent="0.3">
      <c r="K54" s="16">
        <v>44</v>
      </c>
      <c r="L54" s="16">
        <v>248</v>
      </c>
      <c r="M54" s="16">
        <v>247</v>
      </c>
      <c r="N54" s="16"/>
      <c r="O54" s="4">
        <f t="shared" si="6"/>
        <v>0</v>
      </c>
      <c r="P54" s="7">
        <f t="shared" si="7"/>
        <v>24.75</v>
      </c>
      <c r="S54" s="49">
        <f t="shared" si="8"/>
        <v>22.381534013825537</v>
      </c>
      <c r="T54" s="55">
        <f t="shared" si="5"/>
        <v>22.381534013825537</v>
      </c>
      <c r="U54" s="58"/>
      <c r="V54" s="44"/>
      <c r="W54" s="44"/>
      <c r="X54" s="44"/>
    </row>
    <row r="55" spans="11:30" x14ac:dyDescent="0.3">
      <c r="K55" s="16">
        <v>45</v>
      </c>
      <c r="L55" s="16">
        <v>258</v>
      </c>
      <c r="M55" s="16">
        <v>259</v>
      </c>
      <c r="N55" s="16"/>
      <c r="O55" s="4">
        <f t="shared" si="6"/>
        <v>0</v>
      </c>
      <c r="P55" s="7">
        <f t="shared" si="7"/>
        <v>25.85</v>
      </c>
      <c r="S55" s="49">
        <f t="shared" si="8"/>
        <v>22.948578294307026</v>
      </c>
      <c r="T55" s="55">
        <f t="shared" si="5"/>
        <v>22.948578294307026</v>
      </c>
      <c r="U55" s="58"/>
      <c r="V55" s="44"/>
      <c r="W55" s="44"/>
      <c r="X55" s="44"/>
    </row>
    <row r="56" spans="11:30" x14ac:dyDescent="0.3">
      <c r="K56" s="16">
        <v>46</v>
      </c>
      <c r="L56" s="16">
        <v>246</v>
      </c>
      <c r="M56" s="16">
        <v>258</v>
      </c>
      <c r="N56" s="16"/>
      <c r="O56" s="4">
        <f t="shared" si="6"/>
        <v>0</v>
      </c>
      <c r="P56" s="7">
        <f t="shared" si="7"/>
        <v>25.2</v>
      </c>
      <c r="S56" s="49">
        <f t="shared" si="8"/>
        <v>22.616041993968718</v>
      </c>
      <c r="T56" s="55">
        <f t="shared" si="5"/>
        <v>22.616041993968718</v>
      </c>
      <c r="U56" s="58"/>
      <c r="V56" s="44"/>
      <c r="W56" s="44"/>
      <c r="X56" s="44"/>
    </row>
    <row r="57" spans="11:30" x14ac:dyDescent="0.3">
      <c r="K57" s="16">
        <v>47</v>
      </c>
      <c r="L57" s="16">
        <v>197</v>
      </c>
      <c r="M57" s="16">
        <v>211</v>
      </c>
      <c r="N57" s="16"/>
      <c r="O57" s="4">
        <f t="shared" si="6"/>
        <v>0</v>
      </c>
      <c r="P57" s="7">
        <f t="shared" si="7"/>
        <v>20.399999999999999</v>
      </c>
      <c r="S57" s="49">
        <f t="shared" si="8"/>
        <v>19.915599572603977</v>
      </c>
      <c r="T57" s="55">
        <f t="shared" si="5"/>
        <v>19.915599572603977</v>
      </c>
      <c r="U57" s="58"/>
      <c r="V57" s="44"/>
      <c r="W57" s="44"/>
      <c r="X57" s="44"/>
    </row>
    <row r="58" spans="11:30" x14ac:dyDescent="0.3">
      <c r="K58" s="16">
        <v>48</v>
      </c>
      <c r="L58" s="16">
        <v>215</v>
      </c>
      <c r="M58" s="16">
        <v>213</v>
      </c>
      <c r="N58" s="16"/>
      <c r="O58" s="4">
        <f t="shared" si="6"/>
        <v>0</v>
      </c>
      <c r="P58" s="7">
        <f t="shared" si="7"/>
        <v>21.4</v>
      </c>
      <c r="S58" s="49">
        <f t="shared" si="8"/>
        <v>20.516592102702916</v>
      </c>
      <c r="T58" s="55">
        <f t="shared" si="5"/>
        <v>20.516592102702916</v>
      </c>
      <c r="U58" s="58"/>
      <c r="V58" s="44"/>
      <c r="W58" s="44"/>
      <c r="X58" s="44"/>
    </row>
    <row r="59" spans="11:30" x14ac:dyDescent="0.3">
      <c r="K59" s="16">
        <v>49</v>
      </c>
      <c r="L59" s="16">
        <v>249</v>
      </c>
      <c r="M59" s="16">
        <v>236</v>
      </c>
      <c r="N59" s="16"/>
      <c r="O59" s="4">
        <f t="shared" si="6"/>
        <v>0</v>
      </c>
      <c r="P59" s="7">
        <f t="shared" si="7"/>
        <v>24.25</v>
      </c>
      <c r="S59" s="49">
        <f t="shared" si="8"/>
        <v>22.116739842011171</v>
      </c>
      <c r="T59" s="55">
        <f t="shared" si="5"/>
        <v>22.116739842011171</v>
      </c>
      <c r="U59" s="58"/>
      <c r="V59" s="44"/>
      <c r="W59" s="44"/>
      <c r="X59" s="44"/>
    </row>
    <row r="60" spans="11:30" x14ac:dyDescent="0.3">
      <c r="K60" s="16">
        <v>50</v>
      </c>
      <c r="L60" s="16"/>
      <c r="M60" s="16"/>
      <c r="N60" s="16"/>
      <c r="O60" s="4">
        <f t="shared" si="6"/>
        <v>1</v>
      </c>
      <c r="P60" s="7">
        <f t="shared" si="7"/>
        <v>0</v>
      </c>
      <c r="S60" s="49">
        <f t="shared" si="8"/>
        <v>0</v>
      </c>
      <c r="T60" s="55">
        <f t="shared" si="5"/>
        <v>0</v>
      </c>
      <c r="U60" s="58"/>
      <c r="V60" s="44"/>
      <c r="W60" s="44"/>
      <c r="X60" s="44"/>
    </row>
    <row r="61" spans="11:30" x14ac:dyDescent="0.3">
      <c r="K61" s="16">
        <v>51</v>
      </c>
      <c r="L61" s="16"/>
      <c r="M61" s="16"/>
      <c r="N61" s="16"/>
      <c r="O61" s="4">
        <f t="shared" si="6"/>
        <v>1</v>
      </c>
      <c r="P61" s="7">
        <f t="shared" si="7"/>
        <v>0</v>
      </c>
      <c r="S61" s="49">
        <f t="shared" si="8"/>
        <v>0</v>
      </c>
      <c r="T61" s="55">
        <f t="shared" si="5"/>
        <v>0</v>
      </c>
      <c r="U61" s="58"/>
      <c r="V61" s="44"/>
      <c r="W61" s="44"/>
      <c r="X61" s="44"/>
    </row>
    <row r="62" spans="11:30" x14ac:dyDescent="0.3">
      <c r="K62" s="16">
        <v>53</v>
      </c>
      <c r="L62" s="16">
        <v>292</v>
      </c>
      <c r="M62" s="16">
        <v>283</v>
      </c>
      <c r="N62" s="16"/>
      <c r="O62" s="4">
        <f t="shared" si="6"/>
        <v>0</v>
      </c>
      <c r="P62" s="7">
        <f t="shared" si="7"/>
        <v>28.75</v>
      </c>
      <c r="S62" s="49">
        <f t="shared" si="8"/>
        <v>24.348630844908673</v>
      </c>
      <c r="T62" s="55">
        <f t="shared" si="5"/>
        <v>24.348630844908673</v>
      </c>
      <c r="U62" s="58"/>
      <c r="V62" s="44"/>
      <c r="W62" s="44"/>
      <c r="X62" s="44"/>
    </row>
    <row r="63" spans="11:30" x14ac:dyDescent="0.3">
      <c r="K63" s="16">
        <v>54</v>
      </c>
      <c r="L63" s="16">
        <v>242</v>
      </c>
      <c r="M63" s="16">
        <v>230</v>
      </c>
      <c r="N63" s="16"/>
      <c r="O63" s="4">
        <f t="shared" si="6"/>
        <v>0</v>
      </c>
      <c r="P63" s="7">
        <f t="shared" si="7"/>
        <v>23.6</v>
      </c>
      <c r="S63" s="49">
        <f t="shared" si="8"/>
        <v>21.765667102943084</v>
      </c>
      <c r="T63" s="55">
        <f t="shared" si="5"/>
        <v>21.765667102943084</v>
      </c>
      <c r="U63" s="58"/>
      <c r="V63" s="44"/>
      <c r="W63" s="44"/>
      <c r="X63" s="44"/>
    </row>
    <row r="64" spans="11:30" x14ac:dyDescent="0.3">
      <c r="K64" s="16">
        <v>55</v>
      </c>
      <c r="L64" s="16">
        <v>273</v>
      </c>
      <c r="M64" s="16">
        <v>257</v>
      </c>
      <c r="N64" s="16"/>
      <c r="O64" s="4">
        <f t="shared" si="6"/>
        <v>0</v>
      </c>
      <c r="P64" s="7">
        <f t="shared" si="7"/>
        <v>26.5</v>
      </c>
      <c r="S64" s="49">
        <f t="shared" si="8"/>
        <v>23.274001245187499</v>
      </c>
      <c r="T64" s="55">
        <f t="shared" si="5"/>
        <v>23.274001245187499</v>
      </c>
      <c r="U64" s="58"/>
      <c r="V64" s="44"/>
      <c r="W64" s="44"/>
      <c r="X64" s="44"/>
    </row>
    <row r="65" spans="11:24" x14ac:dyDescent="0.3">
      <c r="K65" s="16">
        <v>56</v>
      </c>
      <c r="L65" s="16">
        <v>141</v>
      </c>
      <c r="M65" s="16">
        <v>140</v>
      </c>
      <c r="N65" s="16"/>
      <c r="O65" s="4">
        <f t="shared" si="6"/>
        <v>0</v>
      </c>
      <c r="P65" s="7">
        <f t="shared" si="7"/>
        <v>14.05</v>
      </c>
      <c r="S65" s="49">
        <f t="shared" si="8"/>
        <v>15.518827677284445</v>
      </c>
      <c r="T65" s="55">
        <f t="shared" si="5"/>
        <v>15.518827677284445</v>
      </c>
      <c r="U65" s="58"/>
      <c r="V65" s="44"/>
      <c r="W65" s="44"/>
      <c r="X65" s="44"/>
    </row>
    <row r="66" spans="11:24" x14ac:dyDescent="0.3">
      <c r="K66" s="16">
        <v>57</v>
      </c>
      <c r="L66" s="16">
        <v>231</v>
      </c>
      <c r="M66" s="16">
        <v>225</v>
      </c>
      <c r="N66" s="16"/>
      <c r="O66" s="4">
        <f t="shared" si="6"/>
        <v>0</v>
      </c>
      <c r="P66" s="7">
        <f t="shared" si="7"/>
        <v>22.8</v>
      </c>
      <c r="S66" s="49">
        <f t="shared" si="8"/>
        <v>21.322599821218272</v>
      </c>
      <c r="T66" s="55">
        <f t="shared" si="5"/>
        <v>21.322599821218272</v>
      </c>
      <c r="U66" s="58"/>
      <c r="V66" s="44"/>
      <c r="W66" s="44"/>
      <c r="X66" s="44"/>
    </row>
    <row r="67" spans="11:24" x14ac:dyDescent="0.3">
      <c r="K67" s="16">
        <v>59</v>
      </c>
      <c r="L67" s="16">
        <v>212</v>
      </c>
      <c r="M67" s="16">
        <v>208</v>
      </c>
      <c r="N67" s="16"/>
      <c r="O67" s="4">
        <f t="shared" si="6"/>
        <v>0</v>
      </c>
      <c r="P67" s="7">
        <f t="shared" si="7"/>
        <v>21</v>
      </c>
      <c r="S67" s="49">
        <f t="shared" si="8"/>
        <v>20.278804666519004</v>
      </c>
      <c r="T67" s="55">
        <f t="shared" si="5"/>
        <v>20.278804666519004</v>
      </c>
      <c r="U67" s="58"/>
      <c r="V67" s="44"/>
      <c r="W67" s="44"/>
      <c r="X67" s="44"/>
    </row>
    <row r="68" spans="11:24" x14ac:dyDescent="0.3">
      <c r="K68" s="16">
        <v>60</v>
      </c>
      <c r="L68" s="16">
        <v>257</v>
      </c>
      <c r="M68" s="16">
        <v>254</v>
      </c>
      <c r="N68" s="16"/>
      <c r="O68" s="4">
        <f t="shared" si="6"/>
        <v>0</v>
      </c>
      <c r="P68" s="7">
        <f t="shared" si="7"/>
        <v>25.55</v>
      </c>
      <c r="S68" s="49">
        <f t="shared" si="8"/>
        <v>22.795997945858677</v>
      </c>
      <c r="T68" s="55">
        <f t="shared" si="5"/>
        <v>22.795997945858677</v>
      </c>
      <c r="U68" s="58"/>
      <c r="V68" s="44"/>
      <c r="W68" s="44"/>
      <c r="X68" s="44"/>
    </row>
    <row r="69" spans="11:24" x14ac:dyDescent="0.3">
      <c r="K69" s="16">
        <v>61</v>
      </c>
      <c r="L69" s="16">
        <v>227</v>
      </c>
      <c r="M69" s="16">
        <v>227</v>
      </c>
      <c r="N69" s="16"/>
      <c r="O69" s="4">
        <f t="shared" ref="O69:O84" si="9">IF(L69="",1,0)</f>
        <v>0</v>
      </c>
      <c r="P69" s="7">
        <f t="shared" ref="P69:P84" si="10">(L69+M69)/20</f>
        <v>22.7</v>
      </c>
      <c r="S69" s="49">
        <f t="shared" ref="S69:S84" si="11">P69/($W$4+$W$3*P69)</f>
        <v>21.266341516510444</v>
      </c>
      <c r="T69" s="55">
        <f t="shared" si="5"/>
        <v>21.266341516510444</v>
      </c>
      <c r="U69" s="58"/>
      <c r="V69" s="44"/>
      <c r="W69" s="44"/>
      <c r="X69" s="44"/>
    </row>
    <row r="70" spans="11:24" x14ac:dyDescent="0.3">
      <c r="K70" s="16">
        <v>62</v>
      </c>
      <c r="L70" s="16">
        <v>284</v>
      </c>
      <c r="M70" s="16">
        <v>279</v>
      </c>
      <c r="N70" s="16"/>
      <c r="O70" s="4">
        <f t="shared" si="9"/>
        <v>0</v>
      </c>
      <c r="P70" s="7">
        <f t="shared" si="10"/>
        <v>28.15</v>
      </c>
      <c r="S70" s="49">
        <f t="shared" si="11"/>
        <v>24.069637716968057</v>
      </c>
      <c r="T70" s="55">
        <f t="shared" ref="T70:T84" si="12">IF(N70&gt;0,N70,S70)</f>
        <v>24.069637716968057</v>
      </c>
      <c r="U70" s="58"/>
      <c r="V70" s="44"/>
      <c r="W70" s="44"/>
      <c r="X70" s="44"/>
    </row>
    <row r="71" spans="11:24" x14ac:dyDescent="0.3">
      <c r="K71" s="16">
        <v>63</v>
      </c>
      <c r="L71" s="16"/>
      <c r="M71" s="16"/>
      <c r="N71" s="16"/>
      <c r="O71" s="4">
        <f t="shared" si="9"/>
        <v>1</v>
      </c>
      <c r="P71" s="7">
        <f t="shared" si="10"/>
        <v>0</v>
      </c>
      <c r="S71" s="49">
        <f t="shared" si="11"/>
        <v>0</v>
      </c>
      <c r="T71" s="55">
        <f t="shared" si="12"/>
        <v>0</v>
      </c>
      <c r="U71" s="58"/>
      <c r="V71" s="44"/>
      <c r="W71" s="44"/>
      <c r="X71" s="44"/>
    </row>
    <row r="72" spans="11:24" x14ac:dyDescent="0.3">
      <c r="K72" s="16">
        <v>65</v>
      </c>
      <c r="L72" s="16">
        <v>240</v>
      </c>
      <c r="M72" s="16">
        <v>235</v>
      </c>
      <c r="N72" s="16"/>
      <c r="O72" s="4">
        <f t="shared" si="9"/>
        <v>0</v>
      </c>
      <c r="P72" s="7">
        <f t="shared" si="10"/>
        <v>23.75</v>
      </c>
      <c r="S72" s="49">
        <f t="shared" si="11"/>
        <v>21.847382036653329</v>
      </c>
      <c r="T72" s="55">
        <f t="shared" si="12"/>
        <v>21.847382036653329</v>
      </c>
      <c r="U72" s="58"/>
      <c r="V72" s="44"/>
      <c r="W72" s="44"/>
      <c r="X72" s="44"/>
    </row>
    <row r="73" spans="11:24" x14ac:dyDescent="0.3">
      <c r="K73" s="16">
        <v>66</v>
      </c>
      <c r="L73" s="16">
        <v>290</v>
      </c>
      <c r="M73" s="16">
        <v>289</v>
      </c>
      <c r="N73" s="16"/>
      <c r="O73" s="4">
        <f t="shared" si="9"/>
        <v>0</v>
      </c>
      <c r="P73" s="7">
        <f t="shared" si="10"/>
        <v>28.95</v>
      </c>
      <c r="S73" s="49">
        <f t="shared" si="11"/>
        <v>24.440451790009053</v>
      </c>
      <c r="T73" s="55">
        <f t="shared" si="12"/>
        <v>24.440451790009053</v>
      </c>
      <c r="U73" s="58"/>
      <c r="V73" s="44"/>
      <c r="W73" s="44"/>
      <c r="X73" s="44"/>
    </row>
    <row r="74" spans="11:24" x14ac:dyDescent="0.3">
      <c r="K74" s="16">
        <v>67</v>
      </c>
      <c r="L74" s="16">
        <v>270</v>
      </c>
      <c r="M74" s="16">
        <v>274</v>
      </c>
      <c r="N74" s="16"/>
      <c r="O74" s="4">
        <f t="shared" si="9"/>
        <v>0</v>
      </c>
      <c r="P74" s="7">
        <f t="shared" si="10"/>
        <v>27.2</v>
      </c>
      <c r="S74" s="49">
        <f t="shared" si="11"/>
        <v>23.616760384419262</v>
      </c>
      <c r="T74" s="55">
        <f t="shared" si="12"/>
        <v>23.616760384419262</v>
      </c>
      <c r="U74" s="58"/>
      <c r="V74" s="44"/>
      <c r="W74" s="44"/>
      <c r="X74" s="44"/>
    </row>
    <row r="75" spans="11:24" x14ac:dyDescent="0.3">
      <c r="K75" s="16">
        <v>68</v>
      </c>
      <c r="L75" s="16">
        <v>188</v>
      </c>
      <c r="M75" s="16">
        <v>198</v>
      </c>
      <c r="N75" s="16"/>
      <c r="O75" s="4">
        <f t="shared" si="9"/>
        <v>0</v>
      </c>
      <c r="P75" s="7">
        <f t="shared" si="10"/>
        <v>19.3</v>
      </c>
      <c r="S75" s="49">
        <f t="shared" si="11"/>
        <v>19.228593588800152</v>
      </c>
      <c r="T75" s="55">
        <f t="shared" si="12"/>
        <v>19.228593588800152</v>
      </c>
      <c r="U75" s="58"/>
      <c r="V75" s="44"/>
      <c r="W75" s="44"/>
      <c r="X75" s="44"/>
    </row>
    <row r="76" spans="11:24" x14ac:dyDescent="0.3">
      <c r="K76" s="16">
        <v>69</v>
      </c>
      <c r="L76" s="16">
        <v>170</v>
      </c>
      <c r="M76" s="16">
        <v>155</v>
      </c>
      <c r="N76" s="16"/>
      <c r="O76" s="4">
        <f t="shared" si="9"/>
        <v>0</v>
      </c>
      <c r="P76" s="7">
        <f t="shared" si="10"/>
        <v>16.25</v>
      </c>
      <c r="S76" s="49">
        <f t="shared" si="11"/>
        <v>17.167243918294471</v>
      </c>
      <c r="T76" s="55">
        <f t="shared" si="12"/>
        <v>17.167243918294471</v>
      </c>
      <c r="U76" s="58"/>
      <c r="V76" s="44"/>
      <c r="W76" s="44"/>
      <c r="X76" s="44"/>
    </row>
    <row r="77" spans="11:24" x14ac:dyDescent="0.3">
      <c r="K77" s="16">
        <v>70</v>
      </c>
      <c r="L77" s="16">
        <v>235</v>
      </c>
      <c r="M77" s="16">
        <v>239</v>
      </c>
      <c r="N77" s="16"/>
      <c r="O77" s="4">
        <f t="shared" si="9"/>
        <v>0</v>
      </c>
      <c r="P77" s="7">
        <f t="shared" si="10"/>
        <v>23.7</v>
      </c>
      <c r="S77" s="49">
        <f t="shared" si="11"/>
        <v>21.820190710167253</v>
      </c>
      <c r="T77" s="55">
        <f t="shared" si="12"/>
        <v>21.820190710167253</v>
      </c>
      <c r="U77" s="58"/>
      <c r="V77" s="44"/>
      <c r="W77" s="44"/>
      <c r="X77" s="44"/>
    </row>
    <row r="78" spans="11:24" x14ac:dyDescent="0.3">
      <c r="K78" s="16">
        <v>72</v>
      </c>
      <c r="L78" s="16">
        <v>198</v>
      </c>
      <c r="M78" s="16">
        <v>211</v>
      </c>
      <c r="N78" s="16"/>
      <c r="O78" s="4">
        <f t="shared" si="9"/>
        <v>0</v>
      </c>
      <c r="P78" s="7">
        <f t="shared" si="10"/>
        <v>20.45</v>
      </c>
      <c r="S78" s="49">
        <f t="shared" si="11"/>
        <v>19.946170868624602</v>
      </c>
      <c r="T78" s="55">
        <f t="shared" si="12"/>
        <v>19.946170868624602</v>
      </c>
      <c r="U78" s="58"/>
      <c r="V78" s="44"/>
      <c r="W78" s="44"/>
      <c r="X78" s="44"/>
    </row>
    <row r="79" spans="11:24" x14ac:dyDescent="0.3">
      <c r="K79" s="16">
        <v>74</v>
      </c>
      <c r="L79" s="16">
        <v>244</v>
      </c>
      <c r="M79" s="16">
        <v>236</v>
      </c>
      <c r="N79" s="16"/>
      <c r="O79" s="4">
        <f t="shared" si="9"/>
        <v>0</v>
      </c>
      <c r="P79" s="7">
        <f t="shared" si="10"/>
        <v>24</v>
      </c>
      <c r="S79" s="49">
        <f t="shared" si="11"/>
        <v>21.982638735572408</v>
      </c>
      <c r="T79" s="55">
        <f t="shared" si="12"/>
        <v>21.982638735572408</v>
      </c>
      <c r="U79" s="58"/>
      <c r="V79" s="44"/>
      <c r="W79" s="44"/>
      <c r="X79" s="44"/>
    </row>
    <row r="80" spans="11:24" x14ac:dyDescent="0.3">
      <c r="K80" s="16">
        <v>75</v>
      </c>
      <c r="L80" s="16">
        <v>236</v>
      </c>
      <c r="M80" s="16">
        <v>240</v>
      </c>
      <c r="N80" s="16"/>
      <c r="O80" s="4">
        <f t="shared" si="9"/>
        <v>0</v>
      </c>
      <c r="P80" s="7">
        <f t="shared" si="10"/>
        <v>23.8</v>
      </c>
      <c r="S80" s="49">
        <f t="shared" si="11"/>
        <v>21.874526540202393</v>
      </c>
      <c r="T80" s="55">
        <f t="shared" si="12"/>
        <v>21.874526540202393</v>
      </c>
      <c r="U80" s="58"/>
      <c r="V80" s="44"/>
      <c r="W80" s="44"/>
      <c r="X80" s="44"/>
    </row>
    <row r="81" spans="11:24" x14ac:dyDescent="0.3">
      <c r="K81" s="16">
        <v>76</v>
      </c>
      <c r="L81" s="16">
        <v>226</v>
      </c>
      <c r="M81" s="16">
        <v>218</v>
      </c>
      <c r="N81" s="16"/>
      <c r="O81" s="4">
        <f t="shared" si="9"/>
        <v>0</v>
      </c>
      <c r="P81" s="7">
        <f t="shared" si="10"/>
        <v>22.2</v>
      </c>
      <c r="S81" s="49">
        <f t="shared" si="11"/>
        <v>20.982061380344906</v>
      </c>
      <c r="T81" s="55">
        <f t="shared" si="12"/>
        <v>20.982061380344906</v>
      </c>
      <c r="U81" s="58"/>
      <c r="V81" s="44"/>
      <c r="W81" s="44"/>
      <c r="X81" s="44"/>
    </row>
    <row r="82" spans="11:24" x14ac:dyDescent="0.3">
      <c r="K82" s="16">
        <v>77</v>
      </c>
      <c r="L82" s="16">
        <v>179</v>
      </c>
      <c r="M82" s="16">
        <v>171</v>
      </c>
      <c r="N82" s="16"/>
      <c r="O82" s="4">
        <f t="shared" si="9"/>
        <v>0</v>
      </c>
      <c r="P82" s="7">
        <f t="shared" si="10"/>
        <v>17.5</v>
      </c>
      <c r="S82" s="49">
        <f t="shared" si="11"/>
        <v>18.041431378809918</v>
      </c>
      <c r="T82" s="55">
        <f t="shared" si="12"/>
        <v>18.041431378809918</v>
      </c>
      <c r="U82" s="58"/>
      <c r="V82" s="44"/>
      <c r="W82" s="44"/>
      <c r="X82" s="44"/>
    </row>
    <row r="83" spans="11:24" x14ac:dyDescent="0.3">
      <c r="K83" s="16">
        <v>78</v>
      </c>
      <c r="L83" s="16">
        <v>294</v>
      </c>
      <c r="M83" s="16">
        <v>301</v>
      </c>
      <c r="N83" s="16"/>
      <c r="O83" s="4">
        <f t="shared" si="9"/>
        <v>0</v>
      </c>
      <c r="P83" s="7">
        <f t="shared" si="10"/>
        <v>29.75</v>
      </c>
      <c r="S83" s="49">
        <f t="shared" si="11"/>
        <v>24.801998792801605</v>
      </c>
      <c r="T83" s="55">
        <f t="shared" si="12"/>
        <v>24.801998792801605</v>
      </c>
      <c r="U83" s="58"/>
      <c r="V83" s="44"/>
      <c r="W83" s="44"/>
      <c r="X83" s="44"/>
    </row>
    <row r="84" spans="11:24" x14ac:dyDescent="0.3">
      <c r="K84" s="16">
        <v>79</v>
      </c>
      <c r="L84" s="16">
        <v>182</v>
      </c>
      <c r="M84" s="16">
        <v>190</v>
      </c>
      <c r="N84" s="16"/>
      <c r="O84" s="4">
        <f t="shared" si="9"/>
        <v>0</v>
      </c>
      <c r="P84" s="7">
        <f t="shared" si="10"/>
        <v>18.600000000000001</v>
      </c>
      <c r="S84" s="49">
        <f t="shared" si="11"/>
        <v>18.776524390021837</v>
      </c>
      <c r="T84" s="55">
        <f t="shared" si="12"/>
        <v>18.776524390021837</v>
      </c>
      <c r="U84" s="58"/>
      <c r="V84" s="44"/>
      <c r="W84" s="44"/>
      <c r="X84" s="44"/>
    </row>
  </sheetData>
  <sortState ref="AD36:AD51">
    <sortCondition ref="AD35"/>
  </sortState>
  <mergeCells count="17">
    <mergeCell ref="B29:H29"/>
    <mergeCell ref="B8:H8"/>
    <mergeCell ref="S3:S4"/>
    <mergeCell ref="T3:T4"/>
    <mergeCell ref="Z8:AE10"/>
    <mergeCell ref="V5:W26"/>
    <mergeCell ref="A2:I2"/>
    <mergeCell ref="A3:I4"/>
    <mergeCell ref="A5:I6"/>
    <mergeCell ref="Q3:Q4"/>
    <mergeCell ref="R3:R4"/>
    <mergeCell ref="P3:P4"/>
    <mergeCell ref="N3:N4"/>
    <mergeCell ref="O3:O4"/>
    <mergeCell ref="K3:K4"/>
    <mergeCell ref="L3:L4"/>
    <mergeCell ref="M3:M4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 sizeWithCells="1">
              <from>
                <xdr:col>25</xdr:col>
                <xdr:colOff>22860</xdr:colOff>
                <xdr:row>1</xdr:row>
                <xdr:rowOff>114300</xdr:rowOff>
              </from>
              <to>
                <xdr:col>30</xdr:col>
                <xdr:colOff>22860</xdr:colOff>
                <xdr:row>4</xdr:row>
                <xdr:rowOff>22860</xdr:rowOff>
              </to>
            </anchor>
          </objectPr>
        </oleObject>
      </mc:Choice>
      <mc:Fallback>
        <oleObject progId="Equation.3" shapeId="1025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C107"/>
  <sheetViews>
    <sheetView topLeftCell="A4" zoomScale="155" zoomScaleNormal="155" workbookViewId="0">
      <selection activeCell="V27" sqref="V27"/>
    </sheetView>
  </sheetViews>
  <sheetFormatPr defaultRowHeight="14.4" x14ac:dyDescent="0.3"/>
  <cols>
    <col min="1" max="1" width="6.44140625" customWidth="1"/>
    <col min="2" max="2" width="8.21875" customWidth="1"/>
    <col min="3" max="3" width="7.77734375" customWidth="1"/>
    <col min="4" max="4" width="6.44140625" customWidth="1"/>
    <col min="5" max="5" width="8.21875" style="1" customWidth="1"/>
    <col min="6" max="6" width="7" customWidth="1"/>
    <col min="7" max="7" width="9" customWidth="1"/>
    <col min="8" max="8" width="7.5546875" customWidth="1"/>
    <col min="15" max="19" width="10.109375" customWidth="1"/>
  </cols>
  <sheetData>
    <row r="1" spans="1:55" ht="16.2" x14ac:dyDescent="0.3">
      <c r="A1" s="59" t="s">
        <v>108</v>
      </c>
      <c r="H1" s="70" t="s">
        <v>109</v>
      </c>
      <c r="L1" s="70" t="s">
        <v>110</v>
      </c>
      <c r="U1" t="s">
        <v>101</v>
      </c>
      <c r="X1" s="50">
        <v>1.8735554564004872E-2</v>
      </c>
      <c r="Y1" t="s">
        <v>47</v>
      </c>
      <c r="AF1" s="145" t="s">
        <v>202</v>
      </c>
      <c r="AG1" s="91"/>
      <c r="AK1" s="91"/>
      <c r="AL1" s="91"/>
      <c r="AM1" s="91"/>
      <c r="AN1" s="167" t="s">
        <v>215</v>
      </c>
      <c r="AW1" s="145" t="s">
        <v>220</v>
      </c>
      <c r="AX1" s="91"/>
      <c r="AY1" s="91"/>
      <c r="AZ1" s="91"/>
      <c r="BA1" s="91"/>
      <c r="BB1" s="91"/>
    </row>
    <row r="2" spans="1:55" ht="16.2" x14ac:dyDescent="0.3">
      <c r="A2" t="s">
        <v>92</v>
      </c>
      <c r="D2">
        <v>1600</v>
      </c>
      <c r="E2" s="69" t="s">
        <v>106</v>
      </c>
      <c r="F2" t="s">
        <v>100</v>
      </c>
      <c r="G2" s="66">
        <f>10000/D2</f>
        <v>6.25</v>
      </c>
      <c r="H2" s="91"/>
      <c r="I2" s="91"/>
      <c r="J2" s="91"/>
      <c r="L2" s="91"/>
      <c r="M2" s="91"/>
      <c r="N2" s="91"/>
      <c r="O2" s="91"/>
      <c r="P2" s="91"/>
      <c r="U2" s="59"/>
      <c r="V2" s="68" t="s">
        <v>102</v>
      </c>
      <c r="X2" s="50">
        <v>0.64211735042396734</v>
      </c>
      <c r="Y2" t="s">
        <v>46</v>
      </c>
      <c r="AF2" s="91"/>
      <c r="AG2" s="91"/>
      <c r="AH2" s="91"/>
      <c r="AI2" s="91"/>
      <c r="AJ2" s="91"/>
      <c r="AK2" s="91"/>
      <c r="AL2" s="91"/>
      <c r="AM2" s="91"/>
      <c r="AW2" s="91"/>
      <c r="AX2" s="91"/>
      <c r="AY2" s="91"/>
      <c r="AZ2" s="91"/>
      <c r="BA2" s="91"/>
      <c r="BB2" s="91"/>
    </row>
    <row r="3" spans="1:55" ht="15" thickBot="1" x14ac:dyDescent="0.35">
      <c r="A3" t="s">
        <v>93</v>
      </c>
      <c r="D3">
        <f>16</f>
        <v>16</v>
      </c>
      <c r="E3" s="69"/>
      <c r="H3" s="91"/>
      <c r="I3" s="91"/>
      <c r="J3" s="91"/>
      <c r="L3" s="91"/>
      <c r="M3" s="91"/>
      <c r="N3" s="91"/>
      <c r="O3" s="91"/>
      <c r="P3" s="91"/>
      <c r="V3" t="s">
        <v>103</v>
      </c>
      <c r="AF3" s="91"/>
      <c r="AG3" s="91"/>
      <c r="AH3" s="91"/>
      <c r="AI3" s="91"/>
      <c r="AJ3" s="91"/>
      <c r="AK3" s="91"/>
      <c r="AL3" s="91"/>
      <c r="AM3" s="91"/>
      <c r="AW3" s="91"/>
      <c r="AX3" s="91"/>
      <c r="AY3" s="91"/>
      <c r="AZ3" s="91"/>
      <c r="BA3" s="91"/>
      <c r="BB3" s="91"/>
    </row>
    <row r="4" spans="1:55" ht="16.2" x14ac:dyDescent="0.3">
      <c r="A4" t="s">
        <v>95</v>
      </c>
      <c r="D4">
        <v>1</v>
      </c>
      <c r="E4" s="69" t="s">
        <v>107</v>
      </c>
      <c r="H4" s="91"/>
      <c r="I4" s="91"/>
      <c r="J4" s="91"/>
      <c r="L4" s="91"/>
      <c r="M4" s="91"/>
      <c r="N4" s="91"/>
      <c r="O4" s="91"/>
      <c r="P4" s="91"/>
      <c r="V4" t="s">
        <v>104</v>
      </c>
      <c r="Y4" s="191" t="s">
        <v>193</v>
      </c>
      <c r="Z4" s="192"/>
      <c r="AA4" s="192"/>
      <c r="AB4" s="193"/>
      <c r="AC4" s="194"/>
      <c r="AF4" s="91" t="s">
        <v>203</v>
      </c>
      <c r="AG4" s="91"/>
      <c r="AH4" s="100"/>
      <c r="AI4" s="91" t="s">
        <v>204</v>
      </c>
      <c r="AJ4" s="91"/>
      <c r="AK4" s="91"/>
      <c r="AL4" s="91"/>
      <c r="AM4" s="91"/>
      <c r="AW4" s="91"/>
      <c r="AX4" s="91"/>
      <c r="AY4" s="175" t="s">
        <v>221</v>
      </c>
      <c r="AZ4" s="176" t="s">
        <v>222</v>
      </c>
      <c r="BA4" s="91"/>
      <c r="BB4" s="91"/>
    </row>
    <row r="5" spans="1:55" x14ac:dyDescent="0.3">
      <c r="A5" t="s">
        <v>96</v>
      </c>
      <c r="D5" s="67" t="s">
        <v>97</v>
      </c>
      <c r="E5" s="69" t="s">
        <v>106</v>
      </c>
      <c r="H5" s="91"/>
      <c r="I5" s="91"/>
      <c r="J5" s="91"/>
      <c r="L5" s="90" t="s">
        <v>111</v>
      </c>
      <c r="M5" s="90" t="s">
        <v>112</v>
      </c>
      <c r="N5" s="90" t="s">
        <v>113</v>
      </c>
      <c r="O5" s="90" t="s">
        <v>114</v>
      </c>
      <c r="R5" s="132" t="s">
        <v>165</v>
      </c>
      <c r="S5" s="133"/>
      <c r="T5" s="134"/>
      <c r="U5" s="140" t="s">
        <v>166</v>
      </c>
      <c r="V5" s="133"/>
      <c r="W5" s="134"/>
      <c r="Y5" s="195"/>
      <c r="Z5" s="196"/>
      <c r="AA5" s="196"/>
      <c r="AB5" s="196"/>
      <c r="AC5" s="197"/>
      <c r="AF5" s="91"/>
      <c r="AG5" s="91"/>
      <c r="AH5" s="91"/>
      <c r="AI5" s="91"/>
      <c r="AJ5" s="91"/>
      <c r="AK5" s="91"/>
      <c r="AL5" s="91"/>
      <c r="AM5" s="91"/>
      <c r="AW5" s="91"/>
      <c r="AX5" s="91"/>
      <c r="AY5" s="91"/>
      <c r="AZ5" s="91"/>
      <c r="BA5" s="91"/>
      <c r="BB5" s="91"/>
    </row>
    <row r="6" spans="1:55" ht="15" thickBot="1" x14ac:dyDescent="0.35">
      <c r="A6" t="s">
        <v>98</v>
      </c>
      <c r="D6">
        <v>13</v>
      </c>
      <c r="E6" s="69" t="s">
        <v>107</v>
      </c>
      <c r="H6" s="91"/>
      <c r="I6" s="91"/>
      <c r="J6" s="91"/>
      <c r="L6" s="85">
        <v>-1.770086</v>
      </c>
      <c r="M6" s="30">
        <v>-0.233239</v>
      </c>
      <c r="N6" s="30">
        <v>0.54879800000000001</v>
      </c>
      <c r="O6" s="30">
        <v>-5.5273999999999997E-2</v>
      </c>
      <c r="R6" s="135"/>
      <c r="S6" s="136"/>
      <c r="T6" s="137"/>
      <c r="U6" s="135"/>
      <c r="V6" s="136"/>
      <c r="W6" s="137"/>
      <c r="Y6" s="195"/>
      <c r="Z6" s="196"/>
      <c r="AA6" s="196"/>
      <c r="AB6" s="196"/>
      <c r="AC6" s="197"/>
      <c r="AJ6" s="91"/>
      <c r="AK6" s="91"/>
      <c r="AL6" s="91"/>
      <c r="AM6" s="91"/>
      <c r="AW6" s="91"/>
      <c r="AX6" s="91"/>
      <c r="AY6" s="91"/>
      <c r="AZ6" s="91"/>
      <c r="BA6" s="91"/>
      <c r="BB6" s="91"/>
    </row>
    <row r="7" spans="1:55" ht="15" thickBot="1" x14ac:dyDescent="0.35">
      <c r="H7" s="88" t="s">
        <v>132</v>
      </c>
      <c r="I7" s="88" t="s">
        <v>133</v>
      </c>
      <c r="J7" s="89" t="s">
        <v>134</v>
      </c>
      <c r="R7" s="135"/>
      <c r="S7" s="136"/>
      <c r="T7" s="137"/>
      <c r="U7" s="135"/>
      <c r="V7" s="136"/>
      <c r="W7" s="137"/>
      <c r="Y7" s="195"/>
      <c r="Z7" s="196"/>
      <c r="AA7" s="196"/>
      <c r="AB7" s="196"/>
      <c r="AC7" s="197"/>
      <c r="AF7" s="151" t="s">
        <v>194</v>
      </c>
      <c r="AG7" s="147" t="s">
        <v>205</v>
      </c>
      <c r="AH7" s="147" t="s">
        <v>195</v>
      </c>
      <c r="AI7" s="147" t="s">
        <v>196</v>
      </c>
      <c r="AJ7" s="147" t="s">
        <v>197</v>
      </c>
      <c r="AK7" s="91"/>
      <c r="AL7" s="91"/>
      <c r="AM7" s="91"/>
      <c r="AW7" s="91"/>
      <c r="AX7" s="91"/>
      <c r="AY7" s="91"/>
      <c r="AZ7" s="91"/>
      <c r="BA7" s="91"/>
      <c r="BB7" s="91"/>
    </row>
    <row r="8" spans="1:55" ht="16.2" thickBot="1" x14ac:dyDescent="0.35">
      <c r="H8" s="86">
        <v>61.1372</v>
      </c>
      <c r="I8" s="86">
        <v>0.48049999999999998</v>
      </c>
      <c r="J8" s="87">
        <v>10</v>
      </c>
      <c r="R8" s="138"/>
      <c r="S8" s="127"/>
      <c r="T8" s="139"/>
      <c r="U8" s="138"/>
      <c r="V8" s="127"/>
      <c r="W8" s="139"/>
      <c r="Y8" s="146" t="s">
        <v>194</v>
      </c>
      <c r="Z8" s="147" t="s">
        <v>195</v>
      </c>
      <c r="AA8" s="147" t="s">
        <v>196</v>
      </c>
      <c r="AB8" s="147" t="s">
        <v>197</v>
      </c>
      <c r="AC8" s="197"/>
      <c r="AF8" s="152" t="s">
        <v>206</v>
      </c>
      <c r="AG8" s="153">
        <v>2</v>
      </c>
      <c r="AH8" s="153">
        <v>0.1241</v>
      </c>
      <c r="AI8" s="150">
        <v>1.7828999999999999</v>
      </c>
      <c r="AJ8" s="150">
        <v>1.1564000000000001</v>
      </c>
      <c r="AK8" s="91"/>
      <c r="AL8" s="91"/>
      <c r="AM8" s="91"/>
      <c r="AW8" s="177" t="s">
        <v>194</v>
      </c>
      <c r="AX8" s="178" t="s">
        <v>205</v>
      </c>
      <c r="AY8" s="178" t="s">
        <v>195</v>
      </c>
      <c r="AZ8" s="178" t="s">
        <v>196</v>
      </c>
      <c r="BA8" s="179" t="s">
        <v>197</v>
      </c>
    </row>
    <row r="9" spans="1:55" s="59" customFormat="1" ht="15" thickBot="1" x14ac:dyDescent="0.35">
      <c r="A9" s="81" t="s">
        <v>91</v>
      </c>
      <c r="B9" s="81"/>
      <c r="C9" s="81"/>
      <c r="D9" s="81"/>
      <c r="E9" s="82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148" t="s">
        <v>198</v>
      </c>
      <c r="Z9" s="149">
        <v>0.21049999999999999</v>
      </c>
      <c r="AA9" s="150">
        <v>1.8190999999999999</v>
      </c>
      <c r="AB9" s="150">
        <v>1.0703</v>
      </c>
      <c r="AC9" s="198"/>
      <c r="AD9" s="81"/>
      <c r="AE9" s="81"/>
      <c r="AF9" s="152" t="s">
        <v>207</v>
      </c>
      <c r="AG9" s="154">
        <v>3</v>
      </c>
      <c r="AH9" s="154">
        <v>0.60219999999999996</v>
      </c>
      <c r="AI9" s="155">
        <v>4.7766999999999999</v>
      </c>
      <c r="AJ9" s="155">
        <v>4.4124999999999996</v>
      </c>
      <c r="AK9" s="157"/>
      <c r="AL9" s="156"/>
      <c r="AM9" s="216"/>
      <c r="AW9" s="180" t="s">
        <v>223</v>
      </c>
      <c r="AX9" s="181">
        <v>1</v>
      </c>
      <c r="AY9" s="182">
        <v>9.9640000000000006E-3</v>
      </c>
      <c r="AZ9" s="182">
        <v>1.780459</v>
      </c>
      <c r="BA9" s="183">
        <v>1.369618</v>
      </c>
      <c r="BB9"/>
      <c r="BC9"/>
    </row>
    <row r="10" spans="1:55" s="59" customFormat="1" x14ac:dyDescent="0.3">
      <c r="A10" s="83"/>
      <c r="B10" s="83"/>
      <c r="C10" s="83"/>
      <c r="D10" s="83"/>
      <c r="E10" s="84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320"/>
      <c r="Z10" s="320"/>
      <c r="AA10" s="321"/>
      <c r="AB10" s="321"/>
      <c r="AC10" s="136"/>
      <c r="AD10" s="83"/>
      <c r="AE10" s="83"/>
      <c r="AF10" s="322"/>
      <c r="AG10" s="320"/>
      <c r="AH10" s="320"/>
      <c r="AI10" s="321"/>
      <c r="AJ10" s="321"/>
      <c r="AK10" s="196"/>
      <c r="AL10" s="216"/>
      <c r="AM10" s="216"/>
      <c r="AW10" s="180"/>
      <c r="AX10" s="181"/>
      <c r="AY10" s="182"/>
      <c r="AZ10" s="182"/>
      <c r="BA10" s="183"/>
      <c r="BB10" s="290"/>
      <c r="BC10" s="290"/>
    </row>
    <row r="11" spans="1:55" s="59" customFormat="1" ht="16.2" x14ac:dyDescent="0.3">
      <c r="A11" s="83"/>
      <c r="B11" s="83"/>
      <c r="C11" s="83"/>
      <c r="D11" s="83"/>
      <c r="E11" s="84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C11" s="83"/>
      <c r="AD11" s="83"/>
      <c r="AE11" s="83"/>
      <c r="AG11" s="83"/>
      <c r="AH11" s="83"/>
      <c r="AI11" s="141" t="s">
        <v>234</v>
      </c>
      <c r="AJ11" s="83"/>
      <c r="AK11" s="83"/>
      <c r="AL11" s="84" t="s">
        <v>242</v>
      </c>
      <c r="AM11" s="84"/>
      <c r="AW11" s="184" t="s">
        <v>224</v>
      </c>
      <c r="AX11" s="4">
        <v>1</v>
      </c>
      <c r="AY11" s="7">
        <v>5.9400000000000002E-4</v>
      </c>
      <c r="AZ11" s="215">
        <v>2.3794749999999998</v>
      </c>
      <c r="BA11" s="185">
        <v>1.0849880000000001</v>
      </c>
      <c r="BB11"/>
      <c r="BC11"/>
    </row>
    <row r="12" spans="1:55" x14ac:dyDescent="0.3">
      <c r="A12" s="446" t="s">
        <v>122</v>
      </c>
      <c r="B12" s="446"/>
      <c r="C12" s="446"/>
      <c r="D12" s="446"/>
      <c r="E12" s="446"/>
      <c r="F12" s="446"/>
      <c r="G12" s="446"/>
      <c r="H12" s="446"/>
      <c r="I12" s="72">
        <f>AVERAGE($H$27:$H$106)</f>
        <v>23.328571428571429</v>
      </c>
      <c r="T12" s="117" t="s">
        <v>158</v>
      </c>
      <c r="U12" s="108">
        <f>100/(I12*SQRT(I14))</f>
        <v>0.19932234444745497</v>
      </c>
      <c r="AI12" s="142" t="s">
        <v>235</v>
      </c>
      <c r="AJ12" s="209">
        <f>AK12*$G$2</f>
        <v>18.804374044423643</v>
      </c>
      <c r="AK12" s="160">
        <f>SUM(R27:R106)</f>
        <v>3.008699847107783</v>
      </c>
      <c r="AL12" s="1" t="s">
        <v>238</v>
      </c>
      <c r="AM12" s="1"/>
      <c r="AW12" s="184" t="s">
        <v>225</v>
      </c>
      <c r="AX12" s="4">
        <v>2</v>
      </c>
      <c r="AY12" s="7">
        <v>9.5602999999999994E-2</v>
      </c>
      <c r="AZ12" s="7">
        <v>1.6746529999999999</v>
      </c>
      <c r="BA12" s="185">
        <v>-0.85072999999999999</v>
      </c>
    </row>
    <row r="13" spans="1:55" ht="15" thickBot="1" x14ac:dyDescent="0.35">
      <c r="A13" s="447" t="s">
        <v>99</v>
      </c>
      <c r="B13" s="447"/>
      <c r="C13" s="447"/>
      <c r="D13" s="447"/>
      <c r="E13" s="447"/>
      <c r="F13" s="447"/>
      <c r="G13" s="447"/>
      <c r="H13" s="447"/>
      <c r="I13" s="72">
        <f>$H$8*($I$12/$H$8)^(($D$6/$J$8)^$I$8)</f>
        <v>20.496080132356497</v>
      </c>
      <c r="T13" s="117" t="s">
        <v>159</v>
      </c>
      <c r="U13" s="67" t="s">
        <v>163</v>
      </c>
      <c r="V13" s="109">
        <f>R14-U15</f>
        <v>168.50246222937881</v>
      </c>
      <c r="AI13" s="142" t="s">
        <v>236</v>
      </c>
      <c r="AJ13" s="209">
        <f t="shared" ref="AJ13:AJ14" si="0">AK13*$G$2</f>
        <v>122.39297278195107</v>
      </c>
      <c r="AK13" s="160">
        <f>SUM(S27:S106)</f>
        <v>19.582875645112171</v>
      </c>
      <c r="AL13" s="1" t="s">
        <v>239</v>
      </c>
      <c r="AM13" s="1"/>
      <c r="AW13" s="186" t="s">
        <v>226</v>
      </c>
      <c r="AX13" s="187">
        <v>2</v>
      </c>
      <c r="AY13" s="188">
        <v>0.24895200000000001</v>
      </c>
      <c r="AZ13" s="188">
        <v>1.264033</v>
      </c>
      <c r="BA13" s="189">
        <v>-0.71209999999999996</v>
      </c>
    </row>
    <row r="14" spans="1:55" x14ac:dyDescent="0.3">
      <c r="A14" s="446" t="s">
        <v>123</v>
      </c>
      <c r="B14" s="446"/>
      <c r="C14" s="446"/>
      <c r="D14" s="446"/>
      <c r="E14" s="446"/>
      <c r="F14" s="446"/>
      <c r="G14" s="446"/>
      <c r="H14" s="446"/>
      <c r="I14" s="74">
        <f>J14*$G$2</f>
        <v>462.5</v>
      </c>
      <c r="J14">
        <f>COUNTIF(E27:E106,0)</f>
        <v>74</v>
      </c>
      <c r="K14" s="76" t="s">
        <v>127</v>
      </c>
      <c r="Q14" s="67" t="s">
        <v>161</v>
      </c>
      <c r="R14" s="109">
        <f>I14</f>
        <v>462.5</v>
      </c>
      <c r="T14" s="118" t="s">
        <v>160</v>
      </c>
      <c r="U14" s="66">
        <v>0.25</v>
      </c>
      <c r="AI14" s="142" t="s">
        <v>237</v>
      </c>
      <c r="AJ14" s="205">
        <f t="shared" si="0"/>
        <v>11.496733791082523</v>
      </c>
      <c r="AK14" s="160">
        <f>SUM(T27:T106)</f>
        <v>1.8394774065732038</v>
      </c>
      <c r="AL14" s="1" t="s">
        <v>240</v>
      </c>
      <c r="AM14" s="1"/>
    </row>
    <row r="15" spans="1:55" ht="15" thickBot="1" x14ac:dyDescent="0.35">
      <c r="A15" s="446" t="s">
        <v>124</v>
      </c>
      <c r="B15" s="446"/>
      <c r="C15" s="446"/>
      <c r="D15" s="446"/>
      <c r="E15" s="446"/>
      <c r="F15" s="446"/>
      <c r="G15" s="446"/>
      <c r="H15" s="446"/>
      <c r="I15" s="74">
        <f>J15*$G$2</f>
        <v>37.5</v>
      </c>
      <c r="J15">
        <f>COUNTIF(E27:E106,1)</f>
        <v>6</v>
      </c>
      <c r="K15" s="76" t="s">
        <v>128</v>
      </c>
      <c r="T15" s="92" t="s">
        <v>162</v>
      </c>
      <c r="U15" s="109">
        <f>100^2/ (I12^2*U14^2)</f>
        <v>293.99753777062119</v>
      </c>
      <c r="AB15" s="158"/>
      <c r="AC15" s="158"/>
      <c r="AD15" s="158"/>
      <c r="AE15" s="158"/>
      <c r="AF15" s="158"/>
      <c r="AG15" s="158"/>
      <c r="AH15" s="158"/>
      <c r="AI15" s="143" t="s">
        <v>189</v>
      </c>
      <c r="AJ15" s="207">
        <f>AK15*$G$2</f>
        <v>0.52356624490997716</v>
      </c>
      <c r="AK15" s="199">
        <f>SUM(U27:U106)</f>
        <v>8.3770599185596345E-2</v>
      </c>
      <c r="AL15" s="208" t="s">
        <v>241</v>
      </c>
      <c r="AM15" s="217"/>
      <c r="AW15" s="210" t="s">
        <v>246</v>
      </c>
      <c r="AZ15" s="214"/>
    </row>
    <row r="16" spans="1:55" ht="16.2" x14ac:dyDescent="0.3">
      <c r="A16" s="446" t="s">
        <v>125</v>
      </c>
      <c r="B16" s="446"/>
      <c r="C16" s="446"/>
      <c r="D16" s="446"/>
      <c r="E16" s="446"/>
      <c r="F16" s="446"/>
      <c r="G16" s="446"/>
      <c r="H16" s="446"/>
      <c r="I16" s="75">
        <f>J16*$G$2</f>
        <v>19.821083632184358</v>
      </c>
      <c r="J16">
        <f>SUM(I27:I106)</f>
        <v>3.1713733811494973</v>
      </c>
      <c r="K16" s="76" t="s">
        <v>129</v>
      </c>
      <c r="T16" s="117" t="s">
        <v>177</v>
      </c>
      <c r="U16" s="115" t="s">
        <v>178</v>
      </c>
      <c r="AI16" s="162" t="s">
        <v>243</v>
      </c>
      <c r="AJ16" s="209">
        <f t="shared" ref="AJ16:AJ19" si="1">AK16*$G$2</f>
        <v>2.710764361075261</v>
      </c>
      <c r="AK16" s="160">
        <f>SUM(W27:W106)</f>
        <v>0.43372229777204174</v>
      </c>
      <c r="AL16" s="1" t="s">
        <v>238</v>
      </c>
      <c r="AM16" s="1"/>
      <c r="AN16" s="168" t="s">
        <v>194</v>
      </c>
      <c r="AO16" s="169" t="s">
        <v>205</v>
      </c>
      <c r="AP16" s="169" t="s">
        <v>195</v>
      </c>
      <c r="AQ16" s="169" t="s">
        <v>196</v>
      </c>
      <c r="AR16" s="169" t="s">
        <v>197</v>
      </c>
      <c r="AS16" s="169" t="s">
        <v>216</v>
      </c>
      <c r="AT16" s="169" t="s">
        <v>217</v>
      </c>
    </row>
    <row r="17" spans="1:46" x14ac:dyDescent="0.3">
      <c r="A17" s="446" t="s">
        <v>126</v>
      </c>
      <c r="B17" s="446"/>
      <c r="C17" s="446"/>
      <c r="D17" s="446"/>
      <c r="E17" s="446"/>
      <c r="F17" s="446"/>
      <c r="G17" s="446"/>
      <c r="H17" s="446"/>
      <c r="I17" s="72">
        <f>SQRT((4*I16)/(PI()*I14))*100</f>
        <v>23.359464775430848</v>
      </c>
      <c r="T17" s="117" t="s">
        <v>164</v>
      </c>
      <c r="U17" s="109">
        <f>I14*(I17/25)^1.6</f>
        <v>414.90468960947925</v>
      </c>
      <c r="AI17" s="162" t="s">
        <v>244</v>
      </c>
      <c r="AJ17" s="209">
        <f t="shared" si="1"/>
        <v>138.48658246529945</v>
      </c>
      <c r="AK17" s="160">
        <f>SUM(X27:X106)</f>
        <v>22.157853194447913</v>
      </c>
      <c r="AL17" s="1" t="s">
        <v>239</v>
      </c>
      <c r="AM17" s="1"/>
      <c r="AN17" s="4" t="s">
        <v>198</v>
      </c>
      <c r="AO17" s="159" t="s">
        <v>218</v>
      </c>
      <c r="AP17" s="170">
        <v>1.0988</v>
      </c>
      <c r="AQ17" s="171">
        <v>0.38690000000000002</v>
      </c>
      <c r="AR17" s="172">
        <v>2.8460999999999999</v>
      </c>
      <c r="AS17" s="173">
        <v>-1.0988</v>
      </c>
      <c r="AT17" s="174">
        <v>0.38690000000000002</v>
      </c>
    </row>
    <row r="18" spans="1:46" ht="15" customHeight="1" x14ac:dyDescent="0.55000000000000004">
      <c r="A18" s="450" t="s">
        <v>105</v>
      </c>
      <c r="B18" s="450"/>
      <c r="C18" s="450"/>
      <c r="D18" s="450"/>
      <c r="E18" s="450"/>
      <c r="F18" s="450"/>
      <c r="G18" s="450"/>
      <c r="H18" s="450"/>
      <c r="I18" s="73">
        <f>AVERAGE(J27:J106)</f>
        <v>28.049999999999997</v>
      </c>
      <c r="J18" s="64"/>
      <c r="T18" s="117" t="s">
        <v>167</v>
      </c>
      <c r="U18" s="116" t="s">
        <v>179</v>
      </c>
      <c r="AI18" s="162" t="s">
        <v>245</v>
      </c>
      <c r="AJ18" s="205">
        <f t="shared" si="1"/>
        <v>11.496733791082523</v>
      </c>
      <c r="AK18" s="160">
        <f>SUM(Y27:Y106)</f>
        <v>1.8394774065732038</v>
      </c>
      <c r="AL18" s="1" t="s">
        <v>240</v>
      </c>
      <c r="AM18" s="1"/>
      <c r="AN18" s="4" t="s">
        <v>198</v>
      </c>
      <c r="AO18" s="159" t="s">
        <v>219</v>
      </c>
      <c r="AP18" s="159">
        <v>1.4409000000000001</v>
      </c>
      <c r="AQ18" s="159">
        <v>0.35349999999999998</v>
      </c>
      <c r="AR18" s="159">
        <v>7.7839999999999998</v>
      </c>
      <c r="AS18" s="159">
        <v>-1.4409000000000001</v>
      </c>
      <c r="AT18" s="159">
        <v>0.35349999999999998</v>
      </c>
    </row>
    <row r="19" spans="1:46" x14ac:dyDescent="0.3">
      <c r="T19" s="142" t="s">
        <v>184</v>
      </c>
      <c r="U19" s="200">
        <f>V19*$G$2</f>
        <v>189.07800087400278</v>
      </c>
      <c r="V19" s="200">
        <f>SUM(M27:M106)</f>
        <v>30.252480139840443</v>
      </c>
      <c r="W19" s="76" t="s">
        <v>200</v>
      </c>
      <c r="AI19" s="162" t="s">
        <v>188</v>
      </c>
      <c r="AJ19" s="205">
        <f t="shared" si="1"/>
        <v>0.52356624490997716</v>
      </c>
      <c r="AK19" s="160">
        <f>SUM(Z27:Z106)</f>
        <v>8.3770599185596345E-2</v>
      </c>
      <c r="AL19" s="1" t="s">
        <v>241</v>
      </c>
      <c r="AM19" s="1"/>
    </row>
    <row r="20" spans="1:46" s="290" customFormat="1" ht="16.2" x14ac:dyDescent="0.3">
      <c r="E20" s="302"/>
      <c r="Q20" s="83"/>
      <c r="R20" s="83"/>
      <c r="S20" s="83"/>
      <c r="T20" s="141" t="s">
        <v>185</v>
      </c>
      <c r="U20" s="203">
        <f>V20*$G$2</f>
        <v>153.21764686236722</v>
      </c>
      <c r="V20" s="203">
        <f>SUM(N27:N106)</f>
        <v>24.514823497978757</v>
      </c>
      <c r="W20" s="317" t="s">
        <v>201</v>
      </c>
      <c r="Z20" s="136"/>
      <c r="AA20" s="136"/>
      <c r="AB20" s="136"/>
      <c r="AC20" s="136"/>
      <c r="AD20" s="136"/>
      <c r="AE20" s="136"/>
      <c r="AF20" s="136"/>
      <c r="AG20" s="136"/>
      <c r="AH20" s="136"/>
      <c r="AI20" s="141" t="s">
        <v>190</v>
      </c>
      <c r="AJ20" s="318" t="s">
        <v>249</v>
      </c>
      <c r="AK20" s="319"/>
      <c r="AL20" s="302"/>
      <c r="AM20" s="302"/>
    </row>
    <row r="21" spans="1:46" s="59" customFormat="1" ht="15" thickBot="1" x14ac:dyDescent="0.35">
      <c r="A21" s="81" t="s">
        <v>90</v>
      </c>
      <c r="B21" s="81"/>
      <c r="C21" s="81"/>
      <c r="D21" s="81"/>
      <c r="E21" s="82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1"/>
      <c r="AM21" s="83"/>
    </row>
    <row r="22" spans="1:46" s="59" customFormat="1" x14ac:dyDescent="0.3">
      <c r="A22" s="83"/>
      <c r="B22" s="83"/>
      <c r="C22" s="83"/>
      <c r="D22" s="83"/>
      <c r="E22" s="84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141"/>
      <c r="U22" s="203"/>
      <c r="V22" s="324" t="s">
        <v>352</v>
      </c>
      <c r="W22" s="317" t="s">
        <v>351</v>
      </c>
      <c r="X22" s="83"/>
      <c r="Y22" s="83"/>
      <c r="Z22" s="136"/>
      <c r="AA22" s="136"/>
      <c r="AB22" s="136"/>
      <c r="AC22" s="136"/>
      <c r="AD22" s="136"/>
      <c r="AE22" s="136"/>
      <c r="AF22" s="136"/>
      <c r="AG22" s="136"/>
      <c r="AH22" s="136"/>
      <c r="AI22" s="141"/>
      <c r="AJ22" s="318"/>
      <c r="AK22" s="319"/>
      <c r="AL22" s="83"/>
      <c r="AM22" s="83"/>
    </row>
    <row r="23" spans="1:46" s="59" customFormat="1" x14ac:dyDescent="0.3">
      <c r="A23" s="83"/>
      <c r="B23" s="83"/>
      <c r="C23" s="83"/>
      <c r="D23" s="83"/>
      <c r="E23" s="84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141"/>
      <c r="U23" s="203"/>
      <c r="X23" s="323"/>
      <c r="Y23" s="323"/>
      <c r="Z23" s="136"/>
      <c r="AA23" s="136"/>
      <c r="AB23" s="136"/>
      <c r="AC23" s="136"/>
      <c r="AD23" s="136"/>
      <c r="AE23" s="136"/>
      <c r="AF23" s="136"/>
      <c r="AG23" s="136"/>
      <c r="AH23" s="136"/>
      <c r="AI23" s="141"/>
      <c r="AJ23" s="204"/>
      <c r="AK23" s="204"/>
      <c r="AL23" s="83"/>
      <c r="AM23" s="83"/>
    </row>
    <row r="24" spans="1:46" ht="15.6" customHeight="1" x14ac:dyDescent="0.3">
      <c r="O24" s="160">
        <f>SUM(O27:O106)</f>
        <v>3.008699847107783</v>
      </c>
      <c r="P24" s="160">
        <f>SUM(P27:P106)</f>
        <v>22.591575492219956</v>
      </c>
      <c r="Q24" s="160">
        <f>SUM(Q27:Q106)</f>
        <v>24.431052898793165</v>
      </c>
      <c r="R24" s="160"/>
      <c r="S24" s="160"/>
      <c r="T24" s="160"/>
      <c r="U24" s="160"/>
      <c r="V24" s="160"/>
      <c r="AA24" s="288">
        <f>AA25*$G$2/1000</f>
        <v>86.983899499890356</v>
      </c>
      <c r="AB24" s="288">
        <f t="shared" ref="AB24:AG24" si="2">AB25*$G$2/1000</f>
        <v>14.550533093900944</v>
      </c>
      <c r="AC24" s="288">
        <f t="shared" si="2"/>
        <v>9.2340480812733823</v>
      </c>
      <c r="AD24" s="288">
        <f t="shared" si="2"/>
        <v>6.4330521336185988</v>
      </c>
      <c r="AE24" s="288">
        <f t="shared" si="2"/>
        <v>117.20153280868328</v>
      </c>
      <c r="AF24" s="288">
        <f t="shared" si="2"/>
        <v>29.148021209519531</v>
      </c>
      <c r="AG24" s="288">
        <f t="shared" si="2"/>
        <v>146.34955401820278</v>
      </c>
      <c r="AH24" s="76" t="s">
        <v>248</v>
      </c>
    </row>
    <row r="25" spans="1:46" ht="13.8" customHeight="1" x14ac:dyDescent="0.3">
      <c r="O25" s="448" t="s">
        <v>208</v>
      </c>
      <c r="P25" s="448"/>
      <c r="Q25" s="448"/>
      <c r="R25" s="448" t="s">
        <v>213</v>
      </c>
      <c r="S25" s="448"/>
      <c r="T25" s="448"/>
      <c r="U25" s="448"/>
      <c r="V25" s="449" t="s">
        <v>213</v>
      </c>
      <c r="W25" s="449"/>
      <c r="X25" s="449"/>
      <c r="Y25" s="449"/>
      <c r="Z25" s="449"/>
      <c r="AA25">
        <f>SUM(AA27:AA106)</f>
        <v>13917.423919982455</v>
      </c>
      <c r="AB25">
        <f t="shared" ref="AB25:AG25" si="3">SUM(AB27:AB106)</f>
        <v>2328.085295024151</v>
      </c>
      <c r="AC25">
        <f t="shared" si="3"/>
        <v>1477.4476930037411</v>
      </c>
      <c r="AD25">
        <f t="shared" si="3"/>
        <v>1029.2883413789757</v>
      </c>
      <c r="AE25">
        <f t="shared" si="3"/>
        <v>18752.245249389325</v>
      </c>
      <c r="AF25">
        <f t="shared" si="3"/>
        <v>4663.6833935231252</v>
      </c>
      <c r="AG25">
        <f t="shared" si="3"/>
        <v>23415.928642912448</v>
      </c>
      <c r="AH25" s="76" t="s">
        <v>247</v>
      </c>
    </row>
    <row r="26" spans="1:46" ht="27" customHeight="1" x14ac:dyDescent="0.3">
      <c r="A26" s="77" t="s">
        <v>7</v>
      </c>
      <c r="B26" s="53" t="s">
        <v>121</v>
      </c>
      <c r="C26" s="53" t="s">
        <v>119</v>
      </c>
      <c r="D26" s="53" t="s">
        <v>120</v>
      </c>
      <c r="E26" s="29" t="s">
        <v>117</v>
      </c>
      <c r="F26" s="29" t="s">
        <v>118</v>
      </c>
      <c r="G26" s="65" t="s">
        <v>94</v>
      </c>
      <c r="H26" s="80" t="s">
        <v>115</v>
      </c>
      <c r="I26" s="80" t="s">
        <v>130</v>
      </c>
      <c r="J26" s="80" t="s">
        <v>116</v>
      </c>
      <c r="K26" s="80" t="s">
        <v>131</v>
      </c>
      <c r="L26" s="80" t="s">
        <v>199</v>
      </c>
      <c r="M26" s="144" t="s">
        <v>191</v>
      </c>
      <c r="N26" s="144" t="s">
        <v>192</v>
      </c>
      <c r="O26" s="165">
        <v>25</v>
      </c>
      <c r="P26" s="165">
        <v>12</v>
      </c>
      <c r="Q26" s="165">
        <v>6</v>
      </c>
      <c r="R26" s="165" t="s">
        <v>209</v>
      </c>
      <c r="S26" s="165" t="s">
        <v>210</v>
      </c>
      <c r="T26" s="165" t="s">
        <v>211</v>
      </c>
      <c r="U26" s="166" t="s">
        <v>212</v>
      </c>
      <c r="V26" s="325" t="s">
        <v>214</v>
      </c>
      <c r="W26" s="163" t="s">
        <v>209</v>
      </c>
      <c r="X26" s="163" t="s">
        <v>210</v>
      </c>
      <c r="Y26" s="163" t="s">
        <v>211</v>
      </c>
      <c r="Z26" s="164" t="s">
        <v>212</v>
      </c>
      <c r="AA26" s="211" t="s">
        <v>227</v>
      </c>
      <c r="AB26" s="211" t="s">
        <v>228</v>
      </c>
      <c r="AC26" s="211" t="s">
        <v>229</v>
      </c>
      <c r="AD26" s="211" t="s">
        <v>230</v>
      </c>
      <c r="AE26" s="190" t="s">
        <v>231</v>
      </c>
      <c r="AF26" s="190" t="s">
        <v>232</v>
      </c>
      <c r="AG26" s="190" t="s">
        <v>233</v>
      </c>
    </row>
    <row r="27" spans="1:46" ht="14.4" customHeight="1" x14ac:dyDescent="0.3">
      <c r="A27" s="15">
        <v>1</v>
      </c>
      <c r="B27" s="16">
        <v>235</v>
      </c>
      <c r="C27" s="16">
        <v>217</v>
      </c>
      <c r="D27" s="16">
        <v>18.5</v>
      </c>
      <c r="E27" s="4">
        <f t="shared" ref="E27:E58" si="4">IF(B27="",1,0)</f>
        <v>0</v>
      </c>
      <c r="F27" s="7">
        <f t="shared" ref="F27:F58" si="5">(B27+C27)/20</f>
        <v>22.6</v>
      </c>
      <c r="G27" s="55"/>
      <c r="H27" s="71" t="str">
        <f>IF(AND(D27&lt;&gt;"",G27&lt;&gt;""),D27,"")</f>
        <v/>
      </c>
      <c r="I27" s="7">
        <f>PI()*F27^2/40000</f>
        <v>4.0114996593688071E-2</v>
      </c>
      <c r="J27" s="7" t="str">
        <f>IF(AND(F27&lt;&gt;0,G27&lt;&gt;""),F27,"")</f>
        <v/>
      </c>
      <c r="K27" s="7">
        <f t="shared" ref="K27:K58" si="6">IF(E27=0,$I$12*EXP(($L$6+$M$6*$I$12+$N$6*$I$14/1000+$O$6*$I$17)*((1/F27)-(1/$I$18))),"")</f>
        <v>21.731537327128052</v>
      </c>
      <c r="L27">
        <f>IF(   D27="",  K27,     D27)</f>
        <v>18.5</v>
      </c>
      <c r="M27" s="201">
        <f>IF(E27=0,$Z$9*(F27/100)^$AA$9*L27^$AB$9,          "")</f>
        <v>0.31956901403217203</v>
      </c>
      <c r="N27" s="201">
        <f>IF(E27=0,$AH$8*(F27/100)^$AI$8*L27^$AJ$8,          "")</f>
        <v>0.25560485838739083</v>
      </c>
      <c r="O27" s="160">
        <f t="shared" ref="O27:O58" si="7">IF(F27&gt;$O$26,N27*EXP(-$AH$9*($O$26^$AI$9/F27^$AJ$9)),0)</f>
        <v>0</v>
      </c>
      <c r="P27" s="202">
        <f t="shared" ref="P27:P58" si="8">IF(F27&gt;$P$26,N27*EXP(-$AH$9*($P$26^$AI$9/F27^$AJ$9)),0)</f>
        <v>0.23334137977050259</v>
      </c>
      <c r="Q27" s="202">
        <f t="shared" ref="Q27:Q58" si="9">IF(F27&gt;$Q$26,N27*EXP(-$AH$9*($Q$26^$AI$9/F27^$AJ$9)),0)</f>
        <v>0.25475649927401739</v>
      </c>
      <c r="R27" s="160">
        <f>O27</f>
        <v>0</v>
      </c>
      <c r="S27" s="160">
        <f>P27-O27</f>
        <v>0.23334137977050259</v>
      </c>
      <c r="T27" s="160">
        <f>Q27-P27</f>
        <v>2.1415119503514796E-2</v>
      </c>
      <c r="U27" s="160">
        <f>IF(N27="","",N27-Q27)</f>
        <v>8.483591133734425E-4</v>
      </c>
      <c r="V27" s="206">
        <f>IF(E27=0,      F27*($AP$17+$AQ$17*LN(1-(3.1/L27)^(1/$AR$17)*(1-EXP($AS$17/$AT$17)))),      ""    )</f>
        <v>18.725532921912404</v>
      </c>
      <c r="W27">
        <f>IF(V27&gt;$O$26,O27,0)</f>
        <v>0</v>
      </c>
      <c r="X27" s="160">
        <f t="shared" ref="X27:X58" si="10">P27-W27</f>
        <v>0.23334137977050259</v>
      </c>
      <c r="Y27" s="160">
        <f>Q27-P27</f>
        <v>2.1415119503514796E-2</v>
      </c>
      <c r="Z27" s="160">
        <f>IF(N27="","", N27-Q27)</f>
        <v>8.483591133734425E-4</v>
      </c>
      <c r="AA27">
        <f>IF(E27=0,$AY$9*F27^$AZ$9*L27^$BA$9,"")</f>
        <v>139.60773612148412</v>
      </c>
      <c r="AB27">
        <f>IF(E27=0,$AY$11*F27^$AZ$11*L27^$BA$11,"")</f>
        <v>23.481170524610544</v>
      </c>
      <c r="AC27">
        <f>IF(E27=0,$AY$12*F27^$AZ$12*(L27/F27)^$BA$12,"")</f>
        <v>20.993891502931202</v>
      </c>
      <c r="AD27">
        <f>IF(E27=0,$AY$13*F27^$AZ$13*(L27/F27)^$BA$13,"")</f>
        <v>14.779542952143634</v>
      </c>
      <c r="AE27">
        <f>SUM(AA27:AD27)</f>
        <v>198.86234110116951</v>
      </c>
      <c r="AF27">
        <f>AE27*0.2487</f>
        <v>49.457064231860855</v>
      </c>
      <c r="AG27">
        <f>AF27+AE27</f>
        <v>248.31940533303037</v>
      </c>
    </row>
    <row r="28" spans="1:46" ht="14.4" customHeight="1" x14ac:dyDescent="0.3">
      <c r="A28" s="63">
        <v>2</v>
      </c>
      <c r="B28" s="60">
        <v>272</v>
      </c>
      <c r="C28" s="60">
        <v>272</v>
      </c>
      <c r="D28" s="60"/>
      <c r="E28" s="61">
        <f t="shared" si="4"/>
        <v>0</v>
      </c>
      <c r="F28" s="62">
        <f t="shared" si="5"/>
        <v>27.2</v>
      </c>
      <c r="G28" s="78">
        <v>11</v>
      </c>
      <c r="H28" s="71" t="str">
        <f t="shared" ref="H28:H91" si="11">IF(AND(D28&lt;&gt;"",G28&lt;&gt;""),D28,"")</f>
        <v/>
      </c>
      <c r="I28" s="7">
        <f t="shared" ref="I28:I91" si="12">PI()*F28^2/40000</f>
        <v>5.8106897720796802E-2</v>
      </c>
      <c r="J28" s="7">
        <f t="shared" ref="J28:J91" si="13">IF(AND(F28&lt;&gt;0,G28&lt;&gt;""),F28,"")</f>
        <v>27.2</v>
      </c>
      <c r="K28" s="7">
        <f t="shared" si="6"/>
        <v>23.115173580911879</v>
      </c>
      <c r="L28">
        <f t="shared" ref="L28:L91" si="14">IF(D28="",K28,D28)</f>
        <v>23.115173580911879</v>
      </c>
      <c r="M28" s="201">
        <f t="shared" ref="M28:M91" si="15">IF(E28=0,$Z$9*(F28/100)^$AA$9*L28^$AB$9,"")</f>
        <v>0.56814020397528164</v>
      </c>
      <c r="N28" s="201">
        <f t="shared" ref="N28:N91" si="16">IF(E28=0,$AH$8*(F28/100)^$AI$8*L28^$AJ$8,          "")</f>
        <v>0.46012449653666443</v>
      </c>
      <c r="O28" s="160">
        <f t="shared" si="7"/>
        <v>0.1204293040719682</v>
      </c>
      <c r="P28" s="202">
        <f t="shared" si="8"/>
        <v>0.44197779400872361</v>
      </c>
      <c r="Q28" s="202">
        <f t="shared" si="9"/>
        <v>0.45944956894842898</v>
      </c>
      <c r="R28" s="160">
        <f t="shared" ref="R28:R91" si="17">O28</f>
        <v>0.1204293040719682</v>
      </c>
      <c r="S28" s="160">
        <f t="shared" ref="S28:S91" si="18">P28-O28</f>
        <v>0.32154848993675544</v>
      </c>
      <c r="T28" s="160">
        <f t="shared" ref="T28:T91" si="19">Q28-P28</f>
        <v>1.7471774939705365E-2</v>
      </c>
      <c r="U28" s="160">
        <f t="shared" ref="U28:U91" si="20">IF(N28="","",N28-Q28)</f>
        <v>6.7492758823545218E-4</v>
      </c>
      <c r="V28" s="206">
        <f t="shared" ref="V28:V91" si="21">IF(E28=0,      F28*($AP$17+$AQ$17*LN(1-(3.1/L28)^(1/$AR$17)*(1-EXP($AS$17/$AT$17)))),      ""    )</f>
        <v>23.308505876042577</v>
      </c>
      <c r="W28">
        <f t="shared" ref="W28:W91" si="22">IF(V28&gt;$O$26,O28,0)</f>
        <v>0</v>
      </c>
      <c r="X28" s="160">
        <f t="shared" si="10"/>
        <v>0.44197779400872361</v>
      </c>
      <c r="Y28" s="160">
        <f t="shared" ref="Y28:Y91" si="23">Q28-P28</f>
        <v>1.7471774939705365E-2</v>
      </c>
      <c r="Z28" s="160">
        <f t="shared" ref="Z28:Z91" si="24">IF(N28="","", N28-Q28)</f>
        <v>6.7492758823545218E-4</v>
      </c>
      <c r="AA28">
        <f t="shared" ref="AA28:AA91" si="25">IF(E28=0,$AY$9*F28^$AZ$9*L28^$BA$9,"")</f>
        <v>263.41647536246654</v>
      </c>
      <c r="AB28">
        <f t="shared" ref="AB28:AB91" si="26">IF(E28=0,$AY$11*F28^$AZ$11*L28^$BA$11,"")</f>
        <v>46.464293579836045</v>
      </c>
      <c r="AC28">
        <f t="shared" ref="AC28:AC91" si="27">IF(E28=0,$AY$12*F28^$AZ$12*(L28/F28)^$BA$12,"")</f>
        <v>27.733150789488594</v>
      </c>
      <c r="AD28">
        <f t="shared" ref="AD28:AD91" si="28">IF(E28=0,$AY$13*F28^$AZ$13*(L28/F28)^$BA$13,"")</f>
        <v>18.187935469512105</v>
      </c>
      <c r="AE28">
        <f t="shared" ref="AE28:AE91" si="29">SUM(AA28:AD28)</f>
        <v>355.80185520130334</v>
      </c>
      <c r="AF28">
        <f t="shared" ref="AF28:AF91" si="30">AE28*0.2487</f>
        <v>88.487921388564146</v>
      </c>
      <c r="AG28">
        <f t="shared" ref="AG28:AG91" si="31">AF28+AE28</f>
        <v>444.28977658986747</v>
      </c>
    </row>
    <row r="29" spans="1:46" x14ac:dyDescent="0.3">
      <c r="A29" s="15">
        <v>3</v>
      </c>
      <c r="B29" s="16">
        <v>212</v>
      </c>
      <c r="C29" s="16">
        <v>217</v>
      </c>
      <c r="D29" s="16">
        <v>22.5</v>
      </c>
      <c r="E29" s="4">
        <f t="shared" si="4"/>
        <v>0</v>
      </c>
      <c r="F29" s="7">
        <f t="shared" si="5"/>
        <v>21.45</v>
      </c>
      <c r="G29" s="79"/>
      <c r="H29" s="71" t="str">
        <f t="shared" si="11"/>
        <v/>
      </c>
      <c r="I29" s="7">
        <f t="shared" si="12"/>
        <v>3.6136365847457441E-2</v>
      </c>
      <c r="J29" s="7" t="str">
        <f t="shared" si="13"/>
        <v/>
      </c>
      <c r="K29" s="7">
        <f t="shared" si="6"/>
        <v>21.310433585593891</v>
      </c>
      <c r="L29">
        <f t="shared" si="14"/>
        <v>22.5</v>
      </c>
      <c r="M29" s="201">
        <f t="shared" si="15"/>
        <v>0.35833765261820488</v>
      </c>
      <c r="N29" s="201">
        <f t="shared" si="16"/>
        <v>0.29203665973355097</v>
      </c>
      <c r="O29" s="160">
        <f t="shared" si="7"/>
        <v>0</v>
      </c>
      <c r="P29" s="202">
        <f t="shared" si="8"/>
        <v>0.26037735363289238</v>
      </c>
      <c r="Q29" s="202">
        <f t="shared" si="9"/>
        <v>0.29081671104199275</v>
      </c>
      <c r="R29" s="160">
        <f t="shared" si="17"/>
        <v>0</v>
      </c>
      <c r="S29" s="160">
        <f t="shared" si="18"/>
        <v>0.26037735363289238</v>
      </c>
      <c r="T29" s="160">
        <f t="shared" si="19"/>
        <v>3.0439357409100365E-2</v>
      </c>
      <c r="U29" s="160">
        <f t="shared" si="20"/>
        <v>1.2199486915582258E-3</v>
      </c>
      <c r="V29" s="206">
        <f t="shared" si="21"/>
        <v>18.312233459151198</v>
      </c>
      <c r="W29">
        <f t="shared" si="22"/>
        <v>0</v>
      </c>
      <c r="X29" s="160">
        <f t="shared" si="10"/>
        <v>0.26037735363289238</v>
      </c>
      <c r="Y29" s="160">
        <f t="shared" si="23"/>
        <v>3.0439357409100365E-2</v>
      </c>
      <c r="Z29" s="160">
        <f t="shared" si="24"/>
        <v>1.2199486915582258E-3</v>
      </c>
      <c r="AA29">
        <f t="shared" si="25"/>
        <v>166.32554221006052</v>
      </c>
      <c r="AB29">
        <f t="shared" si="26"/>
        <v>25.644026519352838</v>
      </c>
      <c r="AC29">
        <f t="shared" si="27"/>
        <v>15.577334552310354</v>
      </c>
      <c r="AD29">
        <f t="shared" si="28"/>
        <v>11.595884106726119</v>
      </c>
      <c r="AE29">
        <f t="shared" si="29"/>
        <v>219.14278738844985</v>
      </c>
      <c r="AF29">
        <f t="shared" si="30"/>
        <v>54.500811223507476</v>
      </c>
      <c r="AG29">
        <f t="shared" si="31"/>
        <v>273.64359861195732</v>
      </c>
    </row>
    <row r="30" spans="1:46" ht="14.4" customHeight="1" x14ac:dyDescent="0.3">
      <c r="A30" s="15">
        <v>4</v>
      </c>
      <c r="B30" s="16">
        <v>216</v>
      </c>
      <c r="C30" s="16">
        <v>218</v>
      </c>
      <c r="D30" s="16"/>
      <c r="E30" s="4">
        <f t="shared" si="4"/>
        <v>0</v>
      </c>
      <c r="F30" s="7">
        <f t="shared" si="5"/>
        <v>21.7</v>
      </c>
      <c r="G30" s="79"/>
      <c r="H30" s="71" t="str">
        <f t="shared" si="11"/>
        <v/>
      </c>
      <c r="I30" s="7">
        <f t="shared" si="12"/>
        <v>3.6983614116222439E-2</v>
      </c>
      <c r="J30" s="7" t="str">
        <f t="shared" si="13"/>
        <v/>
      </c>
      <c r="K30" s="7">
        <f t="shared" si="6"/>
        <v>21.40505432606216</v>
      </c>
      <c r="L30">
        <f t="shared" si="14"/>
        <v>21.40505432606216</v>
      </c>
      <c r="M30" s="201">
        <f t="shared" si="15"/>
        <v>0.34694260475735827</v>
      </c>
      <c r="N30" s="201">
        <f t="shared" si="16"/>
        <v>0.28141998145980546</v>
      </c>
      <c r="O30" s="160">
        <f t="shared" si="7"/>
        <v>0</v>
      </c>
      <c r="P30" s="202">
        <f t="shared" si="8"/>
        <v>0.25235084298305122</v>
      </c>
      <c r="Q30" s="202">
        <f t="shared" si="9"/>
        <v>0.28030286417302985</v>
      </c>
      <c r="R30" s="160">
        <f t="shared" si="17"/>
        <v>0</v>
      </c>
      <c r="S30" s="160">
        <f t="shared" si="18"/>
        <v>0.25235084298305122</v>
      </c>
      <c r="T30" s="160">
        <f t="shared" si="19"/>
        <v>2.7952021189978637E-2</v>
      </c>
      <c r="U30" s="160">
        <f t="shared" si="20"/>
        <v>1.1171172867756041E-3</v>
      </c>
      <c r="V30" s="206">
        <f t="shared" si="21"/>
        <v>18.393369099328687</v>
      </c>
      <c r="W30">
        <f t="shared" si="22"/>
        <v>0</v>
      </c>
      <c r="X30" s="160">
        <f t="shared" si="10"/>
        <v>0.25235084298305122</v>
      </c>
      <c r="Y30" s="160">
        <f t="shared" si="23"/>
        <v>2.7952021189978637E-2</v>
      </c>
      <c r="Z30" s="160">
        <f t="shared" si="24"/>
        <v>1.1171172867756041E-3</v>
      </c>
      <c r="AA30">
        <f t="shared" si="25"/>
        <v>158.57860790277593</v>
      </c>
      <c r="AB30">
        <f t="shared" si="26"/>
        <v>24.971994282299111</v>
      </c>
      <c r="AC30">
        <f t="shared" si="27"/>
        <v>16.735321171496633</v>
      </c>
      <c r="AD30">
        <f t="shared" si="28"/>
        <v>12.293544598606896</v>
      </c>
      <c r="AE30">
        <f t="shared" si="29"/>
        <v>212.57946795517856</v>
      </c>
      <c r="AF30">
        <f t="shared" si="30"/>
        <v>52.868513680452907</v>
      </c>
      <c r="AG30">
        <f t="shared" si="31"/>
        <v>265.44798163563144</v>
      </c>
    </row>
    <row r="31" spans="1:46" x14ac:dyDescent="0.3">
      <c r="A31" s="15">
        <v>5</v>
      </c>
      <c r="B31" s="16">
        <v>267</v>
      </c>
      <c r="C31" s="16">
        <v>249</v>
      </c>
      <c r="D31" s="16"/>
      <c r="E31" s="4">
        <f t="shared" si="4"/>
        <v>0</v>
      </c>
      <c r="F31" s="7">
        <f t="shared" si="5"/>
        <v>25.8</v>
      </c>
      <c r="G31" s="79"/>
      <c r="H31" s="71" t="str">
        <f t="shared" si="11"/>
        <v/>
      </c>
      <c r="I31" s="7">
        <f t="shared" si="12"/>
        <v>5.2279243348387752E-2</v>
      </c>
      <c r="J31" s="7" t="str">
        <f t="shared" si="13"/>
        <v/>
      </c>
      <c r="K31" s="7">
        <f t="shared" si="6"/>
        <v>22.737908283018246</v>
      </c>
      <c r="L31">
        <f t="shared" si="14"/>
        <v>22.737908283018246</v>
      </c>
      <c r="M31" s="201">
        <f t="shared" si="15"/>
        <v>0.50706026437195495</v>
      </c>
      <c r="N31" s="201">
        <f t="shared" si="16"/>
        <v>0.41086093054547335</v>
      </c>
      <c r="O31" s="160">
        <f t="shared" si="7"/>
        <v>7.5628417338828149E-2</v>
      </c>
      <c r="P31" s="202">
        <f t="shared" si="8"/>
        <v>0.39050909614366125</v>
      </c>
      <c r="Q31" s="202">
        <f t="shared" si="9"/>
        <v>0.41010015537835709</v>
      </c>
      <c r="R31" s="160">
        <f t="shared" si="17"/>
        <v>7.5628417338828149E-2</v>
      </c>
      <c r="S31" s="160">
        <f t="shared" si="18"/>
        <v>0.31488067880483311</v>
      </c>
      <c r="T31" s="160">
        <f t="shared" si="19"/>
        <v>1.959105923469584E-2</v>
      </c>
      <c r="U31" s="160">
        <f t="shared" si="20"/>
        <v>7.6077516711625659E-4</v>
      </c>
      <c r="V31" s="206">
        <f t="shared" si="21"/>
        <v>22.058404684222534</v>
      </c>
      <c r="W31">
        <f t="shared" si="22"/>
        <v>0</v>
      </c>
      <c r="X31" s="160">
        <f t="shared" si="10"/>
        <v>0.39050909614366125</v>
      </c>
      <c r="Y31" s="160">
        <f t="shared" si="23"/>
        <v>1.959105923469584E-2</v>
      </c>
      <c r="Z31" s="160">
        <f t="shared" si="24"/>
        <v>7.6077516711625659E-4</v>
      </c>
      <c r="AA31">
        <f t="shared" si="25"/>
        <v>234.41999341856422</v>
      </c>
      <c r="AB31">
        <f t="shared" si="26"/>
        <v>40.249294056261995</v>
      </c>
      <c r="AC31">
        <f t="shared" si="27"/>
        <v>24.610677349818982</v>
      </c>
      <c r="AD31">
        <f t="shared" si="28"/>
        <v>16.577607986541924</v>
      </c>
      <c r="AE31">
        <f t="shared" si="29"/>
        <v>315.85757281118708</v>
      </c>
      <c r="AF31">
        <f t="shared" si="30"/>
        <v>78.553778358142225</v>
      </c>
      <c r="AG31">
        <f t="shared" si="31"/>
        <v>394.41135116932929</v>
      </c>
    </row>
    <row r="32" spans="1:46" x14ac:dyDescent="0.3">
      <c r="A32" s="63">
        <v>6</v>
      </c>
      <c r="B32" s="60">
        <v>272</v>
      </c>
      <c r="C32" s="60">
        <v>265</v>
      </c>
      <c r="D32" s="60"/>
      <c r="E32" s="61">
        <f t="shared" si="4"/>
        <v>0</v>
      </c>
      <c r="F32" s="62">
        <f t="shared" si="5"/>
        <v>26.85</v>
      </c>
      <c r="G32" s="78">
        <v>16</v>
      </c>
      <c r="H32" s="71" t="str">
        <f t="shared" si="11"/>
        <v/>
      </c>
      <c r="I32" s="7">
        <f t="shared" si="12"/>
        <v>5.6621120745189706E-2</v>
      </c>
      <c r="J32" s="7">
        <f t="shared" si="13"/>
        <v>26.85</v>
      </c>
      <c r="K32" s="7">
        <f t="shared" si="6"/>
        <v>23.023978251914489</v>
      </c>
      <c r="L32">
        <f t="shared" si="14"/>
        <v>23.023978251914489</v>
      </c>
      <c r="M32" s="201">
        <f t="shared" si="15"/>
        <v>0.55256872981080662</v>
      </c>
      <c r="N32" s="201">
        <f t="shared" si="16"/>
        <v>0.44757099264021477</v>
      </c>
      <c r="O32" s="160">
        <f t="shared" si="7"/>
        <v>0.10826350846457268</v>
      </c>
      <c r="P32" s="202">
        <f t="shared" si="8"/>
        <v>0.42890321619322208</v>
      </c>
      <c r="Q32" s="202">
        <f t="shared" si="9"/>
        <v>0.4468758985038544</v>
      </c>
      <c r="R32" s="160">
        <f t="shared" si="17"/>
        <v>0.10826350846457268</v>
      </c>
      <c r="S32" s="160">
        <f t="shared" si="18"/>
        <v>0.32063970772864941</v>
      </c>
      <c r="T32" s="160">
        <f t="shared" si="19"/>
        <v>1.7972682310632315E-2</v>
      </c>
      <c r="U32" s="160">
        <f t="shared" si="20"/>
        <v>6.9509413636037465E-4</v>
      </c>
      <c r="V32" s="206">
        <f t="shared" si="21"/>
        <v>22.996032348078081</v>
      </c>
      <c r="W32">
        <f t="shared" si="22"/>
        <v>0</v>
      </c>
      <c r="X32" s="160">
        <f t="shared" si="10"/>
        <v>0.42890321619322208</v>
      </c>
      <c r="Y32" s="160">
        <f t="shared" si="23"/>
        <v>1.7972682310632315E-2</v>
      </c>
      <c r="Z32" s="160">
        <f t="shared" si="24"/>
        <v>6.9509413636037465E-4</v>
      </c>
      <c r="AA32">
        <f t="shared" si="25"/>
        <v>256.02194322215468</v>
      </c>
      <c r="AB32">
        <f t="shared" si="26"/>
        <v>44.861419447694672</v>
      </c>
      <c r="AC32">
        <f t="shared" si="27"/>
        <v>26.931183278376999</v>
      </c>
      <c r="AD32">
        <f t="shared" si="28"/>
        <v>17.778329350755829</v>
      </c>
      <c r="AE32">
        <f t="shared" si="29"/>
        <v>345.59287529898216</v>
      </c>
      <c r="AF32">
        <f t="shared" si="30"/>
        <v>85.948948086856859</v>
      </c>
      <c r="AG32">
        <f t="shared" si="31"/>
        <v>431.54182338583905</v>
      </c>
    </row>
    <row r="33" spans="1:33" x14ac:dyDescent="0.3">
      <c r="A33" s="15">
        <v>7</v>
      </c>
      <c r="B33" s="16">
        <v>254</v>
      </c>
      <c r="C33" s="16">
        <v>241</v>
      </c>
      <c r="D33" s="16"/>
      <c r="E33" s="4">
        <f t="shared" si="4"/>
        <v>0</v>
      </c>
      <c r="F33" s="7">
        <f t="shared" si="5"/>
        <v>24.75</v>
      </c>
      <c r="G33" s="79"/>
      <c r="H33" s="71" t="str">
        <f t="shared" si="11"/>
        <v/>
      </c>
      <c r="I33" s="7">
        <f t="shared" si="12"/>
        <v>4.8110546246614941E-2</v>
      </c>
      <c r="J33" s="7" t="str">
        <f t="shared" si="13"/>
        <v/>
      </c>
      <c r="K33" s="7">
        <f t="shared" si="6"/>
        <v>22.431583847163566</v>
      </c>
      <c r="L33">
        <f t="shared" si="14"/>
        <v>22.431583847163566</v>
      </c>
      <c r="M33" s="201">
        <f t="shared" si="15"/>
        <v>0.463372382138385</v>
      </c>
      <c r="N33" s="201">
        <f t="shared" si="16"/>
        <v>0.37558777259750781</v>
      </c>
      <c r="O33" s="160">
        <f t="shared" si="7"/>
        <v>0</v>
      </c>
      <c r="P33" s="202">
        <f t="shared" si="8"/>
        <v>0.35335250185937128</v>
      </c>
      <c r="Q33" s="202">
        <f t="shared" si="9"/>
        <v>0.37475252863951369</v>
      </c>
      <c r="R33" s="160">
        <f t="shared" si="17"/>
        <v>0</v>
      </c>
      <c r="S33" s="160">
        <f t="shared" si="18"/>
        <v>0.35335250185937128</v>
      </c>
      <c r="T33" s="160">
        <f t="shared" si="19"/>
        <v>2.1400026780142412E-2</v>
      </c>
      <c r="U33" s="160">
        <f t="shared" si="20"/>
        <v>8.3524395799411399E-4</v>
      </c>
      <c r="V33" s="206">
        <f t="shared" si="21"/>
        <v>21.120432331187004</v>
      </c>
      <c r="W33">
        <f t="shared" si="22"/>
        <v>0</v>
      </c>
      <c r="X33" s="160">
        <f t="shared" si="10"/>
        <v>0.35335250185937128</v>
      </c>
      <c r="Y33" s="160">
        <f t="shared" si="23"/>
        <v>2.1400026780142412E-2</v>
      </c>
      <c r="Z33" s="160">
        <f t="shared" si="24"/>
        <v>8.3524395799411399E-4</v>
      </c>
      <c r="AA33">
        <f t="shared" si="25"/>
        <v>213.69744024181381</v>
      </c>
      <c r="AB33">
        <f t="shared" si="26"/>
        <v>35.927800093096266</v>
      </c>
      <c r="AC33">
        <f t="shared" si="27"/>
        <v>22.416384740416529</v>
      </c>
      <c r="AD33">
        <f t="shared" si="28"/>
        <v>15.419070849768184</v>
      </c>
      <c r="AE33">
        <f t="shared" si="29"/>
        <v>287.46069592509474</v>
      </c>
      <c r="AF33">
        <f t="shared" si="30"/>
        <v>71.491475076571064</v>
      </c>
      <c r="AG33">
        <f t="shared" si="31"/>
        <v>358.95217100166582</v>
      </c>
    </row>
    <row r="34" spans="1:33" x14ac:dyDescent="0.3">
      <c r="A34" s="15">
        <v>8</v>
      </c>
      <c r="B34" s="16">
        <v>262</v>
      </c>
      <c r="C34" s="16">
        <v>267</v>
      </c>
      <c r="D34" s="16">
        <v>23</v>
      </c>
      <c r="E34" s="4">
        <f t="shared" si="4"/>
        <v>0</v>
      </c>
      <c r="F34" s="7">
        <f t="shared" si="5"/>
        <v>26.45</v>
      </c>
      <c r="G34" s="79"/>
      <c r="H34" s="71" t="str">
        <f t="shared" si="11"/>
        <v/>
      </c>
      <c r="I34" s="7">
        <f t="shared" si="12"/>
        <v>5.4946651860826333E-2</v>
      </c>
      <c r="J34" s="7" t="str">
        <f t="shared" si="13"/>
        <v/>
      </c>
      <c r="K34" s="7">
        <f t="shared" si="6"/>
        <v>22.917259524250685</v>
      </c>
      <c r="L34">
        <f t="shared" si="14"/>
        <v>23</v>
      </c>
      <c r="M34" s="201">
        <f t="shared" si="15"/>
        <v>0.53708614716677139</v>
      </c>
      <c r="N34" s="201">
        <f t="shared" si="16"/>
        <v>0.43522776142818442</v>
      </c>
      <c r="O34" s="160">
        <f t="shared" si="7"/>
        <v>9.5528208895455102E-2</v>
      </c>
      <c r="P34" s="202">
        <f t="shared" si="8"/>
        <v>0.41585989317419525</v>
      </c>
      <c r="Q34" s="202">
        <f t="shared" si="9"/>
        <v>0.43450559289349572</v>
      </c>
      <c r="R34" s="160">
        <f t="shared" si="17"/>
        <v>9.5528208895455102E-2</v>
      </c>
      <c r="S34" s="160">
        <f t="shared" si="18"/>
        <v>0.32033168427874015</v>
      </c>
      <c r="T34" s="160">
        <f t="shared" si="19"/>
        <v>1.8645699719300468E-2</v>
      </c>
      <c r="U34" s="160">
        <f t="shared" si="20"/>
        <v>7.2216853468870523E-4</v>
      </c>
      <c r="V34" s="206">
        <f t="shared" si="21"/>
        <v>22.650183551008034</v>
      </c>
      <c r="W34">
        <f t="shared" si="22"/>
        <v>0</v>
      </c>
      <c r="X34" s="160">
        <f t="shared" si="10"/>
        <v>0.41585989317419525</v>
      </c>
      <c r="Y34" s="160">
        <f t="shared" si="23"/>
        <v>1.8645699719300468E-2</v>
      </c>
      <c r="Z34" s="160">
        <f t="shared" si="24"/>
        <v>7.2216853468870523E-4</v>
      </c>
      <c r="AA34">
        <f t="shared" si="25"/>
        <v>248.91511626428345</v>
      </c>
      <c r="AB34">
        <f t="shared" si="26"/>
        <v>43.238552100889621</v>
      </c>
      <c r="AC34">
        <f t="shared" si="27"/>
        <v>25.95245343503678</v>
      </c>
      <c r="AD34">
        <f t="shared" si="28"/>
        <v>17.271559246951927</v>
      </c>
      <c r="AE34">
        <f t="shared" si="29"/>
        <v>335.37768104716179</v>
      </c>
      <c r="AF34">
        <f t="shared" si="30"/>
        <v>83.408429276429132</v>
      </c>
      <c r="AG34">
        <f t="shared" si="31"/>
        <v>418.78611032359095</v>
      </c>
    </row>
    <row r="35" spans="1:33" x14ac:dyDescent="0.3">
      <c r="A35" s="15">
        <v>9</v>
      </c>
      <c r="B35" s="16">
        <v>145</v>
      </c>
      <c r="C35" s="16">
        <v>141</v>
      </c>
      <c r="D35" s="16">
        <v>15.5</v>
      </c>
      <c r="E35" s="4">
        <f t="shared" si="4"/>
        <v>0</v>
      </c>
      <c r="F35" s="7">
        <f t="shared" si="5"/>
        <v>14.3</v>
      </c>
      <c r="G35" s="79"/>
      <c r="H35" s="71" t="str">
        <f t="shared" si="11"/>
        <v/>
      </c>
      <c r="I35" s="7">
        <f t="shared" si="12"/>
        <v>1.6060607043314419E-2</v>
      </c>
      <c r="J35" s="7" t="str">
        <f t="shared" si="13"/>
        <v/>
      </c>
      <c r="K35" s="7">
        <f t="shared" si="6"/>
        <v>17.582822274351898</v>
      </c>
      <c r="L35">
        <f t="shared" si="14"/>
        <v>15.5</v>
      </c>
      <c r="M35" s="201">
        <f t="shared" si="15"/>
        <v>0.11501007918837794</v>
      </c>
      <c r="N35" s="201">
        <f t="shared" si="16"/>
        <v>9.2112798829801584E-2</v>
      </c>
      <c r="O35" s="160">
        <f t="shared" si="7"/>
        <v>0</v>
      </c>
      <c r="P35" s="202">
        <f t="shared" si="8"/>
        <v>4.635586867502834E-2</v>
      </c>
      <c r="Q35" s="202">
        <f t="shared" si="9"/>
        <v>8.9833993319618166E-2</v>
      </c>
      <c r="R35" s="160">
        <f t="shared" si="17"/>
        <v>0</v>
      </c>
      <c r="S35" s="160">
        <f t="shared" si="18"/>
        <v>4.635586867502834E-2</v>
      </c>
      <c r="T35" s="160">
        <f t="shared" si="19"/>
        <v>4.3478124644589826E-2</v>
      </c>
      <c r="U35" s="160">
        <f t="shared" si="20"/>
        <v>2.2788055101834181E-3</v>
      </c>
      <c r="V35" s="206">
        <f t="shared" si="21"/>
        <v>11.477659291449729</v>
      </c>
      <c r="W35">
        <f t="shared" si="22"/>
        <v>0</v>
      </c>
      <c r="X35" s="160">
        <f t="shared" si="10"/>
        <v>4.635586867502834E-2</v>
      </c>
      <c r="Y35" s="160">
        <f t="shared" si="23"/>
        <v>4.3478124644589826E-2</v>
      </c>
      <c r="Z35" s="160">
        <f t="shared" si="24"/>
        <v>2.2788055101834181E-3</v>
      </c>
      <c r="AA35">
        <f t="shared" si="25"/>
        <v>48.502249861626503</v>
      </c>
      <c r="AB35">
        <f t="shared" si="26"/>
        <v>6.5219170559846802</v>
      </c>
      <c r="AC35">
        <f t="shared" si="27"/>
        <v>7.6822179326542805</v>
      </c>
      <c r="AD35">
        <f t="shared" si="28"/>
        <v>6.7854411319367767</v>
      </c>
      <c r="AE35">
        <f t="shared" si="29"/>
        <v>69.491825982202243</v>
      </c>
      <c r="AF35">
        <f t="shared" si="30"/>
        <v>17.282617121773697</v>
      </c>
      <c r="AG35">
        <f t="shared" si="31"/>
        <v>86.774443103975941</v>
      </c>
    </row>
    <row r="36" spans="1:33" x14ac:dyDescent="0.3">
      <c r="A36" s="15">
        <v>10</v>
      </c>
      <c r="B36" s="16"/>
      <c r="C36" s="16"/>
      <c r="D36" s="16"/>
      <c r="E36" s="4">
        <f t="shared" si="4"/>
        <v>1</v>
      </c>
      <c r="F36" s="7">
        <f t="shared" si="5"/>
        <v>0</v>
      </c>
      <c r="G36" s="79"/>
      <c r="H36" s="71" t="str">
        <f t="shared" si="11"/>
        <v/>
      </c>
      <c r="I36" s="7">
        <f t="shared" si="12"/>
        <v>0</v>
      </c>
      <c r="J36" s="7" t="str">
        <f t="shared" si="13"/>
        <v/>
      </c>
      <c r="K36" s="7" t="str">
        <f t="shared" si="6"/>
        <v/>
      </c>
      <c r="L36" t="str">
        <f t="shared" si="14"/>
        <v/>
      </c>
      <c r="M36" s="201" t="str">
        <f t="shared" si="15"/>
        <v/>
      </c>
      <c r="N36" s="201" t="str">
        <f t="shared" si="16"/>
        <v/>
      </c>
      <c r="O36" s="160">
        <f t="shared" si="7"/>
        <v>0</v>
      </c>
      <c r="P36" s="202">
        <f t="shared" si="8"/>
        <v>0</v>
      </c>
      <c r="Q36" s="202">
        <f t="shared" si="9"/>
        <v>0</v>
      </c>
      <c r="R36" s="160">
        <f t="shared" si="17"/>
        <v>0</v>
      </c>
      <c r="S36" s="160">
        <f t="shared" si="18"/>
        <v>0</v>
      </c>
      <c r="T36" s="160">
        <f t="shared" si="19"/>
        <v>0</v>
      </c>
      <c r="U36" s="160" t="str">
        <f t="shared" si="20"/>
        <v/>
      </c>
      <c r="V36" s="206" t="str">
        <f t="shared" si="21"/>
        <v/>
      </c>
      <c r="W36">
        <f t="shared" si="22"/>
        <v>0</v>
      </c>
      <c r="X36" s="160">
        <f t="shared" si="10"/>
        <v>0</v>
      </c>
      <c r="Y36" s="160">
        <f t="shared" si="23"/>
        <v>0</v>
      </c>
      <c r="Z36" s="160" t="str">
        <f t="shared" si="24"/>
        <v/>
      </c>
      <c r="AA36" t="str">
        <f t="shared" si="25"/>
        <v/>
      </c>
      <c r="AB36" t="str">
        <f t="shared" si="26"/>
        <v/>
      </c>
      <c r="AC36" t="str">
        <f t="shared" si="27"/>
        <v/>
      </c>
      <c r="AD36" t="str">
        <f t="shared" si="28"/>
        <v/>
      </c>
      <c r="AE36">
        <f t="shared" si="29"/>
        <v>0</v>
      </c>
      <c r="AF36">
        <f t="shared" si="30"/>
        <v>0</v>
      </c>
      <c r="AG36">
        <f t="shared" si="31"/>
        <v>0</v>
      </c>
    </row>
    <row r="37" spans="1:33" x14ac:dyDescent="0.3">
      <c r="A37" s="63">
        <v>11</v>
      </c>
      <c r="B37" s="60">
        <v>295</v>
      </c>
      <c r="C37" s="60">
        <v>293</v>
      </c>
      <c r="D37" s="60">
        <v>23.5</v>
      </c>
      <c r="E37" s="61">
        <f t="shared" si="4"/>
        <v>0</v>
      </c>
      <c r="F37" s="62">
        <f t="shared" si="5"/>
        <v>29.4</v>
      </c>
      <c r="G37" s="78">
        <v>2</v>
      </c>
      <c r="H37" s="71">
        <f t="shared" si="11"/>
        <v>23.5</v>
      </c>
      <c r="I37" s="7">
        <f t="shared" si="12"/>
        <v>6.7886675651421827E-2</v>
      </c>
      <c r="J37" s="7">
        <f t="shared" si="13"/>
        <v>29.4</v>
      </c>
      <c r="K37" s="7">
        <f t="shared" si="6"/>
        <v>23.645714967459359</v>
      </c>
      <c r="L37">
        <f t="shared" si="14"/>
        <v>23.5</v>
      </c>
      <c r="M37" s="201">
        <f t="shared" si="15"/>
        <v>0.66615710135844031</v>
      </c>
      <c r="N37" s="201">
        <f t="shared" si="16"/>
        <v>0.53875475077311796</v>
      </c>
      <c r="O37" s="160">
        <f t="shared" si="7"/>
        <v>0.20814225156495897</v>
      </c>
      <c r="P37" s="202">
        <f t="shared" si="8"/>
        <v>0.52359158622779511</v>
      </c>
      <c r="Q37" s="202">
        <f t="shared" si="9"/>
        <v>0.53819393759505962</v>
      </c>
      <c r="R37" s="160">
        <f t="shared" si="17"/>
        <v>0.20814225156495897</v>
      </c>
      <c r="S37" s="160">
        <f t="shared" si="18"/>
        <v>0.31544933466283614</v>
      </c>
      <c r="T37" s="160">
        <f t="shared" si="19"/>
        <v>1.460235136726451E-2</v>
      </c>
      <c r="U37" s="160">
        <f t="shared" si="20"/>
        <v>5.6081317805833919E-4</v>
      </c>
      <c r="V37" s="206">
        <f t="shared" si="21"/>
        <v>25.250756802144462</v>
      </c>
      <c r="W37">
        <f t="shared" si="22"/>
        <v>0.20814225156495897</v>
      </c>
      <c r="X37" s="160">
        <f t="shared" si="10"/>
        <v>0.31544933466283614</v>
      </c>
      <c r="Y37" s="160">
        <f t="shared" si="23"/>
        <v>1.460235136726451E-2</v>
      </c>
      <c r="Z37" s="160">
        <f t="shared" si="24"/>
        <v>5.6081317805833919E-4</v>
      </c>
      <c r="AA37">
        <f t="shared" si="25"/>
        <v>309.46045647241147</v>
      </c>
      <c r="AB37">
        <f t="shared" si="26"/>
        <v>56.921244504273503</v>
      </c>
      <c r="AC37">
        <f t="shared" si="27"/>
        <v>33.281458054645086</v>
      </c>
      <c r="AD37">
        <f t="shared" si="28"/>
        <v>20.961763171890581</v>
      </c>
      <c r="AE37">
        <f t="shared" si="29"/>
        <v>420.62492220322065</v>
      </c>
      <c r="AF37">
        <f t="shared" si="30"/>
        <v>104.60941815194097</v>
      </c>
      <c r="AG37">
        <f t="shared" si="31"/>
        <v>525.23434035516163</v>
      </c>
    </row>
    <row r="38" spans="1:33" x14ac:dyDescent="0.3">
      <c r="A38" s="15">
        <v>12</v>
      </c>
      <c r="B38" s="16">
        <v>223</v>
      </c>
      <c r="C38" s="16">
        <v>220</v>
      </c>
      <c r="D38" s="16"/>
      <c r="E38" s="4">
        <f t="shared" si="4"/>
        <v>0</v>
      </c>
      <c r="F38" s="7">
        <f t="shared" si="5"/>
        <v>22.15</v>
      </c>
      <c r="G38" s="79"/>
      <c r="H38" s="71" t="str">
        <f t="shared" si="11"/>
        <v/>
      </c>
      <c r="I38" s="7">
        <f t="shared" si="12"/>
        <v>3.8533401042146455E-2</v>
      </c>
      <c r="J38" s="7" t="str">
        <f t="shared" si="13"/>
        <v/>
      </c>
      <c r="K38" s="7">
        <f t="shared" si="6"/>
        <v>21.570994706156029</v>
      </c>
      <c r="L38">
        <f t="shared" si="14"/>
        <v>21.570994706156029</v>
      </c>
      <c r="M38" s="201">
        <f t="shared" si="15"/>
        <v>0.36313047587342567</v>
      </c>
      <c r="N38" s="201">
        <f t="shared" si="16"/>
        <v>0.29452765045389884</v>
      </c>
      <c r="O38" s="160">
        <f t="shared" si="7"/>
        <v>0</v>
      </c>
      <c r="P38" s="202">
        <f t="shared" si="8"/>
        <v>0.26660962966946866</v>
      </c>
      <c r="Q38" s="202">
        <f t="shared" si="9"/>
        <v>0.29345955112414224</v>
      </c>
      <c r="R38" s="160">
        <f t="shared" si="17"/>
        <v>0</v>
      </c>
      <c r="S38" s="160">
        <f t="shared" si="18"/>
        <v>0.26660962966946866</v>
      </c>
      <c r="T38" s="160">
        <f t="shared" si="19"/>
        <v>2.6849921454673575E-2</v>
      </c>
      <c r="U38" s="160">
        <f t="shared" si="20"/>
        <v>1.0680993297565999E-3</v>
      </c>
      <c r="V38" s="206">
        <f t="shared" si="21"/>
        <v>18.795997305939753</v>
      </c>
      <c r="W38">
        <f t="shared" si="22"/>
        <v>0</v>
      </c>
      <c r="X38" s="160">
        <f t="shared" si="10"/>
        <v>0.26660962966946866</v>
      </c>
      <c r="Y38" s="160">
        <f t="shared" si="23"/>
        <v>2.6849921454673575E-2</v>
      </c>
      <c r="Z38" s="160">
        <f t="shared" si="24"/>
        <v>1.0680993297565999E-3</v>
      </c>
      <c r="AA38">
        <f t="shared" si="25"/>
        <v>166.2298769394601</v>
      </c>
      <c r="AB38">
        <f t="shared" si="26"/>
        <v>26.442513390093026</v>
      </c>
      <c r="AC38">
        <f t="shared" si="27"/>
        <v>17.510239920897703</v>
      </c>
      <c r="AD38">
        <f t="shared" si="28"/>
        <v>12.732218887601237</v>
      </c>
      <c r="AE38">
        <f t="shared" si="29"/>
        <v>222.91484913805209</v>
      </c>
      <c r="AF38">
        <f t="shared" si="30"/>
        <v>55.438922980633556</v>
      </c>
      <c r="AG38">
        <f t="shared" si="31"/>
        <v>278.35377211868564</v>
      </c>
    </row>
    <row r="39" spans="1:33" x14ac:dyDescent="0.3">
      <c r="A39" s="15">
        <v>13</v>
      </c>
      <c r="B39" s="16">
        <v>205</v>
      </c>
      <c r="C39" s="16">
        <v>205</v>
      </c>
      <c r="D39" s="16"/>
      <c r="E39" s="4">
        <f t="shared" si="4"/>
        <v>0</v>
      </c>
      <c r="F39" s="7">
        <f t="shared" si="5"/>
        <v>20.5</v>
      </c>
      <c r="G39" s="79"/>
      <c r="H39" s="71" t="str">
        <f t="shared" si="11"/>
        <v/>
      </c>
      <c r="I39" s="7">
        <f t="shared" si="12"/>
        <v>3.3006357816777764E-2</v>
      </c>
      <c r="J39" s="7" t="str">
        <f t="shared" si="13"/>
        <v/>
      </c>
      <c r="K39" s="7">
        <f t="shared" si="6"/>
        <v>20.934033689032432</v>
      </c>
      <c r="L39">
        <f t="shared" si="14"/>
        <v>20.934033689032432</v>
      </c>
      <c r="M39" s="201">
        <f t="shared" si="15"/>
        <v>0.30547271701857082</v>
      </c>
      <c r="N39" s="201">
        <f t="shared" si="16"/>
        <v>0.24781754800909539</v>
      </c>
      <c r="O39" s="160">
        <f t="shared" si="7"/>
        <v>0</v>
      </c>
      <c r="P39" s="202">
        <f t="shared" si="8"/>
        <v>0.21541277653807694</v>
      </c>
      <c r="Q39" s="202">
        <f t="shared" si="9"/>
        <v>0.24655384706654504</v>
      </c>
      <c r="R39" s="160">
        <f t="shared" si="17"/>
        <v>0</v>
      </c>
      <c r="S39" s="160">
        <f t="shared" si="18"/>
        <v>0.21541277653807694</v>
      </c>
      <c r="T39" s="160">
        <f t="shared" si="19"/>
        <v>3.1141070528468096E-2</v>
      </c>
      <c r="U39" s="160">
        <f t="shared" si="20"/>
        <v>1.2637009425503498E-3</v>
      </c>
      <c r="V39" s="206">
        <f t="shared" si="21"/>
        <v>17.319119876270662</v>
      </c>
      <c r="W39">
        <f t="shared" si="22"/>
        <v>0</v>
      </c>
      <c r="X39" s="160">
        <f t="shared" si="10"/>
        <v>0.21541277653807694</v>
      </c>
      <c r="Y39" s="160">
        <f t="shared" si="23"/>
        <v>3.1141070528468096E-2</v>
      </c>
      <c r="Z39" s="160">
        <f t="shared" si="24"/>
        <v>1.2637009425503498E-3</v>
      </c>
      <c r="AA39">
        <f t="shared" si="25"/>
        <v>139.00218255640212</v>
      </c>
      <c r="AB39">
        <f t="shared" si="26"/>
        <v>21.290287696422553</v>
      </c>
      <c r="AC39">
        <f t="shared" si="27"/>
        <v>14.772813594977364</v>
      </c>
      <c r="AD39">
        <f t="shared" si="28"/>
        <v>11.161854291727275</v>
      </c>
      <c r="AE39">
        <f t="shared" si="29"/>
        <v>186.22713813952933</v>
      </c>
      <c r="AF39">
        <f t="shared" si="30"/>
        <v>46.314689255300948</v>
      </c>
      <c r="AG39">
        <f t="shared" si="31"/>
        <v>232.54182739483028</v>
      </c>
    </row>
    <row r="40" spans="1:33" x14ac:dyDescent="0.3">
      <c r="A40" s="15">
        <v>14</v>
      </c>
      <c r="B40" s="16"/>
      <c r="C40" s="16"/>
      <c r="D40" s="16"/>
      <c r="E40" s="4">
        <f t="shared" si="4"/>
        <v>1</v>
      </c>
      <c r="F40" s="7">
        <f t="shared" si="5"/>
        <v>0</v>
      </c>
      <c r="G40" s="79"/>
      <c r="H40" s="71" t="str">
        <f t="shared" si="11"/>
        <v/>
      </c>
      <c r="I40" s="7">
        <f t="shared" si="12"/>
        <v>0</v>
      </c>
      <c r="J40" s="7" t="str">
        <f t="shared" si="13"/>
        <v/>
      </c>
      <c r="K40" s="7" t="str">
        <f t="shared" si="6"/>
        <v/>
      </c>
      <c r="L40" t="str">
        <f t="shared" si="14"/>
        <v/>
      </c>
      <c r="M40" s="201" t="str">
        <f t="shared" si="15"/>
        <v/>
      </c>
      <c r="N40" s="201" t="str">
        <f t="shared" si="16"/>
        <v/>
      </c>
      <c r="O40" s="160">
        <f t="shared" si="7"/>
        <v>0</v>
      </c>
      <c r="P40" s="202">
        <f t="shared" si="8"/>
        <v>0</v>
      </c>
      <c r="Q40" s="202">
        <f t="shared" si="9"/>
        <v>0</v>
      </c>
      <c r="R40" s="160">
        <f t="shared" si="17"/>
        <v>0</v>
      </c>
      <c r="S40" s="160">
        <f t="shared" si="18"/>
        <v>0</v>
      </c>
      <c r="T40" s="160">
        <f t="shared" si="19"/>
        <v>0</v>
      </c>
      <c r="U40" s="160" t="str">
        <f t="shared" si="20"/>
        <v/>
      </c>
      <c r="V40" s="206" t="str">
        <f t="shared" si="21"/>
        <v/>
      </c>
      <c r="W40">
        <f t="shared" si="22"/>
        <v>0</v>
      </c>
      <c r="X40" s="160">
        <f t="shared" si="10"/>
        <v>0</v>
      </c>
      <c r="Y40" s="160">
        <f t="shared" si="23"/>
        <v>0</v>
      </c>
      <c r="Z40" s="160" t="str">
        <f t="shared" si="24"/>
        <v/>
      </c>
      <c r="AA40" t="str">
        <f t="shared" si="25"/>
        <v/>
      </c>
      <c r="AB40" t="str">
        <f t="shared" si="26"/>
        <v/>
      </c>
      <c r="AC40" t="str">
        <f t="shared" si="27"/>
        <v/>
      </c>
      <c r="AD40" t="str">
        <f t="shared" si="28"/>
        <v/>
      </c>
      <c r="AE40">
        <f t="shared" si="29"/>
        <v>0</v>
      </c>
      <c r="AF40">
        <f t="shared" si="30"/>
        <v>0</v>
      </c>
      <c r="AG40">
        <f t="shared" si="31"/>
        <v>0</v>
      </c>
    </row>
    <row r="41" spans="1:33" x14ac:dyDescent="0.3">
      <c r="A41" s="15">
        <v>15</v>
      </c>
      <c r="B41" s="16">
        <v>246</v>
      </c>
      <c r="C41" s="16">
        <v>254</v>
      </c>
      <c r="D41" s="16"/>
      <c r="E41" s="4">
        <f t="shared" si="4"/>
        <v>0</v>
      </c>
      <c r="F41" s="7">
        <f t="shared" si="5"/>
        <v>25</v>
      </c>
      <c r="G41" s="79"/>
      <c r="H41" s="71" t="str">
        <f t="shared" si="11"/>
        <v/>
      </c>
      <c r="I41" s="7">
        <f t="shared" si="12"/>
        <v>4.9087385212340517E-2</v>
      </c>
      <c r="J41" s="7" t="str">
        <f t="shared" si="13"/>
        <v/>
      </c>
      <c r="K41" s="7">
        <f t="shared" si="6"/>
        <v>22.506467554005358</v>
      </c>
      <c r="L41">
        <f t="shared" si="14"/>
        <v>22.506467554005358</v>
      </c>
      <c r="M41" s="201">
        <f t="shared" si="15"/>
        <v>0.47360830836024659</v>
      </c>
      <c r="N41" s="201">
        <f t="shared" si="16"/>
        <v>0.38385502226217122</v>
      </c>
      <c r="O41" s="160">
        <f t="shared" si="7"/>
        <v>0</v>
      </c>
      <c r="P41" s="202">
        <f t="shared" si="8"/>
        <v>0.36208756943307463</v>
      </c>
      <c r="Q41" s="202">
        <f t="shared" si="9"/>
        <v>0.38303838275961355</v>
      </c>
      <c r="R41" s="160">
        <f t="shared" si="17"/>
        <v>0</v>
      </c>
      <c r="S41" s="160">
        <f t="shared" si="18"/>
        <v>0.36208756943307463</v>
      </c>
      <c r="T41" s="160">
        <f t="shared" si="19"/>
        <v>2.095081332653892E-2</v>
      </c>
      <c r="U41" s="160">
        <f t="shared" si="20"/>
        <v>8.1663950255767004E-4</v>
      </c>
      <c r="V41" s="206">
        <f t="shared" si="21"/>
        <v>21.34379290706886</v>
      </c>
      <c r="W41">
        <f t="shared" si="22"/>
        <v>0</v>
      </c>
      <c r="X41" s="160">
        <f t="shared" si="10"/>
        <v>0.36208756943307463</v>
      </c>
      <c r="Y41" s="160">
        <f t="shared" si="23"/>
        <v>2.095081332653892E-2</v>
      </c>
      <c r="Z41" s="160">
        <f t="shared" si="24"/>
        <v>8.1663950255767004E-4</v>
      </c>
      <c r="AA41">
        <f t="shared" si="25"/>
        <v>218.55113120639044</v>
      </c>
      <c r="AB41">
        <f t="shared" si="26"/>
        <v>36.930652403146205</v>
      </c>
      <c r="AC41">
        <f t="shared" si="27"/>
        <v>22.927517461562747</v>
      </c>
      <c r="AD41">
        <f t="shared" si="28"/>
        <v>15.691084033207224</v>
      </c>
      <c r="AE41">
        <f t="shared" si="29"/>
        <v>294.10038510430661</v>
      </c>
      <c r="AF41">
        <f t="shared" si="30"/>
        <v>73.142765775441049</v>
      </c>
      <c r="AG41">
        <f t="shared" si="31"/>
        <v>367.24315087974765</v>
      </c>
    </row>
    <row r="42" spans="1:33" x14ac:dyDescent="0.3">
      <c r="A42" s="63">
        <v>16</v>
      </c>
      <c r="B42" s="60">
        <v>278</v>
      </c>
      <c r="C42" s="60">
        <v>289</v>
      </c>
      <c r="D42" s="60"/>
      <c r="E42" s="61">
        <f t="shared" si="4"/>
        <v>0</v>
      </c>
      <c r="F42" s="62">
        <f t="shared" si="5"/>
        <v>28.35</v>
      </c>
      <c r="G42" s="78">
        <v>7</v>
      </c>
      <c r="H42" s="71" t="str">
        <f t="shared" si="11"/>
        <v/>
      </c>
      <c r="I42" s="7">
        <f t="shared" si="12"/>
        <v>6.3124217538120572E-2</v>
      </c>
      <c r="J42" s="7">
        <f t="shared" si="13"/>
        <v>28.35</v>
      </c>
      <c r="K42" s="7">
        <f t="shared" si="6"/>
        <v>23.401278736878531</v>
      </c>
      <c r="L42">
        <f t="shared" si="14"/>
        <v>23.401278736878531</v>
      </c>
      <c r="M42" s="201">
        <f t="shared" si="15"/>
        <v>0.62070966850147569</v>
      </c>
      <c r="N42" s="201">
        <f t="shared" si="16"/>
        <v>0.50247828641759673</v>
      </c>
      <c r="O42" s="160">
        <f t="shared" si="7"/>
        <v>0.16450994135996527</v>
      </c>
      <c r="P42" s="202">
        <f t="shared" si="8"/>
        <v>0.48591544857803542</v>
      </c>
      <c r="Q42" s="202">
        <f t="shared" si="9"/>
        <v>0.50186424559863918</v>
      </c>
      <c r="R42" s="160">
        <f t="shared" si="17"/>
        <v>0.16450994135996527</v>
      </c>
      <c r="S42" s="160">
        <f t="shared" si="18"/>
        <v>0.32140550721807015</v>
      </c>
      <c r="T42" s="160">
        <f t="shared" si="19"/>
        <v>1.5948797020603755E-2</v>
      </c>
      <c r="U42" s="160">
        <f t="shared" si="20"/>
        <v>6.140408189575508E-4</v>
      </c>
      <c r="V42" s="206">
        <f t="shared" si="21"/>
        <v>24.33498549710713</v>
      </c>
      <c r="W42">
        <f t="shared" si="22"/>
        <v>0</v>
      </c>
      <c r="X42" s="160">
        <f t="shared" si="10"/>
        <v>0.48591544857803542</v>
      </c>
      <c r="Y42" s="160">
        <f t="shared" si="23"/>
        <v>1.5948797020603755E-2</v>
      </c>
      <c r="Z42" s="160">
        <f t="shared" si="24"/>
        <v>6.140408189575508E-4</v>
      </c>
      <c r="AA42">
        <f t="shared" si="25"/>
        <v>288.38992327808012</v>
      </c>
      <c r="AB42">
        <f t="shared" si="26"/>
        <v>51.964729262888476</v>
      </c>
      <c r="AC42">
        <f t="shared" si="27"/>
        <v>30.46990758183788</v>
      </c>
      <c r="AD42">
        <f t="shared" si="28"/>
        <v>19.566725409140076</v>
      </c>
      <c r="AE42">
        <f t="shared" si="29"/>
        <v>390.39128553194655</v>
      </c>
      <c r="AF42">
        <f t="shared" si="30"/>
        <v>97.090312711795107</v>
      </c>
      <c r="AG42">
        <f t="shared" si="31"/>
        <v>487.48159824374164</v>
      </c>
    </row>
    <row r="43" spans="1:33" x14ac:dyDescent="0.3">
      <c r="A43" s="15">
        <v>17</v>
      </c>
      <c r="B43" s="16">
        <v>212</v>
      </c>
      <c r="C43" s="16">
        <v>203</v>
      </c>
      <c r="D43" s="16"/>
      <c r="E43" s="4">
        <f t="shared" si="4"/>
        <v>0</v>
      </c>
      <c r="F43" s="7">
        <f t="shared" si="5"/>
        <v>20.75</v>
      </c>
      <c r="G43" s="79"/>
      <c r="H43" s="71" t="str">
        <f t="shared" si="11"/>
        <v/>
      </c>
      <c r="I43" s="7">
        <f t="shared" si="12"/>
        <v>3.381629967278138E-2</v>
      </c>
      <c r="J43" s="7" t="str">
        <f t="shared" si="13"/>
        <v/>
      </c>
      <c r="K43" s="7">
        <f t="shared" si="6"/>
        <v>21.035764564190906</v>
      </c>
      <c r="L43">
        <f t="shared" si="14"/>
        <v>21.035764564190906</v>
      </c>
      <c r="M43" s="201">
        <f t="shared" si="15"/>
        <v>0.31390772095753144</v>
      </c>
      <c r="N43" s="201">
        <f t="shared" si="16"/>
        <v>0.25465507386367708</v>
      </c>
      <c r="O43" s="160">
        <f t="shared" si="7"/>
        <v>0</v>
      </c>
      <c r="P43" s="202">
        <f t="shared" si="8"/>
        <v>0.22297767145850036</v>
      </c>
      <c r="Q43" s="202">
        <f t="shared" si="9"/>
        <v>0.25342397226072066</v>
      </c>
      <c r="R43" s="160">
        <f t="shared" si="17"/>
        <v>0</v>
      </c>
      <c r="S43" s="160">
        <f t="shared" si="18"/>
        <v>0.22297767145850036</v>
      </c>
      <c r="T43" s="160">
        <f t="shared" si="19"/>
        <v>3.04463008022203E-2</v>
      </c>
      <c r="U43" s="160">
        <f t="shared" si="20"/>
        <v>1.2311016029564192E-3</v>
      </c>
      <c r="V43" s="206">
        <f t="shared" si="21"/>
        <v>17.542995910525658</v>
      </c>
      <c r="W43">
        <f t="shared" si="22"/>
        <v>0</v>
      </c>
      <c r="X43" s="160">
        <f t="shared" si="10"/>
        <v>0.22297767145850036</v>
      </c>
      <c r="Y43" s="160">
        <f t="shared" si="23"/>
        <v>3.04463008022203E-2</v>
      </c>
      <c r="Z43" s="160">
        <f t="shared" si="24"/>
        <v>1.2311016029564192E-3</v>
      </c>
      <c r="AA43">
        <f t="shared" si="25"/>
        <v>142.98087582101695</v>
      </c>
      <c r="AB43">
        <f t="shared" si="26"/>
        <v>22.028857448880363</v>
      </c>
      <c r="AC43">
        <f t="shared" si="27"/>
        <v>15.169327504560629</v>
      </c>
      <c r="AD43">
        <f t="shared" si="28"/>
        <v>11.393048448589468</v>
      </c>
      <c r="AE43">
        <f t="shared" si="29"/>
        <v>191.57210922304742</v>
      </c>
      <c r="AF43">
        <f t="shared" si="30"/>
        <v>47.643983563771897</v>
      </c>
      <c r="AG43">
        <f t="shared" si="31"/>
        <v>239.21609278681933</v>
      </c>
    </row>
    <row r="44" spans="1:33" x14ac:dyDescent="0.3">
      <c r="A44" s="15">
        <v>18</v>
      </c>
      <c r="B44" s="16">
        <v>249</v>
      </c>
      <c r="C44" s="16">
        <v>245</v>
      </c>
      <c r="D44" s="16"/>
      <c r="E44" s="4">
        <f t="shared" si="4"/>
        <v>0</v>
      </c>
      <c r="F44" s="7">
        <f t="shared" si="5"/>
        <v>24.7</v>
      </c>
      <c r="G44" s="79"/>
      <c r="H44" s="71" t="str">
        <f t="shared" si="11"/>
        <v/>
      </c>
      <c r="I44" s="7">
        <f t="shared" si="12"/>
        <v>4.7916356550714911E-2</v>
      </c>
      <c r="J44" s="7" t="str">
        <f t="shared" si="13"/>
        <v/>
      </c>
      <c r="K44" s="7">
        <f t="shared" si="6"/>
        <v>22.416455551757128</v>
      </c>
      <c r="L44">
        <f t="shared" si="14"/>
        <v>22.416455551757128</v>
      </c>
      <c r="M44" s="201">
        <f t="shared" si="15"/>
        <v>0.46133768059671221</v>
      </c>
      <c r="N44" s="201">
        <f t="shared" si="16"/>
        <v>0.37394419291985509</v>
      </c>
      <c r="O44" s="160">
        <f t="shared" si="7"/>
        <v>0</v>
      </c>
      <c r="P44" s="202">
        <f t="shared" si="8"/>
        <v>0.35161384519286826</v>
      </c>
      <c r="Q44" s="202">
        <f t="shared" si="9"/>
        <v>0.3731051587700624</v>
      </c>
      <c r="R44" s="160">
        <f t="shared" si="17"/>
        <v>0</v>
      </c>
      <c r="S44" s="160">
        <f t="shared" si="18"/>
        <v>0.35161384519286826</v>
      </c>
      <c r="T44" s="160">
        <f t="shared" si="19"/>
        <v>2.1491313577194138E-2</v>
      </c>
      <c r="U44" s="160">
        <f t="shared" si="20"/>
        <v>8.3903414979269453E-4</v>
      </c>
      <c r="V44" s="206">
        <f t="shared" si="21"/>
        <v>21.075757553899123</v>
      </c>
      <c r="W44">
        <f t="shared" si="22"/>
        <v>0</v>
      </c>
      <c r="X44" s="160">
        <f t="shared" si="10"/>
        <v>0.35161384519286826</v>
      </c>
      <c r="Y44" s="160">
        <f t="shared" si="23"/>
        <v>2.1491313577194138E-2</v>
      </c>
      <c r="Z44" s="160">
        <f t="shared" si="24"/>
        <v>8.3903414979269453E-4</v>
      </c>
      <c r="AA44">
        <f t="shared" si="25"/>
        <v>212.73274304920807</v>
      </c>
      <c r="AB44">
        <f t="shared" si="26"/>
        <v>35.729172270167972</v>
      </c>
      <c r="AC44">
        <f t="shared" si="27"/>
        <v>22.315001189201531</v>
      </c>
      <c r="AD44">
        <f t="shared" si="28"/>
        <v>15.36495551542469</v>
      </c>
      <c r="AE44">
        <f t="shared" si="29"/>
        <v>286.14187202400228</v>
      </c>
      <c r="AF44">
        <f t="shared" si="30"/>
        <v>71.163483572369373</v>
      </c>
      <c r="AG44">
        <f t="shared" si="31"/>
        <v>357.30535559637167</v>
      </c>
    </row>
    <row r="45" spans="1:33" x14ac:dyDescent="0.3">
      <c r="A45" s="15">
        <v>19</v>
      </c>
      <c r="B45" s="16">
        <v>253</v>
      </c>
      <c r="C45" s="16">
        <v>251</v>
      </c>
      <c r="D45" s="16"/>
      <c r="E45" s="4">
        <f t="shared" si="4"/>
        <v>0</v>
      </c>
      <c r="F45" s="7">
        <f t="shared" si="5"/>
        <v>25.2</v>
      </c>
      <c r="G45" s="79"/>
      <c r="H45" s="71" t="str">
        <f t="shared" si="11"/>
        <v/>
      </c>
      <c r="I45" s="7">
        <f t="shared" si="12"/>
        <v>4.987592496839155E-2</v>
      </c>
      <c r="J45" s="7" t="str">
        <f t="shared" si="13"/>
        <v/>
      </c>
      <c r="K45" s="7">
        <f t="shared" si="6"/>
        <v>22.565480082907552</v>
      </c>
      <c r="L45">
        <f t="shared" si="14"/>
        <v>22.565480082907552</v>
      </c>
      <c r="M45" s="201">
        <f t="shared" si="15"/>
        <v>0.48187184879050138</v>
      </c>
      <c r="N45" s="201">
        <f t="shared" si="16"/>
        <v>0.39052794417700032</v>
      </c>
      <c r="O45" s="160">
        <f t="shared" si="7"/>
        <v>5.9734450710263641E-2</v>
      </c>
      <c r="P45" s="202">
        <f t="shared" si="8"/>
        <v>0.36912582978848352</v>
      </c>
      <c r="Q45" s="202">
        <f t="shared" si="9"/>
        <v>0.38972578298752791</v>
      </c>
      <c r="R45" s="160">
        <f t="shared" si="17"/>
        <v>5.9734450710263641E-2</v>
      </c>
      <c r="S45" s="160">
        <f t="shared" si="18"/>
        <v>0.3093913790782199</v>
      </c>
      <c r="T45" s="160">
        <f t="shared" si="19"/>
        <v>2.0599953199044396E-2</v>
      </c>
      <c r="U45" s="160">
        <f t="shared" si="20"/>
        <v>8.0216118947240567E-4</v>
      </c>
      <c r="V45" s="206">
        <f t="shared" si="21"/>
        <v>21.522465745626636</v>
      </c>
      <c r="W45">
        <f t="shared" si="22"/>
        <v>0</v>
      </c>
      <c r="X45" s="160">
        <f t="shared" si="10"/>
        <v>0.36912582978848352</v>
      </c>
      <c r="Y45" s="160">
        <f t="shared" si="23"/>
        <v>2.0599953199044396E-2</v>
      </c>
      <c r="Z45" s="160">
        <f t="shared" si="24"/>
        <v>8.0216118947240567E-4</v>
      </c>
      <c r="AA45">
        <f t="shared" si="25"/>
        <v>222.47026893308831</v>
      </c>
      <c r="AB45">
        <f t="shared" si="26"/>
        <v>37.744625625999667</v>
      </c>
      <c r="AC45">
        <f t="shared" si="27"/>
        <v>23.341497589397697</v>
      </c>
      <c r="AD45">
        <f t="shared" si="28"/>
        <v>15.910418041117897</v>
      </c>
      <c r="AE45">
        <f t="shared" si="29"/>
        <v>299.46681018960356</v>
      </c>
      <c r="AF45">
        <f t="shared" si="30"/>
        <v>74.47739569415441</v>
      </c>
      <c r="AG45">
        <f t="shared" si="31"/>
        <v>373.94420588375795</v>
      </c>
    </row>
    <row r="46" spans="1:33" x14ac:dyDescent="0.3">
      <c r="A46" s="15">
        <v>20</v>
      </c>
      <c r="B46" s="16">
        <v>40</v>
      </c>
      <c r="C46" s="16">
        <v>41</v>
      </c>
      <c r="D46" s="16">
        <v>5.5</v>
      </c>
      <c r="E46" s="4">
        <f t="shared" si="4"/>
        <v>0</v>
      </c>
      <c r="F46" s="7">
        <f t="shared" si="5"/>
        <v>4.05</v>
      </c>
      <c r="G46" s="79"/>
      <c r="H46" s="71" t="str">
        <f t="shared" si="11"/>
        <v/>
      </c>
      <c r="I46" s="7">
        <f t="shared" si="12"/>
        <v>1.2882493375126645E-3</v>
      </c>
      <c r="J46" s="7" t="str">
        <f t="shared" si="13"/>
        <v/>
      </c>
      <c r="K46" s="7">
        <f t="shared" si="6"/>
        <v>4.0839368162495955</v>
      </c>
      <c r="L46">
        <f t="shared" si="14"/>
        <v>5.5</v>
      </c>
      <c r="M46" s="201">
        <f t="shared" si="15"/>
        <v>3.823699193689026E-3</v>
      </c>
      <c r="N46" s="201">
        <f t="shared" si="16"/>
        <v>2.9319648302803831E-3</v>
      </c>
      <c r="O46" s="160">
        <f t="shared" si="7"/>
        <v>0</v>
      </c>
      <c r="P46" s="202">
        <f t="shared" si="8"/>
        <v>0</v>
      </c>
      <c r="Q46" s="202">
        <f t="shared" si="9"/>
        <v>0</v>
      </c>
      <c r="R46" s="160">
        <f t="shared" si="17"/>
        <v>0</v>
      </c>
      <c r="S46" s="160">
        <f t="shared" si="18"/>
        <v>0</v>
      </c>
      <c r="T46" s="160">
        <f t="shared" si="19"/>
        <v>0</v>
      </c>
      <c r="U46" s="160">
        <f t="shared" si="20"/>
        <v>2.9319648302803831E-3</v>
      </c>
      <c r="V46" s="206">
        <f t="shared" si="21"/>
        <v>2.1487393954070204</v>
      </c>
      <c r="W46">
        <f t="shared" si="22"/>
        <v>0</v>
      </c>
      <c r="X46" s="160">
        <f t="shared" si="10"/>
        <v>0</v>
      </c>
      <c r="Y46" s="160">
        <f t="shared" si="23"/>
        <v>0</v>
      </c>
      <c r="Z46" s="160">
        <f t="shared" si="24"/>
        <v>2.9319648302803831E-3</v>
      </c>
      <c r="AA46">
        <f t="shared" si="25"/>
        <v>1.2416424386202969</v>
      </c>
      <c r="AB46">
        <f t="shared" si="26"/>
        <v>0.10531618533163868</v>
      </c>
      <c r="AC46">
        <f t="shared" si="27"/>
        <v>0.76679515232580786</v>
      </c>
      <c r="AD46">
        <f t="shared" si="28"/>
        <v>1.173046601982799</v>
      </c>
      <c r="AE46">
        <f t="shared" si="29"/>
        <v>3.2868003782605424</v>
      </c>
      <c r="AF46">
        <f t="shared" si="30"/>
        <v>0.81742725407339689</v>
      </c>
      <c r="AG46">
        <f t="shared" si="31"/>
        <v>4.1042276323339397</v>
      </c>
    </row>
    <row r="47" spans="1:33" x14ac:dyDescent="0.3">
      <c r="A47" s="15">
        <v>21</v>
      </c>
      <c r="B47" s="16">
        <v>212</v>
      </c>
      <c r="C47" s="16">
        <v>213</v>
      </c>
      <c r="D47" s="16">
        <v>22.5</v>
      </c>
      <c r="E47" s="4">
        <f t="shared" si="4"/>
        <v>0</v>
      </c>
      <c r="F47" s="7">
        <f t="shared" si="5"/>
        <v>21.25</v>
      </c>
      <c r="G47" s="79"/>
      <c r="H47" s="71" t="str">
        <f t="shared" si="11"/>
        <v/>
      </c>
      <c r="I47" s="7">
        <f t="shared" si="12"/>
        <v>3.5465635815916025E-2</v>
      </c>
      <c r="J47" s="7" t="str">
        <f t="shared" si="13"/>
        <v/>
      </c>
      <c r="K47" s="7">
        <f t="shared" si="6"/>
        <v>21.23344451634253</v>
      </c>
      <c r="L47">
        <f t="shared" si="14"/>
        <v>22.5</v>
      </c>
      <c r="M47" s="201">
        <f t="shared" si="15"/>
        <v>0.35228300061772372</v>
      </c>
      <c r="N47" s="201">
        <f t="shared" si="16"/>
        <v>0.28719963892237343</v>
      </c>
      <c r="O47" s="160">
        <f t="shared" si="7"/>
        <v>0</v>
      </c>
      <c r="P47" s="202">
        <f t="shared" si="8"/>
        <v>0.25482771200360183</v>
      </c>
      <c r="Q47" s="202">
        <f t="shared" si="9"/>
        <v>0.28594937587157776</v>
      </c>
      <c r="R47" s="160">
        <f t="shared" si="17"/>
        <v>0</v>
      </c>
      <c r="S47" s="160">
        <f t="shared" si="18"/>
        <v>0.25482771200360183</v>
      </c>
      <c r="T47" s="160">
        <f t="shared" si="19"/>
        <v>3.1121663867975935E-2</v>
      </c>
      <c r="U47" s="160">
        <f t="shared" si="20"/>
        <v>1.2502630507956747E-3</v>
      </c>
      <c r="V47" s="206">
        <f t="shared" si="21"/>
        <v>18.141490023634635</v>
      </c>
      <c r="W47">
        <f t="shared" si="22"/>
        <v>0</v>
      </c>
      <c r="X47" s="160">
        <f t="shared" si="10"/>
        <v>0.25482771200360183</v>
      </c>
      <c r="Y47" s="160">
        <f t="shared" si="23"/>
        <v>3.1121663867975935E-2</v>
      </c>
      <c r="Z47" s="160">
        <f t="shared" si="24"/>
        <v>1.2502630507956747E-3</v>
      </c>
      <c r="AA47">
        <f t="shared" si="25"/>
        <v>163.5744225823197</v>
      </c>
      <c r="AB47">
        <f t="shared" si="26"/>
        <v>25.078736440103764</v>
      </c>
      <c r="AC47">
        <f t="shared" si="27"/>
        <v>15.213143951437615</v>
      </c>
      <c r="AD47">
        <f t="shared" si="28"/>
        <v>11.383196728428869</v>
      </c>
      <c r="AE47">
        <f t="shared" si="29"/>
        <v>215.24949970228994</v>
      </c>
      <c r="AF47">
        <f t="shared" si="30"/>
        <v>53.532550575959512</v>
      </c>
      <c r="AG47">
        <f t="shared" si="31"/>
        <v>268.78205027824947</v>
      </c>
    </row>
    <row r="48" spans="1:33" x14ac:dyDescent="0.3">
      <c r="A48" s="15">
        <v>22</v>
      </c>
      <c r="B48" s="16">
        <v>222</v>
      </c>
      <c r="C48" s="16">
        <v>217</v>
      </c>
      <c r="D48" s="16"/>
      <c r="E48" s="4">
        <f t="shared" si="4"/>
        <v>0</v>
      </c>
      <c r="F48" s="7">
        <f t="shared" si="5"/>
        <v>21.95</v>
      </c>
      <c r="G48" s="79"/>
      <c r="H48" s="71" t="str">
        <f t="shared" si="11"/>
        <v/>
      </c>
      <c r="I48" s="7">
        <f t="shared" si="12"/>
        <v>3.7840679862029901E-2</v>
      </c>
      <c r="J48" s="7" t="str">
        <f t="shared" si="13"/>
        <v/>
      </c>
      <c r="K48" s="7">
        <f t="shared" si="6"/>
        <v>21.497925563600365</v>
      </c>
      <c r="L48">
        <f t="shared" si="14"/>
        <v>21.497925563600365</v>
      </c>
      <c r="M48" s="201">
        <f t="shared" si="15"/>
        <v>0.35589318882643395</v>
      </c>
      <c r="N48" s="201">
        <f t="shared" si="16"/>
        <v>0.28866808513287656</v>
      </c>
      <c r="O48" s="160">
        <f t="shared" si="7"/>
        <v>0</v>
      </c>
      <c r="P48" s="202">
        <f t="shared" si="8"/>
        <v>0.26024501608209599</v>
      </c>
      <c r="Q48" s="202">
        <f t="shared" si="9"/>
        <v>0.28757856843065166</v>
      </c>
      <c r="R48" s="160">
        <f t="shared" si="17"/>
        <v>0</v>
      </c>
      <c r="S48" s="160">
        <f t="shared" si="18"/>
        <v>0.26024501608209599</v>
      </c>
      <c r="T48" s="160">
        <f t="shared" si="19"/>
        <v>2.7333552348555668E-2</v>
      </c>
      <c r="U48" s="160">
        <f t="shared" si="20"/>
        <v>1.0895167022249019E-3</v>
      </c>
      <c r="V48" s="206">
        <f t="shared" si="21"/>
        <v>18.617064854842727</v>
      </c>
      <c r="W48">
        <f t="shared" si="22"/>
        <v>0</v>
      </c>
      <c r="X48" s="160">
        <f t="shared" si="10"/>
        <v>0.26024501608209599</v>
      </c>
      <c r="Y48" s="160">
        <f t="shared" si="23"/>
        <v>2.7333552348555668E-2</v>
      </c>
      <c r="Z48" s="160">
        <f t="shared" si="24"/>
        <v>1.0895167022249019E-3</v>
      </c>
      <c r="AA48">
        <f t="shared" si="25"/>
        <v>162.80854522029895</v>
      </c>
      <c r="AB48">
        <f t="shared" si="26"/>
        <v>25.78283287795054</v>
      </c>
      <c r="AC48">
        <f t="shared" si="27"/>
        <v>17.163179456872221</v>
      </c>
      <c r="AD48">
        <f t="shared" si="28"/>
        <v>12.536290988440578</v>
      </c>
      <c r="AE48">
        <f t="shared" si="29"/>
        <v>218.2908485435623</v>
      </c>
      <c r="AF48">
        <f t="shared" si="30"/>
        <v>54.288934032783949</v>
      </c>
      <c r="AG48">
        <f t="shared" si="31"/>
        <v>272.57978257634625</v>
      </c>
    </row>
    <row r="49" spans="1:33" x14ac:dyDescent="0.3">
      <c r="A49" s="15">
        <v>23</v>
      </c>
      <c r="B49" s="16">
        <v>227</v>
      </c>
      <c r="C49" s="16">
        <v>228</v>
      </c>
      <c r="D49" s="16"/>
      <c r="E49" s="4">
        <f t="shared" si="4"/>
        <v>0</v>
      </c>
      <c r="F49" s="7">
        <f t="shared" si="5"/>
        <v>22.75</v>
      </c>
      <c r="G49" s="79"/>
      <c r="H49" s="71" t="str">
        <f t="shared" si="11"/>
        <v/>
      </c>
      <c r="I49" s="7">
        <f t="shared" si="12"/>
        <v>4.0649263694339181E-2</v>
      </c>
      <c r="J49" s="7" t="str">
        <f t="shared" si="13"/>
        <v/>
      </c>
      <c r="K49" s="7">
        <f t="shared" si="6"/>
        <v>21.783896554633195</v>
      </c>
      <c r="L49">
        <f t="shared" si="14"/>
        <v>21.783896554633195</v>
      </c>
      <c r="M49" s="201">
        <f t="shared" si="15"/>
        <v>0.38525072351046741</v>
      </c>
      <c r="N49" s="201">
        <f t="shared" si="16"/>
        <v>0.31243083524348908</v>
      </c>
      <c r="O49" s="160">
        <f t="shared" si="7"/>
        <v>0</v>
      </c>
      <c r="P49" s="202">
        <f t="shared" si="8"/>
        <v>0.2859664615435073</v>
      </c>
      <c r="Q49" s="202">
        <f t="shared" si="9"/>
        <v>0.31142365238105019</v>
      </c>
      <c r="R49" s="160">
        <f t="shared" si="17"/>
        <v>0</v>
      </c>
      <c r="S49" s="160">
        <f t="shared" si="18"/>
        <v>0.2859664615435073</v>
      </c>
      <c r="T49" s="160">
        <f t="shared" si="19"/>
        <v>2.5457190837542887E-2</v>
      </c>
      <c r="U49" s="160">
        <f t="shared" si="20"/>
        <v>1.0071828624388934E-3</v>
      </c>
      <c r="V49" s="206">
        <f t="shared" si="21"/>
        <v>19.332672496321759</v>
      </c>
      <c r="W49">
        <f t="shared" si="22"/>
        <v>0</v>
      </c>
      <c r="X49" s="160">
        <f t="shared" si="10"/>
        <v>0.2859664615435073</v>
      </c>
      <c r="Y49" s="160">
        <f t="shared" si="23"/>
        <v>2.5457190837542887E-2</v>
      </c>
      <c r="Z49" s="160">
        <f t="shared" si="24"/>
        <v>1.0071828624388934E-3</v>
      </c>
      <c r="AA49">
        <f t="shared" si="25"/>
        <v>176.69246304347047</v>
      </c>
      <c r="AB49">
        <f t="shared" si="26"/>
        <v>28.48070894403055</v>
      </c>
      <c r="AC49">
        <f t="shared" si="27"/>
        <v>18.577069756700066</v>
      </c>
      <c r="AD49">
        <f t="shared" si="28"/>
        <v>13.329228405159999</v>
      </c>
      <c r="AE49">
        <f t="shared" si="29"/>
        <v>237.07947014936107</v>
      </c>
      <c r="AF49">
        <f t="shared" si="30"/>
        <v>58.961664226146098</v>
      </c>
      <c r="AG49">
        <f t="shared" si="31"/>
        <v>296.04113437550717</v>
      </c>
    </row>
    <row r="50" spans="1:33" x14ac:dyDescent="0.3">
      <c r="A50" s="15">
        <v>24</v>
      </c>
      <c r="B50" s="16">
        <v>147</v>
      </c>
      <c r="C50" s="16">
        <v>146</v>
      </c>
      <c r="D50" s="16"/>
      <c r="E50" s="4">
        <f t="shared" si="4"/>
        <v>0</v>
      </c>
      <c r="F50" s="7">
        <f t="shared" si="5"/>
        <v>14.65</v>
      </c>
      <c r="G50" s="79"/>
      <c r="H50" s="71" t="str">
        <f t="shared" si="11"/>
        <v/>
      </c>
      <c r="I50" s="7">
        <f t="shared" si="12"/>
        <v>1.6856411732376883E-2</v>
      </c>
      <c r="J50" s="7" t="str">
        <f t="shared" si="13"/>
        <v/>
      </c>
      <c r="K50" s="7">
        <f t="shared" si="6"/>
        <v>17.826804145170726</v>
      </c>
      <c r="L50">
        <f t="shared" si="14"/>
        <v>17.826804145170726</v>
      </c>
      <c r="M50" s="201">
        <f t="shared" si="15"/>
        <v>0.13958902793195838</v>
      </c>
      <c r="N50" s="201">
        <f t="shared" si="16"/>
        <v>0.11305377538210584</v>
      </c>
      <c r="O50" s="160">
        <f t="shared" si="7"/>
        <v>0</v>
      </c>
      <c r="P50" s="202">
        <f t="shared" si="8"/>
        <v>6.0988789303875614E-2</v>
      </c>
      <c r="Q50" s="202">
        <f t="shared" si="9"/>
        <v>0.11053677997661812</v>
      </c>
      <c r="R50" s="160">
        <f t="shared" si="17"/>
        <v>0</v>
      </c>
      <c r="S50" s="160">
        <f t="shared" si="18"/>
        <v>6.0988789303875614E-2</v>
      </c>
      <c r="T50" s="160">
        <f t="shared" si="19"/>
        <v>4.9547990672742508E-2</v>
      </c>
      <c r="U50" s="160">
        <f t="shared" si="20"/>
        <v>2.5169954054877208E-3</v>
      </c>
      <c r="V50" s="206">
        <f t="shared" si="21"/>
        <v>12.062855531033254</v>
      </c>
      <c r="W50">
        <f t="shared" si="22"/>
        <v>0</v>
      </c>
      <c r="X50" s="160">
        <f t="shared" si="10"/>
        <v>6.0988789303875614E-2</v>
      </c>
      <c r="Y50" s="160">
        <f t="shared" si="23"/>
        <v>4.9547990672742508E-2</v>
      </c>
      <c r="Z50" s="160">
        <f t="shared" si="24"/>
        <v>2.5169954054877208E-3</v>
      </c>
      <c r="AA50">
        <f t="shared" si="25"/>
        <v>61.327122208278588</v>
      </c>
      <c r="AB50">
        <f t="shared" si="26"/>
        <v>8.0402148510167937</v>
      </c>
      <c r="AC50">
        <f t="shared" si="27"/>
        <v>7.2499045012673706</v>
      </c>
      <c r="AD50">
        <f t="shared" si="28"/>
        <v>6.442825782536711</v>
      </c>
      <c r="AE50">
        <f t="shared" si="29"/>
        <v>83.060067343099462</v>
      </c>
      <c r="AF50">
        <f t="shared" si="30"/>
        <v>20.657038748228835</v>
      </c>
      <c r="AG50">
        <f t="shared" si="31"/>
        <v>103.7171060913283</v>
      </c>
    </row>
    <row r="51" spans="1:33" x14ac:dyDescent="0.3">
      <c r="A51" s="15">
        <v>25</v>
      </c>
      <c r="B51" s="16">
        <v>202</v>
      </c>
      <c r="C51" s="16">
        <v>199</v>
      </c>
      <c r="D51" s="16"/>
      <c r="E51" s="4">
        <f t="shared" si="4"/>
        <v>0</v>
      </c>
      <c r="F51" s="7">
        <f t="shared" si="5"/>
        <v>20.05</v>
      </c>
      <c r="G51" s="79"/>
      <c r="H51" s="71" t="str">
        <f t="shared" si="11"/>
        <v/>
      </c>
      <c r="I51" s="7">
        <f t="shared" si="12"/>
        <v>3.1573202518118272E-2</v>
      </c>
      <c r="J51" s="7" t="str">
        <f t="shared" si="13"/>
        <v/>
      </c>
      <c r="K51" s="7">
        <f t="shared" si="6"/>
        <v>20.745835096875062</v>
      </c>
      <c r="L51">
        <f t="shared" si="14"/>
        <v>20.745835096875062</v>
      </c>
      <c r="M51" s="201">
        <f t="shared" si="15"/>
        <v>0.29056247660194101</v>
      </c>
      <c r="N51" s="201">
        <f t="shared" si="16"/>
        <v>0.23572759305823388</v>
      </c>
      <c r="O51" s="160">
        <f t="shared" si="7"/>
        <v>0</v>
      </c>
      <c r="P51" s="202">
        <f t="shared" si="8"/>
        <v>0.20197032530216225</v>
      </c>
      <c r="Q51" s="202">
        <f t="shared" si="9"/>
        <v>0.23440220585260335</v>
      </c>
      <c r="R51" s="160">
        <f t="shared" si="17"/>
        <v>0</v>
      </c>
      <c r="S51" s="160">
        <f t="shared" si="18"/>
        <v>0.20197032530216225</v>
      </c>
      <c r="T51" s="160">
        <f t="shared" si="19"/>
        <v>3.2431880550441106E-2</v>
      </c>
      <c r="U51" s="160">
        <f t="shared" si="20"/>
        <v>1.3253872056305238E-3</v>
      </c>
      <c r="V51" s="206">
        <f t="shared" si="21"/>
        <v>16.916035512478611</v>
      </c>
      <c r="W51">
        <f t="shared" si="22"/>
        <v>0</v>
      </c>
      <c r="X51" s="160">
        <f t="shared" si="10"/>
        <v>0.20197032530216225</v>
      </c>
      <c r="Y51" s="160">
        <f t="shared" si="23"/>
        <v>3.2431880550441106E-2</v>
      </c>
      <c r="Z51" s="160">
        <f t="shared" si="24"/>
        <v>1.3253872056305238E-3</v>
      </c>
      <c r="AA51">
        <f t="shared" si="25"/>
        <v>131.97366428329687</v>
      </c>
      <c r="AB51">
        <f t="shared" si="26"/>
        <v>19.998125924550045</v>
      </c>
      <c r="AC51">
        <f t="shared" si="27"/>
        <v>14.075258813749521</v>
      </c>
      <c r="AD51">
        <f t="shared" si="28"/>
        <v>10.751778294558564</v>
      </c>
      <c r="AE51">
        <f t="shared" si="29"/>
        <v>176.79882731615498</v>
      </c>
      <c r="AF51">
        <f t="shared" si="30"/>
        <v>43.969868353527744</v>
      </c>
      <c r="AG51">
        <f t="shared" si="31"/>
        <v>220.76869566968273</v>
      </c>
    </row>
    <row r="52" spans="1:33" x14ac:dyDescent="0.3">
      <c r="A52" s="15">
        <v>26</v>
      </c>
      <c r="B52" s="16">
        <v>207</v>
      </c>
      <c r="C52" s="16">
        <v>195</v>
      </c>
      <c r="D52" s="16"/>
      <c r="E52" s="4">
        <f t="shared" si="4"/>
        <v>0</v>
      </c>
      <c r="F52" s="7">
        <f t="shared" si="5"/>
        <v>20.100000000000001</v>
      </c>
      <c r="G52" s="79"/>
      <c r="H52" s="71" t="str">
        <f t="shared" si="11"/>
        <v/>
      </c>
      <c r="I52" s="7">
        <f t="shared" si="12"/>
        <v>3.1730871199420314E-2</v>
      </c>
      <c r="J52" s="7" t="str">
        <f t="shared" si="13"/>
        <v/>
      </c>
      <c r="K52" s="7">
        <f t="shared" si="6"/>
        <v>20.767076902667231</v>
      </c>
      <c r="L52">
        <f t="shared" si="14"/>
        <v>20.767076902667231</v>
      </c>
      <c r="M52" s="201">
        <f t="shared" si="15"/>
        <v>0.29220181415942037</v>
      </c>
      <c r="N52" s="201">
        <f t="shared" si="16"/>
        <v>0.23705706956288888</v>
      </c>
      <c r="O52" s="160">
        <f t="shared" si="7"/>
        <v>0</v>
      </c>
      <c r="P52" s="202">
        <f t="shared" si="8"/>
        <v>0.20345281302399329</v>
      </c>
      <c r="Q52" s="202">
        <f t="shared" si="9"/>
        <v>0.23573873475712934</v>
      </c>
      <c r="R52" s="160">
        <f t="shared" si="17"/>
        <v>0</v>
      </c>
      <c r="S52" s="160">
        <f t="shared" si="18"/>
        <v>0.20345281302399329</v>
      </c>
      <c r="T52" s="160">
        <f t="shared" si="19"/>
        <v>3.2285921733136047E-2</v>
      </c>
      <c r="U52" s="160">
        <f t="shared" si="20"/>
        <v>1.3183348057595468E-3</v>
      </c>
      <c r="V52" s="206">
        <f t="shared" si="21"/>
        <v>16.96082974065634</v>
      </c>
      <c r="W52">
        <f t="shared" si="22"/>
        <v>0</v>
      </c>
      <c r="X52" s="160">
        <f t="shared" si="10"/>
        <v>0.20345281302399329</v>
      </c>
      <c r="Y52" s="160">
        <f t="shared" si="23"/>
        <v>3.2285921733136047E-2</v>
      </c>
      <c r="Z52" s="160">
        <f t="shared" si="24"/>
        <v>1.3183348057595468E-3</v>
      </c>
      <c r="AA52">
        <f t="shared" si="25"/>
        <v>132.74613622248151</v>
      </c>
      <c r="AB52">
        <f t="shared" si="26"/>
        <v>20.13934551865869</v>
      </c>
      <c r="AC52">
        <f t="shared" si="27"/>
        <v>14.151743230766163</v>
      </c>
      <c r="AD52">
        <f t="shared" si="28"/>
        <v>10.796956517725267</v>
      </c>
      <c r="AE52">
        <f t="shared" si="29"/>
        <v>177.83418148963165</v>
      </c>
      <c r="AF52">
        <f t="shared" si="30"/>
        <v>44.227360936471392</v>
      </c>
      <c r="AG52">
        <f t="shared" si="31"/>
        <v>222.06154242610305</v>
      </c>
    </row>
    <row r="53" spans="1:33" x14ac:dyDescent="0.3">
      <c r="A53" s="15">
        <v>27</v>
      </c>
      <c r="B53" s="16">
        <v>223</v>
      </c>
      <c r="C53" s="16">
        <v>229</v>
      </c>
      <c r="D53" s="16"/>
      <c r="E53" s="4">
        <f t="shared" si="4"/>
        <v>0</v>
      </c>
      <c r="F53" s="7">
        <f t="shared" si="5"/>
        <v>22.6</v>
      </c>
      <c r="G53" s="79"/>
      <c r="H53" s="71" t="str">
        <f t="shared" si="11"/>
        <v/>
      </c>
      <c r="I53" s="7">
        <f t="shared" si="12"/>
        <v>4.0114996593688071E-2</v>
      </c>
      <c r="J53" s="7" t="str">
        <f t="shared" si="13"/>
        <v/>
      </c>
      <c r="K53" s="7">
        <f t="shared" si="6"/>
        <v>21.731537327128052</v>
      </c>
      <c r="L53">
        <f t="shared" si="14"/>
        <v>21.731537327128052</v>
      </c>
      <c r="M53" s="201">
        <f t="shared" si="15"/>
        <v>0.37966334577827376</v>
      </c>
      <c r="N53" s="201">
        <f t="shared" si="16"/>
        <v>0.30790951824089374</v>
      </c>
      <c r="O53" s="160">
        <f t="shared" si="7"/>
        <v>0</v>
      </c>
      <c r="P53" s="202">
        <f t="shared" si="8"/>
        <v>0.28109024329228161</v>
      </c>
      <c r="Q53" s="202">
        <f t="shared" si="9"/>
        <v>0.30688755861327899</v>
      </c>
      <c r="R53" s="160">
        <f t="shared" si="17"/>
        <v>0</v>
      </c>
      <c r="S53" s="160">
        <f t="shared" si="18"/>
        <v>0.28109024329228161</v>
      </c>
      <c r="T53" s="160">
        <f t="shared" si="19"/>
        <v>2.5797315320997383E-2</v>
      </c>
      <c r="U53" s="160">
        <f t="shared" si="20"/>
        <v>1.0219596276147547E-3</v>
      </c>
      <c r="V53" s="206">
        <f t="shared" si="21"/>
        <v>19.198520324430422</v>
      </c>
      <c r="W53">
        <f t="shared" si="22"/>
        <v>0</v>
      </c>
      <c r="X53" s="160">
        <f t="shared" si="10"/>
        <v>0.28109024329228161</v>
      </c>
      <c r="Y53" s="160">
        <f t="shared" si="23"/>
        <v>2.5797315320997383E-2</v>
      </c>
      <c r="Z53" s="160">
        <f t="shared" si="24"/>
        <v>1.0219596276147547E-3</v>
      </c>
      <c r="AA53">
        <f t="shared" si="25"/>
        <v>174.04895675986523</v>
      </c>
      <c r="AB53">
        <f t="shared" si="26"/>
        <v>27.962803868777964</v>
      </c>
      <c r="AC53">
        <f t="shared" si="27"/>
        <v>18.306739187014426</v>
      </c>
      <c r="AD53">
        <f t="shared" si="28"/>
        <v>13.17867907432532</v>
      </c>
      <c r="AE53">
        <f t="shared" si="29"/>
        <v>233.49717888998293</v>
      </c>
      <c r="AF53">
        <f t="shared" si="30"/>
        <v>58.070748389938757</v>
      </c>
      <c r="AG53">
        <f t="shared" si="31"/>
        <v>291.56792727992172</v>
      </c>
    </row>
    <row r="54" spans="1:33" x14ac:dyDescent="0.3">
      <c r="A54" s="15">
        <v>28</v>
      </c>
      <c r="B54" s="16"/>
      <c r="C54" s="16"/>
      <c r="D54" s="16"/>
      <c r="E54" s="4">
        <f t="shared" si="4"/>
        <v>1</v>
      </c>
      <c r="F54" s="7">
        <f t="shared" si="5"/>
        <v>0</v>
      </c>
      <c r="G54" s="79"/>
      <c r="H54" s="71" t="str">
        <f t="shared" si="11"/>
        <v/>
      </c>
      <c r="I54" s="7">
        <f t="shared" si="12"/>
        <v>0</v>
      </c>
      <c r="J54" s="7" t="str">
        <f t="shared" si="13"/>
        <v/>
      </c>
      <c r="K54" s="7" t="str">
        <f t="shared" si="6"/>
        <v/>
      </c>
      <c r="L54" t="str">
        <f t="shared" si="14"/>
        <v/>
      </c>
      <c r="M54" s="201" t="str">
        <f t="shared" si="15"/>
        <v/>
      </c>
      <c r="N54" s="201" t="str">
        <f t="shared" si="16"/>
        <v/>
      </c>
      <c r="O54" s="160">
        <f t="shared" si="7"/>
        <v>0</v>
      </c>
      <c r="P54" s="202">
        <f t="shared" si="8"/>
        <v>0</v>
      </c>
      <c r="Q54" s="202">
        <f t="shared" si="9"/>
        <v>0</v>
      </c>
      <c r="R54" s="160">
        <f t="shared" si="17"/>
        <v>0</v>
      </c>
      <c r="S54" s="160">
        <f t="shared" si="18"/>
        <v>0</v>
      </c>
      <c r="T54" s="160">
        <f t="shared" si="19"/>
        <v>0</v>
      </c>
      <c r="U54" s="160" t="str">
        <f t="shared" si="20"/>
        <v/>
      </c>
      <c r="V54" s="206" t="str">
        <f t="shared" si="21"/>
        <v/>
      </c>
      <c r="W54">
        <f t="shared" si="22"/>
        <v>0</v>
      </c>
      <c r="X54" s="160">
        <f t="shared" si="10"/>
        <v>0</v>
      </c>
      <c r="Y54" s="160">
        <f t="shared" si="23"/>
        <v>0</v>
      </c>
      <c r="Z54" s="160" t="str">
        <f t="shared" si="24"/>
        <v/>
      </c>
      <c r="AA54" t="str">
        <f t="shared" si="25"/>
        <v/>
      </c>
      <c r="AB54" t="str">
        <f t="shared" si="26"/>
        <v/>
      </c>
      <c r="AC54" t="str">
        <f t="shared" si="27"/>
        <v/>
      </c>
      <c r="AD54" t="str">
        <f t="shared" si="28"/>
        <v/>
      </c>
      <c r="AE54">
        <f t="shared" si="29"/>
        <v>0</v>
      </c>
      <c r="AF54">
        <f t="shared" si="30"/>
        <v>0</v>
      </c>
      <c r="AG54">
        <f t="shared" si="31"/>
        <v>0</v>
      </c>
    </row>
    <row r="55" spans="1:33" x14ac:dyDescent="0.3">
      <c r="A55" s="15">
        <v>29</v>
      </c>
      <c r="B55" s="16">
        <v>162</v>
      </c>
      <c r="C55" s="16">
        <v>185</v>
      </c>
      <c r="D55" s="16"/>
      <c r="E55" s="4">
        <f t="shared" si="4"/>
        <v>0</v>
      </c>
      <c r="F55" s="7">
        <f t="shared" si="5"/>
        <v>17.350000000000001</v>
      </c>
      <c r="G55" s="79"/>
      <c r="H55" s="71" t="str">
        <f t="shared" si="11"/>
        <v/>
      </c>
      <c r="I55" s="7">
        <f t="shared" si="12"/>
        <v>2.3642251864130843E-2</v>
      </c>
      <c r="J55" s="7" t="str">
        <f t="shared" si="13"/>
        <v/>
      </c>
      <c r="K55" s="7">
        <f t="shared" si="6"/>
        <v>19.459270739816322</v>
      </c>
      <c r="L55">
        <f t="shared" si="14"/>
        <v>19.459270739816322</v>
      </c>
      <c r="M55" s="201">
        <f t="shared" si="15"/>
        <v>0.20855179894339179</v>
      </c>
      <c r="N55" s="201">
        <f t="shared" si="16"/>
        <v>0.16914718612711818</v>
      </c>
      <c r="O55" s="160">
        <f t="shared" si="7"/>
        <v>0</v>
      </c>
      <c r="P55" s="202">
        <f t="shared" si="8"/>
        <v>0.12623951633691316</v>
      </c>
      <c r="Q55" s="202">
        <f t="shared" si="9"/>
        <v>0.16735131202175915</v>
      </c>
      <c r="R55" s="160">
        <f t="shared" si="17"/>
        <v>0</v>
      </c>
      <c r="S55" s="160">
        <f t="shared" si="18"/>
        <v>0.12623951633691316</v>
      </c>
      <c r="T55" s="160">
        <f t="shared" si="19"/>
        <v>4.1111795684845992E-2</v>
      </c>
      <c r="U55" s="160">
        <f t="shared" si="20"/>
        <v>1.7958741053590299E-3</v>
      </c>
      <c r="V55" s="206">
        <f t="shared" si="21"/>
        <v>14.493965062495597</v>
      </c>
      <c r="W55">
        <f t="shared" si="22"/>
        <v>0</v>
      </c>
      <c r="X55" s="160">
        <f t="shared" si="10"/>
        <v>0.12623951633691316</v>
      </c>
      <c r="Y55" s="160">
        <f t="shared" si="23"/>
        <v>4.1111795684845992E-2</v>
      </c>
      <c r="Z55" s="160">
        <f t="shared" si="24"/>
        <v>1.7958741053590299E-3</v>
      </c>
      <c r="AA55">
        <f t="shared" si="25"/>
        <v>93.44725998524649</v>
      </c>
      <c r="AB55">
        <f t="shared" si="26"/>
        <v>13.223774102630719</v>
      </c>
      <c r="AC55">
        <f t="shared" si="27"/>
        <v>10.315225303862906</v>
      </c>
      <c r="AD55">
        <f t="shared" si="28"/>
        <v>8.4556927420255246</v>
      </c>
      <c r="AE55">
        <f t="shared" si="29"/>
        <v>125.44195213376562</v>
      </c>
      <c r="AF55">
        <f t="shared" si="30"/>
        <v>31.197413495667512</v>
      </c>
      <c r="AG55">
        <f t="shared" si="31"/>
        <v>156.63936562943314</v>
      </c>
    </row>
    <row r="56" spans="1:33" x14ac:dyDescent="0.3">
      <c r="A56" s="15">
        <v>30</v>
      </c>
      <c r="B56" s="16">
        <v>239</v>
      </c>
      <c r="C56" s="16">
        <v>251</v>
      </c>
      <c r="D56" s="16"/>
      <c r="E56" s="4">
        <f t="shared" si="4"/>
        <v>0</v>
      </c>
      <c r="F56" s="7">
        <f t="shared" si="5"/>
        <v>24.5</v>
      </c>
      <c r="G56" s="79"/>
      <c r="H56" s="71" t="str">
        <f t="shared" si="11"/>
        <v/>
      </c>
      <c r="I56" s="7">
        <f t="shared" si="12"/>
        <v>4.7143524757931835E-2</v>
      </c>
      <c r="J56" s="7" t="str">
        <f t="shared" si="13"/>
        <v/>
      </c>
      <c r="K56" s="7">
        <f t="shared" si="6"/>
        <v>22.355428728322956</v>
      </c>
      <c r="L56">
        <f t="shared" si="14"/>
        <v>22.355428728322956</v>
      </c>
      <c r="M56" s="201">
        <f t="shared" si="15"/>
        <v>0.45324054434015826</v>
      </c>
      <c r="N56" s="201">
        <f t="shared" si="16"/>
        <v>0.36740283073739111</v>
      </c>
      <c r="O56" s="160">
        <f t="shared" si="7"/>
        <v>0</v>
      </c>
      <c r="P56" s="202">
        <f t="shared" si="8"/>
        <v>0.34468703825785463</v>
      </c>
      <c r="Q56" s="202">
        <f t="shared" si="9"/>
        <v>0.36654839876293699</v>
      </c>
      <c r="R56" s="160">
        <f t="shared" si="17"/>
        <v>0</v>
      </c>
      <c r="S56" s="160">
        <f t="shared" si="18"/>
        <v>0.34468703825785463</v>
      </c>
      <c r="T56" s="160">
        <f t="shared" si="19"/>
        <v>2.1861360505082361E-2</v>
      </c>
      <c r="U56" s="160">
        <f t="shared" si="20"/>
        <v>8.5443197445411734E-4</v>
      </c>
      <c r="V56" s="206">
        <f t="shared" si="21"/>
        <v>20.897049370131452</v>
      </c>
      <c r="W56">
        <f t="shared" si="22"/>
        <v>0</v>
      </c>
      <c r="X56" s="160">
        <f t="shared" si="10"/>
        <v>0.34468703825785463</v>
      </c>
      <c r="Y56" s="160">
        <f t="shared" si="23"/>
        <v>2.1861360505082361E-2</v>
      </c>
      <c r="Z56" s="160">
        <f t="shared" si="24"/>
        <v>8.5443197445411734E-4</v>
      </c>
      <c r="AA56">
        <f t="shared" si="25"/>
        <v>208.89412513732208</v>
      </c>
      <c r="AB56">
        <f t="shared" si="26"/>
        <v>34.941116591453067</v>
      </c>
      <c r="AC56">
        <f t="shared" si="27"/>
        <v>21.912268050123405</v>
      </c>
      <c r="AD56">
        <f t="shared" si="28"/>
        <v>15.149452051272021</v>
      </c>
      <c r="AE56">
        <f t="shared" si="29"/>
        <v>280.8969618301706</v>
      </c>
      <c r="AF56">
        <f t="shared" si="30"/>
        <v>69.859074407163433</v>
      </c>
      <c r="AG56">
        <f t="shared" si="31"/>
        <v>350.756036237334</v>
      </c>
    </row>
    <row r="57" spans="1:33" x14ac:dyDescent="0.3">
      <c r="A57" s="63">
        <v>31</v>
      </c>
      <c r="B57" s="60">
        <v>260</v>
      </c>
      <c r="C57" s="60">
        <v>278</v>
      </c>
      <c r="D57" s="60">
        <v>23</v>
      </c>
      <c r="E57" s="61">
        <f t="shared" si="4"/>
        <v>0</v>
      </c>
      <c r="F57" s="62">
        <f t="shared" si="5"/>
        <v>26.9</v>
      </c>
      <c r="G57" s="78">
        <v>15</v>
      </c>
      <c r="H57" s="71">
        <f t="shared" si="11"/>
        <v>23</v>
      </c>
      <c r="I57" s="7">
        <f t="shared" si="12"/>
        <v>5.683219650160274E-2</v>
      </c>
      <c r="J57" s="7">
        <f t="shared" si="13"/>
        <v>26.9</v>
      </c>
      <c r="K57" s="7">
        <f t="shared" si="6"/>
        <v>23.037129182967558</v>
      </c>
      <c r="L57">
        <f t="shared" si="14"/>
        <v>23</v>
      </c>
      <c r="M57" s="201">
        <f t="shared" si="15"/>
        <v>0.55382400461120296</v>
      </c>
      <c r="N57" s="201">
        <f t="shared" si="16"/>
        <v>0.44851729171578875</v>
      </c>
      <c r="O57" s="160">
        <f t="shared" si="7"/>
        <v>0.10975863392766272</v>
      </c>
      <c r="P57" s="202">
        <f t="shared" si="8"/>
        <v>0.42995978202429069</v>
      </c>
      <c r="Q57" s="202">
        <f t="shared" si="9"/>
        <v>0.44782641845069465</v>
      </c>
      <c r="R57" s="160">
        <f t="shared" si="17"/>
        <v>0.10975863392766272</v>
      </c>
      <c r="S57" s="160">
        <f t="shared" si="18"/>
        <v>0.32020114809662797</v>
      </c>
      <c r="T57" s="160">
        <f t="shared" si="19"/>
        <v>1.7866636426403959E-2</v>
      </c>
      <c r="U57" s="160">
        <f t="shared" si="20"/>
        <v>6.9087326509409408E-4</v>
      </c>
      <c r="V57" s="206">
        <f t="shared" si="21"/>
        <v>23.035536390250137</v>
      </c>
      <c r="W57">
        <f t="shared" si="22"/>
        <v>0</v>
      </c>
      <c r="X57" s="160">
        <f t="shared" si="10"/>
        <v>0.42995978202429069</v>
      </c>
      <c r="Y57" s="160">
        <f t="shared" si="23"/>
        <v>1.7866636426403959E-2</v>
      </c>
      <c r="Z57" s="160">
        <f t="shared" si="24"/>
        <v>6.9087326509409408E-4</v>
      </c>
      <c r="AA57">
        <f t="shared" si="25"/>
        <v>256.50509079751464</v>
      </c>
      <c r="AB57">
        <f t="shared" si="26"/>
        <v>45.009543973239367</v>
      </c>
      <c r="AC57">
        <f t="shared" si="27"/>
        <v>27.082010413312705</v>
      </c>
      <c r="AD57">
        <f t="shared" si="28"/>
        <v>17.857057206249731</v>
      </c>
      <c r="AE57">
        <f t="shared" si="29"/>
        <v>346.45370239031649</v>
      </c>
      <c r="AF57">
        <f t="shared" si="30"/>
        <v>86.163035784471717</v>
      </c>
      <c r="AG57">
        <f t="shared" si="31"/>
        <v>432.61673817478822</v>
      </c>
    </row>
    <row r="58" spans="1:33" x14ac:dyDescent="0.3">
      <c r="A58" s="15">
        <v>32</v>
      </c>
      <c r="B58" s="16">
        <v>195</v>
      </c>
      <c r="C58" s="16">
        <v>196</v>
      </c>
      <c r="D58" s="16">
        <v>20.5</v>
      </c>
      <c r="E58" s="4">
        <f t="shared" si="4"/>
        <v>0</v>
      </c>
      <c r="F58" s="7">
        <f t="shared" si="5"/>
        <v>19.55</v>
      </c>
      <c r="G58" s="79"/>
      <c r="H58" s="71" t="str">
        <f t="shared" si="11"/>
        <v/>
      </c>
      <c r="I58" s="7">
        <f t="shared" si="12"/>
        <v>3.0018114154591324E-2</v>
      </c>
      <c r="J58" s="7" t="str">
        <f t="shared" si="13"/>
        <v/>
      </c>
      <c r="K58" s="7">
        <f t="shared" si="6"/>
        <v>20.528697152392212</v>
      </c>
      <c r="L58">
        <f t="shared" si="14"/>
        <v>20.5</v>
      </c>
      <c r="M58" s="201">
        <f t="shared" si="15"/>
        <v>0.2739979616095311</v>
      </c>
      <c r="N58" s="201">
        <f t="shared" si="16"/>
        <v>0.2222641955017568</v>
      </c>
      <c r="O58" s="160">
        <f t="shared" si="7"/>
        <v>0</v>
      </c>
      <c r="P58" s="202">
        <f t="shared" si="8"/>
        <v>0.18699685811412356</v>
      </c>
      <c r="Q58" s="202">
        <f t="shared" si="9"/>
        <v>0.22086765903797606</v>
      </c>
      <c r="R58" s="160">
        <f t="shared" si="17"/>
        <v>0</v>
      </c>
      <c r="S58" s="160">
        <f t="shared" si="18"/>
        <v>0.18699685811412356</v>
      </c>
      <c r="T58" s="160">
        <f t="shared" si="19"/>
        <v>3.3870800923852501E-2</v>
      </c>
      <c r="U58" s="160">
        <f t="shared" si="20"/>
        <v>1.3965364637807398E-3</v>
      </c>
      <c r="V58" s="206">
        <f t="shared" si="21"/>
        <v>16.464493204761737</v>
      </c>
      <c r="W58">
        <f t="shared" si="22"/>
        <v>0</v>
      </c>
      <c r="X58" s="160">
        <f t="shared" si="10"/>
        <v>0.18699685811412356</v>
      </c>
      <c r="Y58" s="160">
        <f t="shared" si="23"/>
        <v>3.3870800923852501E-2</v>
      </c>
      <c r="Z58" s="160">
        <f t="shared" si="24"/>
        <v>1.3965364637807398E-3</v>
      </c>
      <c r="AA58">
        <f t="shared" si="25"/>
        <v>124.1278664849948</v>
      </c>
      <c r="AB58">
        <f t="shared" si="26"/>
        <v>18.589815694342711</v>
      </c>
      <c r="AC58">
        <f t="shared" si="27"/>
        <v>13.340227652148608</v>
      </c>
      <c r="AD58">
        <f t="shared" si="28"/>
        <v>10.315574474544976</v>
      </c>
      <c r="AE58">
        <f t="shared" si="29"/>
        <v>166.37348430603109</v>
      </c>
      <c r="AF58">
        <f t="shared" si="30"/>
        <v>41.377085546909932</v>
      </c>
      <c r="AG58">
        <f t="shared" si="31"/>
        <v>207.75056985294103</v>
      </c>
    </row>
    <row r="59" spans="1:33" x14ac:dyDescent="0.3">
      <c r="A59" s="15">
        <v>33</v>
      </c>
      <c r="B59" s="16">
        <v>83</v>
      </c>
      <c r="C59" s="16">
        <v>80</v>
      </c>
      <c r="D59" s="16">
        <v>11.5</v>
      </c>
      <c r="E59" s="4">
        <f t="shared" ref="E59:E90" si="32">IF(B59="",1,0)</f>
        <v>0</v>
      </c>
      <c r="F59" s="7">
        <f t="shared" ref="F59:F90" si="33">(B59+C59)/20</f>
        <v>8.15</v>
      </c>
      <c r="G59" s="79"/>
      <c r="H59" s="71" t="str">
        <f t="shared" si="11"/>
        <v/>
      </c>
      <c r="I59" s="7">
        <f t="shared" si="12"/>
        <v>5.2168109508267009E-3</v>
      </c>
      <c r="J59" s="7" t="str">
        <f t="shared" si="13"/>
        <v/>
      </c>
      <c r="K59" s="7">
        <f t="shared" ref="K59:K90" si="34">IF(E59=0,$I$12*EXP(($L$6+$M$6*$I$12+$N$6*$I$14/1000+$O$6*$I$17)*((1/F59)-(1/$I$18))),"")</f>
        <v>11.377650882108517</v>
      </c>
      <c r="L59">
        <f t="shared" si="14"/>
        <v>11.5</v>
      </c>
      <c r="M59" s="201">
        <f t="shared" si="15"/>
        <v>3.0047185956224649E-2</v>
      </c>
      <c r="N59" s="201">
        <f t="shared" si="16"/>
        <v>2.3936776496919224E-2</v>
      </c>
      <c r="O59" s="160">
        <f t="shared" ref="O59:O90" si="35">IF(F59&gt;$O$26,N59*EXP(-$AH$9*($O$26^$AI$9/F59^$AJ$9)),0)</f>
        <v>0</v>
      </c>
      <c r="P59" s="202">
        <f t="shared" ref="P59:P90" si="36">IF(F59&gt;$P$26,N59*EXP(-$AH$9*($P$26^$AI$9/F59^$AJ$9)),0)</f>
        <v>0</v>
      </c>
      <c r="Q59" s="202">
        <f t="shared" ref="Q59:Q90" si="37">IF(F59&gt;$Q$26,N59*EXP(-$AH$9*($Q$26^$AI$9/F59^$AJ$9)),0)</f>
        <v>1.7743429782391275E-2</v>
      </c>
      <c r="R59" s="160">
        <f t="shared" si="17"/>
        <v>0</v>
      </c>
      <c r="S59" s="160">
        <f t="shared" si="18"/>
        <v>0</v>
      </c>
      <c r="T59" s="160">
        <f t="shared" si="19"/>
        <v>1.7743429782391275E-2</v>
      </c>
      <c r="U59" s="160">
        <f t="shared" si="20"/>
        <v>6.1933467145279496E-3</v>
      </c>
      <c r="V59" s="206">
        <f t="shared" si="21"/>
        <v>6.1125936938939907</v>
      </c>
      <c r="W59">
        <f t="shared" si="22"/>
        <v>0</v>
      </c>
      <c r="X59" s="160">
        <f t="shared" ref="X59:X90" si="38">P59-W59</f>
        <v>0</v>
      </c>
      <c r="Y59" s="160">
        <f t="shared" si="23"/>
        <v>1.7743429782391275E-2</v>
      </c>
      <c r="Z59" s="160">
        <f t="shared" si="24"/>
        <v>6.1933467145279496E-3</v>
      </c>
      <c r="AA59">
        <f t="shared" si="25"/>
        <v>11.843043882011729</v>
      </c>
      <c r="AB59">
        <f t="shared" si="26"/>
        <v>1.237962885064942</v>
      </c>
      <c r="AC59">
        <f t="shared" si="27"/>
        <v>2.394010121805402</v>
      </c>
      <c r="AD59">
        <f t="shared" si="28"/>
        <v>2.7628754429646576</v>
      </c>
      <c r="AE59">
        <f t="shared" si="29"/>
        <v>18.23789233184673</v>
      </c>
      <c r="AF59">
        <f t="shared" si="30"/>
        <v>4.5357638229302815</v>
      </c>
      <c r="AG59">
        <f t="shared" si="31"/>
        <v>22.773656154777012</v>
      </c>
    </row>
    <row r="60" spans="1:33" x14ac:dyDescent="0.3">
      <c r="A60" s="15">
        <v>34</v>
      </c>
      <c r="B60" s="16">
        <v>225</v>
      </c>
      <c r="C60" s="16">
        <v>234</v>
      </c>
      <c r="D60" s="16"/>
      <c r="E60" s="4">
        <f t="shared" si="32"/>
        <v>0</v>
      </c>
      <c r="F60" s="7">
        <f t="shared" si="33"/>
        <v>22.95</v>
      </c>
      <c r="G60" s="79"/>
      <c r="H60" s="71" t="str">
        <f t="shared" si="11"/>
        <v/>
      </c>
      <c r="I60" s="7">
        <f t="shared" si="12"/>
        <v>4.136711761568445E-2</v>
      </c>
      <c r="J60" s="7" t="str">
        <f t="shared" si="13"/>
        <v/>
      </c>
      <c r="K60" s="7">
        <f t="shared" si="34"/>
        <v>21.852835790972868</v>
      </c>
      <c r="L60">
        <f t="shared" si="14"/>
        <v>21.852835790972868</v>
      </c>
      <c r="M60" s="201">
        <f t="shared" si="15"/>
        <v>0.39275985602806057</v>
      </c>
      <c r="N60" s="201">
        <f t="shared" si="16"/>
        <v>0.31850632557066161</v>
      </c>
      <c r="O60" s="160">
        <f t="shared" si="35"/>
        <v>0</v>
      </c>
      <c r="P60" s="202">
        <f t="shared" si="36"/>
        <v>0.2925065138347937</v>
      </c>
      <c r="Q60" s="202">
        <f t="shared" si="37"/>
        <v>0.31751839628052497</v>
      </c>
      <c r="R60" s="160">
        <f t="shared" si="17"/>
        <v>0</v>
      </c>
      <c r="S60" s="160">
        <f t="shared" si="18"/>
        <v>0.2925065138347937</v>
      </c>
      <c r="T60" s="160">
        <f t="shared" si="19"/>
        <v>2.5011882445731271E-2</v>
      </c>
      <c r="U60" s="160">
        <f t="shared" si="20"/>
        <v>9.8792929013663544E-4</v>
      </c>
      <c r="V60" s="206">
        <f t="shared" si="21"/>
        <v>19.511525489331696</v>
      </c>
      <c r="W60">
        <f t="shared" si="22"/>
        <v>0</v>
      </c>
      <c r="X60" s="160">
        <f t="shared" si="38"/>
        <v>0.2925065138347937</v>
      </c>
      <c r="Y60" s="160">
        <f t="shared" si="23"/>
        <v>2.5011882445731271E-2</v>
      </c>
      <c r="Z60" s="160">
        <f t="shared" si="24"/>
        <v>9.8792929013663544E-4</v>
      </c>
      <c r="AA60">
        <f t="shared" si="25"/>
        <v>180.24594506203755</v>
      </c>
      <c r="AB60">
        <f t="shared" si="26"/>
        <v>29.17996236380197</v>
      </c>
      <c r="AC60">
        <f t="shared" si="27"/>
        <v>18.941288525474544</v>
      </c>
      <c r="AD60">
        <f t="shared" si="28"/>
        <v>13.531305297883847</v>
      </c>
      <c r="AE60">
        <f t="shared" si="29"/>
        <v>241.89850124919789</v>
      </c>
      <c r="AF60">
        <f t="shared" si="30"/>
        <v>60.160157260675518</v>
      </c>
      <c r="AG60">
        <f t="shared" si="31"/>
        <v>302.0586585098734</v>
      </c>
    </row>
    <row r="61" spans="1:33" x14ac:dyDescent="0.3">
      <c r="A61" s="15">
        <v>35</v>
      </c>
      <c r="B61" s="16">
        <v>241</v>
      </c>
      <c r="C61" s="16">
        <v>244</v>
      </c>
      <c r="D61" s="16"/>
      <c r="E61" s="4">
        <f t="shared" si="32"/>
        <v>0</v>
      </c>
      <c r="F61" s="7">
        <f t="shared" si="33"/>
        <v>24.25</v>
      </c>
      <c r="G61" s="79"/>
      <c r="H61" s="71" t="str">
        <f t="shared" si="11"/>
        <v/>
      </c>
      <c r="I61" s="7">
        <f t="shared" si="12"/>
        <v>4.6186320746291191E-2</v>
      </c>
      <c r="J61" s="7" t="str">
        <f t="shared" si="13"/>
        <v/>
      </c>
      <c r="K61" s="7">
        <f t="shared" si="34"/>
        <v>22.27796999211472</v>
      </c>
      <c r="L61">
        <f t="shared" si="14"/>
        <v>22.27796999211472</v>
      </c>
      <c r="M61" s="201">
        <f t="shared" si="15"/>
        <v>0.44321301201094576</v>
      </c>
      <c r="N61" s="201">
        <f t="shared" si="16"/>
        <v>0.35930040665417329</v>
      </c>
      <c r="O61" s="160">
        <f t="shared" si="35"/>
        <v>0</v>
      </c>
      <c r="P61" s="202">
        <f t="shared" si="36"/>
        <v>0.33609104189066635</v>
      </c>
      <c r="Q61" s="202">
        <f t="shared" si="37"/>
        <v>0.35842617991300058</v>
      </c>
      <c r="R61" s="160">
        <f t="shared" si="17"/>
        <v>0</v>
      </c>
      <c r="S61" s="160">
        <f t="shared" si="18"/>
        <v>0.33609104189066635</v>
      </c>
      <c r="T61" s="160">
        <f t="shared" si="19"/>
        <v>2.2335138022334222E-2</v>
      </c>
      <c r="U61" s="160">
        <f t="shared" si="20"/>
        <v>8.7422674117271226E-4</v>
      </c>
      <c r="V61" s="206">
        <f t="shared" si="21"/>
        <v>20.673643254945453</v>
      </c>
      <c r="W61">
        <f t="shared" si="22"/>
        <v>0</v>
      </c>
      <c r="X61" s="160">
        <f t="shared" si="38"/>
        <v>0.33609104189066635</v>
      </c>
      <c r="Y61" s="160">
        <f t="shared" si="23"/>
        <v>2.2335138022334222E-2</v>
      </c>
      <c r="Z61" s="160">
        <f t="shared" si="24"/>
        <v>8.7422674117271226E-4</v>
      </c>
      <c r="AA61">
        <f t="shared" si="25"/>
        <v>204.14131478153854</v>
      </c>
      <c r="AB61">
        <f t="shared" si="26"/>
        <v>33.97052719899704</v>
      </c>
      <c r="AC61">
        <f t="shared" si="27"/>
        <v>21.415133911376685</v>
      </c>
      <c r="AD61">
        <f t="shared" si="28"/>
        <v>14.882228389667516</v>
      </c>
      <c r="AE61">
        <f t="shared" si="29"/>
        <v>274.40920428157978</v>
      </c>
      <c r="AF61">
        <f t="shared" si="30"/>
        <v>68.245569104828888</v>
      </c>
      <c r="AG61">
        <f t="shared" si="31"/>
        <v>342.65477338640869</v>
      </c>
    </row>
    <row r="62" spans="1:33" x14ac:dyDescent="0.3">
      <c r="A62" s="15">
        <v>36</v>
      </c>
      <c r="B62" s="16">
        <v>221</v>
      </c>
      <c r="C62" s="16">
        <v>218</v>
      </c>
      <c r="D62" s="16"/>
      <c r="E62" s="4">
        <f t="shared" si="32"/>
        <v>0</v>
      </c>
      <c r="F62" s="7">
        <f t="shared" si="33"/>
        <v>21.95</v>
      </c>
      <c r="G62" s="79"/>
      <c r="H62" s="71" t="str">
        <f t="shared" si="11"/>
        <v/>
      </c>
      <c r="I62" s="7">
        <f t="shared" si="12"/>
        <v>3.7840679862029901E-2</v>
      </c>
      <c r="J62" s="7" t="str">
        <f t="shared" si="13"/>
        <v/>
      </c>
      <c r="K62" s="7">
        <f t="shared" si="34"/>
        <v>21.497925563600365</v>
      </c>
      <c r="L62">
        <f t="shared" si="14"/>
        <v>21.497925563600365</v>
      </c>
      <c r="M62" s="201">
        <f t="shared" si="15"/>
        <v>0.35589318882643395</v>
      </c>
      <c r="N62" s="201">
        <f t="shared" si="16"/>
        <v>0.28866808513287656</v>
      </c>
      <c r="O62" s="160">
        <f t="shared" si="35"/>
        <v>0</v>
      </c>
      <c r="P62" s="202">
        <f t="shared" si="36"/>
        <v>0.26024501608209599</v>
      </c>
      <c r="Q62" s="202">
        <f t="shared" si="37"/>
        <v>0.28757856843065166</v>
      </c>
      <c r="R62" s="160">
        <f t="shared" si="17"/>
        <v>0</v>
      </c>
      <c r="S62" s="160">
        <f t="shared" si="18"/>
        <v>0.26024501608209599</v>
      </c>
      <c r="T62" s="160">
        <f t="shared" si="19"/>
        <v>2.7333552348555668E-2</v>
      </c>
      <c r="U62" s="160">
        <f t="shared" si="20"/>
        <v>1.0895167022249019E-3</v>
      </c>
      <c r="V62" s="206">
        <f t="shared" si="21"/>
        <v>18.617064854842727</v>
      </c>
      <c r="W62">
        <f t="shared" si="22"/>
        <v>0</v>
      </c>
      <c r="X62" s="160">
        <f t="shared" si="38"/>
        <v>0.26024501608209599</v>
      </c>
      <c r="Y62" s="160">
        <f t="shared" si="23"/>
        <v>2.7333552348555668E-2</v>
      </c>
      <c r="Z62" s="160">
        <f t="shared" si="24"/>
        <v>1.0895167022249019E-3</v>
      </c>
      <c r="AA62">
        <f t="shared" si="25"/>
        <v>162.80854522029895</v>
      </c>
      <c r="AB62">
        <f t="shared" si="26"/>
        <v>25.78283287795054</v>
      </c>
      <c r="AC62">
        <f t="shared" si="27"/>
        <v>17.163179456872221</v>
      </c>
      <c r="AD62">
        <f t="shared" si="28"/>
        <v>12.536290988440578</v>
      </c>
      <c r="AE62">
        <f t="shared" si="29"/>
        <v>218.2908485435623</v>
      </c>
      <c r="AF62">
        <f t="shared" si="30"/>
        <v>54.288934032783949</v>
      </c>
      <c r="AG62">
        <f t="shared" si="31"/>
        <v>272.57978257634625</v>
      </c>
    </row>
    <row r="63" spans="1:33" x14ac:dyDescent="0.3">
      <c r="A63" s="15">
        <v>37</v>
      </c>
      <c r="B63" s="16">
        <v>230</v>
      </c>
      <c r="C63" s="16">
        <v>222</v>
      </c>
      <c r="D63" s="16"/>
      <c r="E63" s="4">
        <f t="shared" si="32"/>
        <v>0</v>
      </c>
      <c r="F63" s="7">
        <f t="shared" si="33"/>
        <v>22.6</v>
      </c>
      <c r="G63" s="79"/>
      <c r="H63" s="71" t="str">
        <f t="shared" si="11"/>
        <v/>
      </c>
      <c r="I63" s="7">
        <f t="shared" si="12"/>
        <v>4.0114996593688071E-2</v>
      </c>
      <c r="J63" s="7" t="str">
        <f t="shared" si="13"/>
        <v/>
      </c>
      <c r="K63" s="7">
        <f t="shared" si="34"/>
        <v>21.731537327128052</v>
      </c>
      <c r="L63">
        <f t="shared" si="14"/>
        <v>21.731537327128052</v>
      </c>
      <c r="M63" s="201">
        <f t="shared" si="15"/>
        <v>0.37966334577827376</v>
      </c>
      <c r="N63" s="201">
        <f t="shared" si="16"/>
        <v>0.30790951824089374</v>
      </c>
      <c r="O63" s="160">
        <f t="shared" si="35"/>
        <v>0</v>
      </c>
      <c r="P63" s="202">
        <f t="shared" si="36"/>
        <v>0.28109024329228161</v>
      </c>
      <c r="Q63" s="202">
        <f t="shared" si="37"/>
        <v>0.30688755861327899</v>
      </c>
      <c r="R63" s="160">
        <f t="shared" si="17"/>
        <v>0</v>
      </c>
      <c r="S63" s="160">
        <f t="shared" si="18"/>
        <v>0.28109024329228161</v>
      </c>
      <c r="T63" s="160">
        <f t="shared" si="19"/>
        <v>2.5797315320997383E-2</v>
      </c>
      <c r="U63" s="160">
        <f t="shared" si="20"/>
        <v>1.0219596276147547E-3</v>
      </c>
      <c r="V63" s="206">
        <f t="shared" si="21"/>
        <v>19.198520324430422</v>
      </c>
      <c r="W63">
        <f t="shared" si="22"/>
        <v>0</v>
      </c>
      <c r="X63" s="160">
        <f t="shared" si="38"/>
        <v>0.28109024329228161</v>
      </c>
      <c r="Y63" s="160">
        <f t="shared" si="23"/>
        <v>2.5797315320997383E-2</v>
      </c>
      <c r="Z63" s="160">
        <f t="shared" si="24"/>
        <v>1.0219596276147547E-3</v>
      </c>
      <c r="AA63">
        <f t="shared" si="25"/>
        <v>174.04895675986523</v>
      </c>
      <c r="AB63">
        <f t="shared" si="26"/>
        <v>27.962803868777964</v>
      </c>
      <c r="AC63">
        <f t="shared" si="27"/>
        <v>18.306739187014426</v>
      </c>
      <c r="AD63">
        <f t="shared" si="28"/>
        <v>13.17867907432532</v>
      </c>
      <c r="AE63">
        <f t="shared" si="29"/>
        <v>233.49717888998293</v>
      </c>
      <c r="AF63">
        <f t="shared" si="30"/>
        <v>58.070748389938757</v>
      </c>
      <c r="AG63">
        <f t="shared" si="31"/>
        <v>291.56792727992172</v>
      </c>
    </row>
    <row r="64" spans="1:33" x14ac:dyDescent="0.3">
      <c r="A64" s="15">
        <v>38</v>
      </c>
      <c r="B64" s="16">
        <v>237</v>
      </c>
      <c r="C64" s="16">
        <v>229</v>
      </c>
      <c r="D64" s="16"/>
      <c r="E64" s="4">
        <f t="shared" si="32"/>
        <v>0</v>
      </c>
      <c r="F64" s="7">
        <f t="shared" si="33"/>
        <v>23.3</v>
      </c>
      <c r="G64" s="79"/>
      <c r="H64" s="71" t="str">
        <f t="shared" si="11"/>
        <v/>
      </c>
      <c r="I64" s="7">
        <f t="shared" si="12"/>
        <v>4.2638480892684065E-2</v>
      </c>
      <c r="J64" s="7" t="str">
        <f t="shared" si="13"/>
        <v/>
      </c>
      <c r="K64" s="7">
        <f t="shared" si="34"/>
        <v>21.971136902683117</v>
      </c>
      <c r="L64">
        <f t="shared" si="14"/>
        <v>21.971136902683117</v>
      </c>
      <c r="M64" s="201">
        <f t="shared" si="15"/>
        <v>0.40606356128045701</v>
      </c>
      <c r="N64" s="201">
        <f t="shared" si="16"/>
        <v>0.32926754000119252</v>
      </c>
      <c r="O64" s="160">
        <f t="shared" si="35"/>
        <v>0</v>
      </c>
      <c r="P64" s="202">
        <f t="shared" si="36"/>
        <v>0.30405742203131886</v>
      </c>
      <c r="Q64" s="202">
        <f t="shared" si="37"/>
        <v>0.3283121165540886</v>
      </c>
      <c r="R64" s="160">
        <f t="shared" si="17"/>
        <v>0</v>
      </c>
      <c r="S64" s="160">
        <f t="shared" si="18"/>
        <v>0.30405742203131886</v>
      </c>
      <c r="T64" s="160">
        <f t="shared" si="19"/>
        <v>2.4254694522769737E-2</v>
      </c>
      <c r="U64" s="160">
        <f t="shared" si="20"/>
        <v>9.5542344710392024E-4</v>
      </c>
      <c r="V64" s="206">
        <f t="shared" si="21"/>
        <v>19.824474188701984</v>
      </c>
      <c r="W64">
        <f t="shared" si="22"/>
        <v>0</v>
      </c>
      <c r="X64" s="160">
        <f t="shared" si="38"/>
        <v>0.30405742203131886</v>
      </c>
      <c r="Y64" s="160">
        <f t="shared" si="23"/>
        <v>2.4254694522769737E-2</v>
      </c>
      <c r="Z64" s="160">
        <f t="shared" si="24"/>
        <v>9.5542344710392024E-4</v>
      </c>
      <c r="AA64">
        <f t="shared" si="25"/>
        <v>186.54355689349362</v>
      </c>
      <c r="AB64">
        <f t="shared" si="26"/>
        <v>30.42773100179144</v>
      </c>
      <c r="AC64">
        <f t="shared" si="27"/>
        <v>19.589110472831262</v>
      </c>
      <c r="AD64">
        <f t="shared" si="28"/>
        <v>13.888635849027859</v>
      </c>
      <c r="AE64">
        <f t="shared" si="29"/>
        <v>250.44903421714417</v>
      </c>
      <c r="AF64">
        <f t="shared" si="30"/>
        <v>62.286674809803756</v>
      </c>
      <c r="AG64">
        <f t="shared" si="31"/>
        <v>312.73570902694792</v>
      </c>
    </row>
    <row r="65" spans="1:33" x14ac:dyDescent="0.3">
      <c r="A65" s="15">
        <v>39</v>
      </c>
      <c r="B65" s="16">
        <v>247</v>
      </c>
      <c r="C65" s="16">
        <v>251</v>
      </c>
      <c r="D65" s="16">
        <v>22</v>
      </c>
      <c r="E65" s="4">
        <f t="shared" si="32"/>
        <v>0</v>
      </c>
      <c r="F65" s="7">
        <f t="shared" si="33"/>
        <v>24.9</v>
      </c>
      <c r="G65" s="79"/>
      <c r="H65" s="71" t="str">
        <f t="shared" si="11"/>
        <v/>
      </c>
      <c r="I65" s="7">
        <f t="shared" si="12"/>
        <v>4.8695471528805184E-2</v>
      </c>
      <c r="J65" s="7" t="str">
        <f t="shared" si="13"/>
        <v/>
      </c>
      <c r="K65" s="7">
        <f t="shared" si="34"/>
        <v>22.476664623110608</v>
      </c>
      <c r="L65">
        <f t="shared" si="14"/>
        <v>22</v>
      </c>
      <c r="M65" s="201">
        <f t="shared" si="15"/>
        <v>0.45885273826408113</v>
      </c>
      <c r="N65" s="201">
        <f t="shared" si="16"/>
        <v>0.37122155493723757</v>
      </c>
      <c r="O65" s="160">
        <f t="shared" si="35"/>
        <v>0</v>
      </c>
      <c r="P65" s="202">
        <f t="shared" si="36"/>
        <v>0.34980595371454243</v>
      </c>
      <c r="Q65" s="202">
        <f t="shared" si="37"/>
        <v>0.37041771651177879</v>
      </c>
      <c r="R65" s="160">
        <f t="shared" si="17"/>
        <v>0</v>
      </c>
      <c r="S65" s="160">
        <f t="shared" si="18"/>
        <v>0.34980595371454243</v>
      </c>
      <c r="T65" s="160">
        <f t="shared" si="19"/>
        <v>2.0611762797236366E-2</v>
      </c>
      <c r="U65" s="160">
        <f t="shared" si="20"/>
        <v>8.0383842545878048E-4</v>
      </c>
      <c r="V65" s="206">
        <f t="shared" si="21"/>
        <v>21.189801083311707</v>
      </c>
      <c r="W65">
        <f t="shared" si="22"/>
        <v>0</v>
      </c>
      <c r="X65" s="160">
        <f t="shared" si="38"/>
        <v>0.34980595371454243</v>
      </c>
      <c r="Y65" s="160">
        <f t="shared" si="23"/>
        <v>2.0611762797236366E-2</v>
      </c>
      <c r="Z65" s="160">
        <f t="shared" si="24"/>
        <v>8.0383842545878048E-4</v>
      </c>
      <c r="AA65">
        <f t="shared" si="25"/>
        <v>210.33700198417816</v>
      </c>
      <c r="AB65">
        <f t="shared" si="26"/>
        <v>35.687850097156691</v>
      </c>
      <c r="AC65">
        <f t="shared" si="27"/>
        <v>23.140373745421314</v>
      </c>
      <c r="AD65">
        <f t="shared" si="28"/>
        <v>15.8216594708047</v>
      </c>
      <c r="AE65">
        <f t="shared" si="29"/>
        <v>284.98688529756089</v>
      </c>
      <c r="AF65">
        <f t="shared" si="30"/>
        <v>70.876238373503398</v>
      </c>
      <c r="AG65">
        <f t="shared" si="31"/>
        <v>355.86312367106427</v>
      </c>
    </row>
    <row r="66" spans="1:33" x14ac:dyDescent="0.3">
      <c r="A66" s="15">
        <v>40</v>
      </c>
      <c r="B66" s="16">
        <v>214</v>
      </c>
      <c r="C66" s="16">
        <v>223</v>
      </c>
      <c r="D66" s="16"/>
      <c r="E66" s="4">
        <f t="shared" si="32"/>
        <v>0</v>
      </c>
      <c r="F66" s="7">
        <f t="shared" si="33"/>
        <v>21.85</v>
      </c>
      <c r="G66" s="79"/>
      <c r="H66" s="71" t="str">
        <f t="shared" si="11"/>
        <v/>
      </c>
      <c r="I66" s="7">
        <f t="shared" si="12"/>
        <v>3.7496675466461828E-2</v>
      </c>
      <c r="J66" s="7" t="str">
        <f t="shared" si="13"/>
        <v/>
      </c>
      <c r="K66" s="7">
        <f t="shared" si="34"/>
        <v>21.460983948538317</v>
      </c>
      <c r="L66">
        <f t="shared" si="14"/>
        <v>21.460983948538317</v>
      </c>
      <c r="M66" s="201">
        <f t="shared" si="15"/>
        <v>0.35230013998801907</v>
      </c>
      <c r="N66" s="201">
        <f t="shared" si="16"/>
        <v>0.2857586516653482</v>
      </c>
      <c r="O66" s="160">
        <f t="shared" si="35"/>
        <v>0</v>
      </c>
      <c r="P66" s="202">
        <f t="shared" si="36"/>
        <v>0.25707913481033462</v>
      </c>
      <c r="Q66" s="202">
        <f t="shared" si="37"/>
        <v>0.28465820711922468</v>
      </c>
      <c r="R66" s="160">
        <f t="shared" si="17"/>
        <v>0</v>
      </c>
      <c r="S66" s="160">
        <f t="shared" si="18"/>
        <v>0.25707913481033462</v>
      </c>
      <c r="T66" s="160">
        <f t="shared" si="19"/>
        <v>2.7579072308890062E-2</v>
      </c>
      <c r="U66" s="160">
        <f t="shared" si="20"/>
        <v>1.1004445461235135E-3</v>
      </c>
      <c r="V66" s="206">
        <f t="shared" si="21"/>
        <v>18.527590640362614</v>
      </c>
      <c r="W66">
        <f t="shared" si="22"/>
        <v>0</v>
      </c>
      <c r="X66" s="160">
        <f t="shared" si="38"/>
        <v>0.25707913481033462</v>
      </c>
      <c r="Y66" s="160">
        <f t="shared" si="23"/>
        <v>2.7579072308890062E-2</v>
      </c>
      <c r="Z66" s="160">
        <f t="shared" si="24"/>
        <v>1.1004445461235135E-3</v>
      </c>
      <c r="AA66">
        <f t="shared" si="25"/>
        <v>161.11033295262735</v>
      </c>
      <c r="AB66">
        <f t="shared" si="26"/>
        <v>25.456666424008819</v>
      </c>
      <c r="AC66">
        <f t="shared" si="27"/>
        <v>16.991242188762104</v>
      </c>
      <c r="AD66">
        <f t="shared" si="28"/>
        <v>12.438903921881385</v>
      </c>
      <c r="AE66">
        <f t="shared" si="29"/>
        <v>215.99714548727965</v>
      </c>
      <c r="AF66">
        <f t="shared" si="30"/>
        <v>53.718490082686451</v>
      </c>
      <c r="AG66">
        <f t="shared" si="31"/>
        <v>269.71563556996608</v>
      </c>
    </row>
    <row r="67" spans="1:33" x14ac:dyDescent="0.3">
      <c r="A67" s="60">
        <v>41</v>
      </c>
      <c r="B67" s="60">
        <v>281</v>
      </c>
      <c r="C67" s="60">
        <v>289</v>
      </c>
      <c r="D67" s="60"/>
      <c r="E67" s="61">
        <f t="shared" si="32"/>
        <v>0</v>
      </c>
      <c r="F67" s="62">
        <f t="shared" si="33"/>
        <v>28.5</v>
      </c>
      <c r="G67" s="78">
        <v>6</v>
      </c>
      <c r="H67" s="71" t="str">
        <f t="shared" si="11"/>
        <v/>
      </c>
      <c r="I67" s="7">
        <f t="shared" si="12"/>
        <v>6.3793965821957732E-2</v>
      </c>
      <c r="J67" s="7">
        <f t="shared" si="13"/>
        <v>28.5</v>
      </c>
      <c r="K67" s="7">
        <f t="shared" si="34"/>
        <v>23.437141536783464</v>
      </c>
      <c r="L67">
        <f t="shared" si="14"/>
        <v>23.437141536783464</v>
      </c>
      <c r="M67" s="201">
        <f t="shared" si="15"/>
        <v>0.62772485368217912</v>
      </c>
      <c r="N67" s="201">
        <f t="shared" si="16"/>
        <v>0.50812716254981771</v>
      </c>
      <c r="O67" s="160">
        <f t="shared" si="35"/>
        <v>0.17069008782597903</v>
      </c>
      <c r="P67" s="202">
        <f t="shared" si="36"/>
        <v>0.49175734266934396</v>
      </c>
      <c r="Q67" s="202">
        <f t="shared" si="37"/>
        <v>0.50752050178135555</v>
      </c>
      <c r="R67" s="160">
        <f t="shared" si="17"/>
        <v>0.17069008782597903</v>
      </c>
      <c r="S67" s="160">
        <f t="shared" si="18"/>
        <v>0.32106725484336496</v>
      </c>
      <c r="T67" s="160">
        <f t="shared" si="19"/>
        <v>1.5763159112011593E-2</v>
      </c>
      <c r="U67" s="160">
        <f t="shared" si="20"/>
        <v>6.0666076846216388E-4</v>
      </c>
      <c r="V67" s="206">
        <f t="shared" si="21"/>
        <v>24.468850940364835</v>
      </c>
      <c r="W67">
        <f t="shared" si="22"/>
        <v>0</v>
      </c>
      <c r="X67" s="160">
        <f t="shared" si="38"/>
        <v>0.49175734266934396</v>
      </c>
      <c r="Y67" s="160">
        <f t="shared" si="23"/>
        <v>1.5763159112011593E-2</v>
      </c>
      <c r="Z67" s="160">
        <f t="shared" si="24"/>
        <v>6.0666076846216388E-4</v>
      </c>
      <c r="AA67">
        <f t="shared" si="25"/>
        <v>291.72348992556607</v>
      </c>
      <c r="AB67">
        <f t="shared" si="26"/>
        <v>52.708847070889504</v>
      </c>
      <c r="AC67">
        <f t="shared" si="27"/>
        <v>30.838484047787681</v>
      </c>
      <c r="AD67">
        <f t="shared" si="28"/>
        <v>19.750289288808087</v>
      </c>
      <c r="AE67">
        <f t="shared" si="29"/>
        <v>395.0211103330513</v>
      </c>
      <c r="AF67">
        <f t="shared" si="30"/>
        <v>98.241750139829861</v>
      </c>
      <c r="AG67">
        <f t="shared" si="31"/>
        <v>493.26286047288113</v>
      </c>
    </row>
    <row r="68" spans="1:33" x14ac:dyDescent="0.3">
      <c r="A68" s="16">
        <v>42</v>
      </c>
      <c r="B68" s="16">
        <v>215</v>
      </c>
      <c r="C68" s="16">
        <v>213</v>
      </c>
      <c r="D68" s="16"/>
      <c r="E68" s="4">
        <f t="shared" si="32"/>
        <v>0</v>
      </c>
      <c r="F68" s="7">
        <f t="shared" si="33"/>
        <v>21.4</v>
      </c>
      <c r="G68" s="79"/>
      <c r="H68" s="71" t="str">
        <f t="shared" si="11"/>
        <v/>
      </c>
      <c r="I68" s="7">
        <f t="shared" si="12"/>
        <v>3.5968094290949534E-2</v>
      </c>
      <c r="J68" s="7" t="str">
        <f t="shared" si="13"/>
        <v/>
      </c>
      <c r="K68" s="7">
        <f t="shared" si="34"/>
        <v>21.291295220654007</v>
      </c>
      <c r="L68">
        <f t="shared" si="14"/>
        <v>21.291295220654007</v>
      </c>
      <c r="M68" s="201">
        <f t="shared" si="15"/>
        <v>0.33634306963348826</v>
      </c>
      <c r="N68" s="201">
        <f t="shared" si="16"/>
        <v>0.27283456238914078</v>
      </c>
      <c r="O68" s="160">
        <f t="shared" si="35"/>
        <v>0</v>
      </c>
      <c r="P68" s="202">
        <f t="shared" si="36"/>
        <v>0.24296817993793837</v>
      </c>
      <c r="Q68" s="202">
        <f t="shared" si="37"/>
        <v>0.27168305601254833</v>
      </c>
      <c r="R68" s="160">
        <f t="shared" si="17"/>
        <v>0</v>
      </c>
      <c r="S68" s="160">
        <f t="shared" si="18"/>
        <v>0.24296817993793837</v>
      </c>
      <c r="T68" s="160">
        <f t="shared" si="19"/>
        <v>2.8714876074609957E-2</v>
      </c>
      <c r="U68" s="160">
        <f t="shared" si="20"/>
        <v>1.1515063765924483E-3</v>
      </c>
      <c r="V68" s="206">
        <f t="shared" si="21"/>
        <v>18.124888161284442</v>
      </c>
      <c r="W68">
        <f t="shared" si="22"/>
        <v>0</v>
      </c>
      <c r="X68" s="160">
        <f t="shared" si="38"/>
        <v>0.24296817993793837</v>
      </c>
      <c r="Y68" s="160">
        <f t="shared" si="23"/>
        <v>2.8714876074609957E-2</v>
      </c>
      <c r="Z68" s="160">
        <f t="shared" si="24"/>
        <v>1.1515063765924483E-3</v>
      </c>
      <c r="AA68">
        <f t="shared" si="25"/>
        <v>153.57141089731243</v>
      </c>
      <c r="AB68">
        <f t="shared" si="26"/>
        <v>24.019063962574389</v>
      </c>
      <c r="AC68">
        <f t="shared" si="27"/>
        <v>16.23059681890998</v>
      </c>
      <c r="AD68">
        <f t="shared" si="28"/>
        <v>12.005423322881004</v>
      </c>
      <c r="AE68">
        <f t="shared" si="29"/>
        <v>205.82649500167781</v>
      </c>
      <c r="AF68">
        <f t="shared" si="30"/>
        <v>51.189049306917276</v>
      </c>
      <c r="AG68">
        <f t="shared" si="31"/>
        <v>257.01554430859511</v>
      </c>
    </row>
    <row r="69" spans="1:33" x14ac:dyDescent="0.3">
      <c r="A69" s="16">
        <v>43</v>
      </c>
      <c r="B69" s="16">
        <v>194</v>
      </c>
      <c r="C69" s="16">
        <v>187</v>
      </c>
      <c r="D69" s="16"/>
      <c r="E69" s="4">
        <f t="shared" si="32"/>
        <v>0</v>
      </c>
      <c r="F69" s="7">
        <f t="shared" si="33"/>
        <v>19.05</v>
      </c>
      <c r="G69" s="79"/>
      <c r="H69" s="71" t="str">
        <f t="shared" si="11"/>
        <v/>
      </c>
      <c r="I69" s="7">
        <f t="shared" si="12"/>
        <v>2.8502295699234247E-2</v>
      </c>
      <c r="J69" s="7" t="str">
        <f t="shared" si="13"/>
        <v/>
      </c>
      <c r="K69" s="7">
        <f t="shared" si="34"/>
        <v>20.302615214978562</v>
      </c>
      <c r="L69">
        <f t="shared" si="14"/>
        <v>20.302615214978562</v>
      </c>
      <c r="M69" s="201">
        <f t="shared" si="15"/>
        <v>0.25869137339952381</v>
      </c>
      <c r="N69" s="201">
        <f t="shared" si="16"/>
        <v>0.20986965826920889</v>
      </c>
      <c r="O69" s="160">
        <f t="shared" si="35"/>
        <v>0</v>
      </c>
      <c r="P69" s="202">
        <f t="shared" si="36"/>
        <v>0.17291270060492345</v>
      </c>
      <c r="Q69" s="202">
        <f t="shared" si="37"/>
        <v>0.20839185938031629</v>
      </c>
      <c r="R69" s="160">
        <f t="shared" si="17"/>
        <v>0</v>
      </c>
      <c r="S69" s="160">
        <f t="shared" si="18"/>
        <v>0.17291270060492345</v>
      </c>
      <c r="T69" s="160">
        <f t="shared" si="19"/>
        <v>3.5479158775392844E-2</v>
      </c>
      <c r="U69" s="160">
        <f t="shared" si="20"/>
        <v>1.4777988888926008E-3</v>
      </c>
      <c r="V69" s="206">
        <f t="shared" si="21"/>
        <v>16.019747003321068</v>
      </c>
      <c r="W69">
        <f t="shared" si="22"/>
        <v>0</v>
      </c>
      <c r="X69" s="160">
        <f t="shared" si="38"/>
        <v>0.17291270060492345</v>
      </c>
      <c r="Y69" s="160">
        <f t="shared" si="23"/>
        <v>3.5479158775392844E-2</v>
      </c>
      <c r="Z69" s="160">
        <f t="shared" si="24"/>
        <v>1.4777988888926008E-3</v>
      </c>
      <c r="AA69">
        <f t="shared" si="25"/>
        <v>116.97175015193166</v>
      </c>
      <c r="AB69">
        <f t="shared" si="26"/>
        <v>17.295884015319334</v>
      </c>
      <c r="AC69">
        <f t="shared" si="27"/>
        <v>12.598616194068139</v>
      </c>
      <c r="AD69">
        <f t="shared" si="28"/>
        <v>9.8684866631285093</v>
      </c>
      <c r="AE69">
        <f t="shared" si="29"/>
        <v>156.73473702444767</v>
      </c>
      <c r="AF69">
        <f t="shared" si="30"/>
        <v>38.979929097980133</v>
      </c>
      <c r="AG69">
        <f t="shared" si="31"/>
        <v>195.71466612242779</v>
      </c>
    </row>
    <row r="70" spans="1:33" x14ac:dyDescent="0.3">
      <c r="A70" s="16">
        <v>44</v>
      </c>
      <c r="B70" s="16">
        <v>248</v>
      </c>
      <c r="C70" s="16">
        <v>247</v>
      </c>
      <c r="D70" s="16"/>
      <c r="E70" s="4">
        <f t="shared" si="32"/>
        <v>0</v>
      </c>
      <c r="F70" s="7">
        <f t="shared" si="33"/>
        <v>24.75</v>
      </c>
      <c r="G70" s="79"/>
      <c r="H70" s="71" t="str">
        <f t="shared" si="11"/>
        <v/>
      </c>
      <c r="I70" s="7">
        <f t="shared" si="12"/>
        <v>4.8110546246614941E-2</v>
      </c>
      <c r="J70" s="7" t="str">
        <f t="shared" si="13"/>
        <v/>
      </c>
      <c r="K70" s="7">
        <f t="shared" si="34"/>
        <v>22.431583847163566</v>
      </c>
      <c r="L70">
        <f t="shared" si="14"/>
        <v>22.431583847163566</v>
      </c>
      <c r="M70" s="201">
        <f t="shared" si="15"/>
        <v>0.463372382138385</v>
      </c>
      <c r="N70" s="201">
        <f t="shared" si="16"/>
        <v>0.37558777259750781</v>
      </c>
      <c r="O70" s="160">
        <f t="shared" si="35"/>
        <v>0</v>
      </c>
      <c r="P70" s="202">
        <f t="shared" si="36"/>
        <v>0.35335250185937128</v>
      </c>
      <c r="Q70" s="202">
        <f t="shared" si="37"/>
        <v>0.37475252863951369</v>
      </c>
      <c r="R70" s="160">
        <f t="shared" si="17"/>
        <v>0</v>
      </c>
      <c r="S70" s="160">
        <f t="shared" si="18"/>
        <v>0.35335250185937128</v>
      </c>
      <c r="T70" s="160">
        <f t="shared" si="19"/>
        <v>2.1400026780142412E-2</v>
      </c>
      <c r="U70" s="160">
        <f t="shared" si="20"/>
        <v>8.3524395799411399E-4</v>
      </c>
      <c r="V70" s="206">
        <f t="shared" si="21"/>
        <v>21.120432331187004</v>
      </c>
      <c r="W70">
        <f t="shared" si="22"/>
        <v>0</v>
      </c>
      <c r="X70" s="160">
        <f t="shared" si="38"/>
        <v>0.35335250185937128</v>
      </c>
      <c r="Y70" s="160">
        <f t="shared" si="23"/>
        <v>2.1400026780142412E-2</v>
      </c>
      <c r="Z70" s="160">
        <f t="shared" si="24"/>
        <v>8.3524395799411399E-4</v>
      </c>
      <c r="AA70">
        <f t="shared" si="25"/>
        <v>213.69744024181381</v>
      </c>
      <c r="AB70">
        <f t="shared" si="26"/>
        <v>35.927800093096266</v>
      </c>
      <c r="AC70">
        <f t="shared" si="27"/>
        <v>22.416384740416529</v>
      </c>
      <c r="AD70">
        <f t="shared" si="28"/>
        <v>15.419070849768184</v>
      </c>
      <c r="AE70">
        <f t="shared" si="29"/>
        <v>287.46069592509474</v>
      </c>
      <c r="AF70">
        <f t="shared" si="30"/>
        <v>71.491475076571064</v>
      </c>
      <c r="AG70">
        <f t="shared" si="31"/>
        <v>358.95217100166582</v>
      </c>
    </row>
    <row r="71" spans="1:33" x14ac:dyDescent="0.3">
      <c r="A71" s="16">
        <v>45</v>
      </c>
      <c r="B71" s="16">
        <v>258</v>
      </c>
      <c r="C71" s="16">
        <v>259</v>
      </c>
      <c r="D71" s="16"/>
      <c r="E71" s="4">
        <f t="shared" si="32"/>
        <v>0</v>
      </c>
      <c r="F71" s="7">
        <f t="shared" si="33"/>
        <v>25.85</v>
      </c>
      <c r="G71" s="79"/>
      <c r="H71" s="71" t="str">
        <f t="shared" si="11"/>
        <v/>
      </c>
      <c r="I71" s="7">
        <f t="shared" si="12"/>
        <v>5.248207242408514E-2</v>
      </c>
      <c r="J71" s="7" t="str">
        <f t="shared" si="13"/>
        <v/>
      </c>
      <c r="K71" s="7">
        <f t="shared" si="34"/>
        <v>22.75197372068488</v>
      </c>
      <c r="L71">
        <f t="shared" si="14"/>
        <v>22.75197372068488</v>
      </c>
      <c r="M71" s="201">
        <f t="shared" si="15"/>
        <v>0.50918617151855905</v>
      </c>
      <c r="N71" s="201">
        <f t="shared" si="16"/>
        <v>0.41257656207396148</v>
      </c>
      <c r="O71" s="160">
        <f t="shared" si="35"/>
        <v>7.7045490087163548E-2</v>
      </c>
      <c r="P71" s="202">
        <f t="shared" si="36"/>
        <v>0.39230925219213075</v>
      </c>
      <c r="Q71" s="202">
        <f t="shared" si="37"/>
        <v>0.41181910287391654</v>
      </c>
      <c r="R71" s="160">
        <f t="shared" si="17"/>
        <v>7.7045490087163548E-2</v>
      </c>
      <c r="S71" s="160">
        <f t="shared" si="18"/>
        <v>0.3152637621049672</v>
      </c>
      <c r="T71" s="160">
        <f t="shared" si="19"/>
        <v>1.950985068178579E-2</v>
      </c>
      <c r="U71" s="160">
        <f t="shared" si="20"/>
        <v>7.5745920004494094E-4</v>
      </c>
      <c r="V71" s="206">
        <f t="shared" si="21"/>
        <v>22.103061069828634</v>
      </c>
      <c r="W71">
        <f t="shared" si="22"/>
        <v>0</v>
      </c>
      <c r="X71" s="160">
        <f t="shared" si="38"/>
        <v>0.39230925219213075</v>
      </c>
      <c r="Y71" s="160">
        <f t="shared" si="23"/>
        <v>1.950985068178579E-2</v>
      </c>
      <c r="Z71" s="160">
        <f t="shared" si="24"/>
        <v>7.5745920004494094E-4</v>
      </c>
      <c r="AA71">
        <f t="shared" si="25"/>
        <v>235.42878833073888</v>
      </c>
      <c r="AB71">
        <f t="shared" si="26"/>
        <v>40.46228650002638</v>
      </c>
      <c r="AC71">
        <f t="shared" si="27"/>
        <v>24.718296391698061</v>
      </c>
      <c r="AD71">
        <f t="shared" si="28"/>
        <v>16.633829039639242</v>
      </c>
      <c r="AE71">
        <f t="shared" si="29"/>
        <v>317.24320026210256</v>
      </c>
      <c r="AF71">
        <f t="shared" si="30"/>
        <v>78.898383905184915</v>
      </c>
      <c r="AG71">
        <f t="shared" si="31"/>
        <v>396.14158416728748</v>
      </c>
    </row>
    <row r="72" spans="1:33" x14ac:dyDescent="0.3">
      <c r="A72" s="16">
        <v>46</v>
      </c>
      <c r="B72" s="16">
        <v>246</v>
      </c>
      <c r="C72" s="16">
        <v>258</v>
      </c>
      <c r="D72" s="16"/>
      <c r="E72" s="4">
        <f t="shared" si="32"/>
        <v>0</v>
      </c>
      <c r="F72" s="7">
        <f t="shared" si="33"/>
        <v>25.2</v>
      </c>
      <c r="G72" s="79"/>
      <c r="H72" s="71" t="str">
        <f t="shared" si="11"/>
        <v/>
      </c>
      <c r="I72" s="7">
        <f t="shared" si="12"/>
        <v>4.987592496839155E-2</v>
      </c>
      <c r="J72" s="7" t="str">
        <f t="shared" si="13"/>
        <v/>
      </c>
      <c r="K72" s="7">
        <f t="shared" si="34"/>
        <v>22.565480082907552</v>
      </c>
      <c r="L72">
        <f t="shared" si="14"/>
        <v>22.565480082907552</v>
      </c>
      <c r="M72" s="201">
        <f t="shared" si="15"/>
        <v>0.48187184879050138</v>
      </c>
      <c r="N72" s="201">
        <f t="shared" si="16"/>
        <v>0.39052794417700032</v>
      </c>
      <c r="O72" s="160">
        <f t="shared" si="35"/>
        <v>5.9734450710263641E-2</v>
      </c>
      <c r="P72" s="202">
        <f t="shared" si="36"/>
        <v>0.36912582978848352</v>
      </c>
      <c r="Q72" s="202">
        <f t="shared" si="37"/>
        <v>0.38972578298752791</v>
      </c>
      <c r="R72" s="160">
        <f t="shared" si="17"/>
        <v>5.9734450710263641E-2</v>
      </c>
      <c r="S72" s="160">
        <f t="shared" si="18"/>
        <v>0.3093913790782199</v>
      </c>
      <c r="T72" s="160">
        <f t="shared" si="19"/>
        <v>2.0599953199044396E-2</v>
      </c>
      <c r="U72" s="160">
        <f t="shared" si="20"/>
        <v>8.0216118947240567E-4</v>
      </c>
      <c r="V72" s="206">
        <f t="shared" si="21"/>
        <v>21.522465745626636</v>
      </c>
      <c r="W72">
        <f t="shared" si="22"/>
        <v>0</v>
      </c>
      <c r="X72" s="160">
        <f t="shared" si="38"/>
        <v>0.36912582978848352</v>
      </c>
      <c r="Y72" s="160">
        <f t="shared" si="23"/>
        <v>2.0599953199044396E-2</v>
      </c>
      <c r="Z72" s="160">
        <f t="shared" si="24"/>
        <v>8.0216118947240567E-4</v>
      </c>
      <c r="AA72">
        <f t="shared" si="25"/>
        <v>222.47026893308831</v>
      </c>
      <c r="AB72">
        <f t="shared" si="26"/>
        <v>37.744625625999667</v>
      </c>
      <c r="AC72">
        <f t="shared" si="27"/>
        <v>23.341497589397697</v>
      </c>
      <c r="AD72">
        <f t="shared" si="28"/>
        <v>15.910418041117897</v>
      </c>
      <c r="AE72">
        <f t="shared" si="29"/>
        <v>299.46681018960356</v>
      </c>
      <c r="AF72">
        <f t="shared" si="30"/>
        <v>74.47739569415441</v>
      </c>
      <c r="AG72">
        <f t="shared" si="31"/>
        <v>373.94420588375795</v>
      </c>
    </row>
    <row r="73" spans="1:33" x14ac:dyDescent="0.3">
      <c r="A73" s="16">
        <v>47</v>
      </c>
      <c r="B73" s="16">
        <v>197</v>
      </c>
      <c r="C73" s="16">
        <v>211</v>
      </c>
      <c r="D73" s="16"/>
      <c r="E73" s="4">
        <f t="shared" si="32"/>
        <v>0</v>
      </c>
      <c r="F73" s="7">
        <f t="shared" si="33"/>
        <v>20.399999999999999</v>
      </c>
      <c r="G73" s="79"/>
      <c r="H73" s="71" t="str">
        <f t="shared" si="11"/>
        <v/>
      </c>
      <c r="I73" s="7">
        <f t="shared" si="12"/>
        <v>3.2685129967948208E-2</v>
      </c>
      <c r="J73" s="7" t="str">
        <f t="shared" si="13"/>
        <v/>
      </c>
      <c r="K73" s="7">
        <f t="shared" si="34"/>
        <v>20.892784125419659</v>
      </c>
      <c r="L73">
        <f t="shared" si="14"/>
        <v>20.892784125419659</v>
      </c>
      <c r="M73" s="201">
        <f t="shared" si="15"/>
        <v>0.30212898783758274</v>
      </c>
      <c r="N73" s="201">
        <f t="shared" si="16"/>
        <v>0.2451066802726207</v>
      </c>
      <c r="O73" s="160">
        <f t="shared" si="35"/>
        <v>0</v>
      </c>
      <c r="P73" s="202">
        <f t="shared" si="36"/>
        <v>0.21240615053372761</v>
      </c>
      <c r="Q73" s="202">
        <f t="shared" si="37"/>
        <v>0.24382961231904263</v>
      </c>
      <c r="R73" s="160">
        <f t="shared" si="17"/>
        <v>0</v>
      </c>
      <c r="S73" s="160">
        <f t="shared" si="18"/>
        <v>0.21240615053372761</v>
      </c>
      <c r="T73" s="160">
        <f t="shared" si="19"/>
        <v>3.1423461785315021E-2</v>
      </c>
      <c r="U73" s="160">
        <f t="shared" si="20"/>
        <v>1.2770679535780705E-3</v>
      </c>
      <c r="V73" s="206">
        <f t="shared" si="21"/>
        <v>17.229557750557653</v>
      </c>
      <c r="W73">
        <f t="shared" si="22"/>
        <v>0</v>
      </c>
      <c r="X73" s="160">
        <f t="shared" si="38"/>
        <v>0.21240615053372761</v>
      </c>
      <c r="Y73" s="160">
        <f t="shared" si="23"/>
        <v>3.1423461785315021E-2</v>
      </c>
      <c r="Z73" s="160">
        <f t="shared" si="24"/>
        <v>1.2770679535780705E-3</v>
      </c>
      <c r="AA73">
        <f t="shared" si="25"/>
        <v>137.42547689973503</v>
      </c>
      <c r="AB73">
        <f t="shared" si="26"/>
        <v>20.999011507381251</v>
      </c>
      <c r="AC73">
        <f t="shared" si="27"/>
        <v>14.616009443403208</v>
      </c>
      <c r="AD73">
        <f t="shared" si="28"/>
        <v>11.070051312745044</v>
      </c>
      <c r="AE73">
        <f t="shared" si="29"/>
        <v>184.11054916326455</v>
      </c>
      <c r="AF73">
        <f t="shared" si="30"/>
        <v>45.788293576903897</v>
      </c>
      <c r="AG73">
        <f t="shared" si="31"/>
        <v>229.89884274016845</v>
      </c>
    </row>
    <row r="74" spans="1:33" x14ac:dyDescent="0.3">
      <c r="A74" s="16">
        <v>48</v>
      </c>
      <c r="B74" s="16">
        <v>215</v>
      </c>
      <c r="C74" s="16">
        <v>213</v>
      </c>
      <c r="D74" s="16"/>
      <c r="E74" s="4">
        <f t="shared" si="32"/>
        <v>0</v>
      </c>
      <c r="F74" s="7">
        <f t="shared" si="33"/>
        <v>21.4</v>
      </c>
      <c r="G74" s="79"/>
      <c r="H74" s="71" t="str">
        <f t="shared" si="11"/>
        <v/>
      </c>
      <c r="I74" s="7">
        <f t="shared" si="12"/>
        <v>3.5968094290949534E-2</v>
      </c>
      <c r="J74" s="7" t="str">
        <f t="shared" si="13"/>
        <v/>
      </c>
      <c r="K74" s="7">
        <f t="shared" si="34"/>
        <v>21.291295220654007</v>
      </c>
      <c r="L74">
        <f t="shared" si="14"/>
        <v>21.291295220654007</v>
      </c>
      <c r="M74" s="201">
        <f t="shared" si="15"/>
        <v>0.33634306963348826</v>
      </c>
      <c r="N74" s="201">
        <f t="shared" si="16"/>
        <v>0.27283456238914078</v>
      </c>
      <c r="O74" s="160">
        <f t="shared" si="35"/>
        <v>0</v>
      </c>
      <c r="P74" s="202">
        <f t="shared" si="36"/>
        <v>0.24296817993793837</v>
      </c>
      <c r="Q74" s="202">
        <f t="shared" si="37"/>
        <v>0.27168305601254833</v>
      </c>
      <c r="R74" s="160">
        <f t="shared" si="17"/>
        <v>0</v>
      </c>
      <c r="S74" s="160">
        <f t="shared" si="18"/>
        <v>0.24296817993793837</v>
      </c>
      <c r="T74" s="160">
        <f t="shared" si="19"/>
        <v>2.8714876074609957E-2</v>
      </c>
      <c r="U74" s="160">
        <f t="shared" si="20"/>
        <v>1.1515063765924483E-3</v>
      </c>
      <c r="V74" s="206">
        <f t="shared" si="21"/>
        <v>18.124888161284442</v>
      </c>
      <c r="W74">
        <f t="shared" si="22"/>
        <v>0</v>
      </c>
      <c r="X74" s="160">
        <f t="shared" si="38"/>
        <v>0.24296817993793837</v>
      </c>
      <c r="Y74" s="160">
        <f t="shared" si="23"/>
        <v>2.8714876074609957E-2</v>
      </c>
      <c r="Z74" s="160">
        <f t="shared" si="24"/>
        <v>1.1515063765924483E-3</v>
      </c>
      <c r="AA74">
        <f t="shared" si="25"/>
        <v>153.57141089731243</v>
      </c>
      <c r="AB74">
        <f t="shared" si="26"/>
        <v>24.019063962574389</v>
      </c>
      <c r="AC74">
        <f t="shared" si="27"/>
        <v>16.23059681890998</v>
      </c>
      <c r="AD74">
        <f t="shared" si="28"/>
        <v>12.005423322881004</v>
      </c>
      <c r="AE74">
        <f t="shared" si="29"/>
        <v>205.82649500167781</v>
      </c>
      <c r="AF74">
        <f t="shared" si="30"/>
        <v>51.189049306917276</v>
      </c>
      <c r="AG74">
        <f t="shared" si="31"/>
        <v>257.01554430859511</v>
      </c>
    </row>
    <row r="75" spans="1:33" x14ac:dyDescent="0.3">
      <c r="A75" s="16">
        <v>49</v>
      </c>
      <c r="B75" s="16">
        <v>249</v>
      </c>
      <c r="C75" s="16">
        <v>236</v>
      </c>
      <c r="D75" s="16"/>
      <c r="E75" s="4">
        <f t="shared" si="32"/>
        <v>0</v>
      </c>
      <c r="F75" s="7">
        <f t="shared" si="33"/>
        <v>24.25</v>
      </c>
      <c r="G75" s="79"/>
      <c r="H75" s="71" t="str">
        <f t="shared" si="11"/>
        <v/>
      </c>
      <c r="I75" s="7">
        <f t="shared" si="12"/>
        <v>4.6186320746291191E-2</v>
      </c>
      <c r="J75" s="7" t="str">
        <f t="shared" si="13"/>
        <v/>
      </c>
      <c r="K75" s="7">
        <f t="shared" si="34"/>
        <v>22.27796999211472</v>
      </c>
      <c r="L75">
        <f t="shared" si="14"/>
        <v>22.27796999211472</v>
      </c>
      <c r="M75" s="201">
        <f t="shared" si="15"/>
        <v>0.44321301201094576</v>
      </c>
      <c r="N75" s="201">
        <f t="shared" si="16"/>
        <v>0.35930040665417329</v>
      </c>
      <c r="O75" s="160">
        <f t="shared" si="35"/>
        <v>0</v>
      </c>
      <c r="P75" s="202">
        <f t="shared" si="36"/>
        <v>0.33609104189066635</v>
      </c>
      <c r="Q75" s="202">
        <f t="shared" si="37"/>
        <v>0.35842617991300058</v>
      </c>
      <c r="R75" s="160">
        <f t="shared" si="17"/>
        <v>0</v>
      </c>
      <c r="S75" s="160">
        <f t="shared" si="18"/>
        <v>0.33609104189066635</v>
      </c>
      <c r="T75" s="160">
        <f t="shared" si="19"/>
        <v>2.2335138022334222E-2</v>
      </c>
      <c r="U75" s="160">
        <f t="shared" si="20"/>
        <v>8.7422674117271226E-4</v>
      </c>
      <c r="V75" s="206">
        <f t="shared" si="21"/>
        <v>20.673643254945453</v>
      </c>
      <c r="W75">
        <f t="shared" si="22"/>
        <v>0</v>
      </c>
      <c r="X75" s="160">
        <f t="shared" si="38"/>
        <v>0.33609104189066635</v>
      </c>
      <c r="Y75" s="160">
        <f t="shared" si="23"/>
        <v>2.2335138022334222E-2</v>
      </c>
      <c r="Z75" s="160">
        <f t="shared" si="24"/>
        <v>8.7422674117271226E-4</v>
      </c>
      <c r="AA75">
        <f t="shared" si="25"/>
        <v>204.14131478153854</v>
      </c>
      <c r="AB75">
        <f t="shared" si="26"/>
        <v>33.97052719899704</v>
      </c>
      <c r="AC75">
        <f t="shared" si="27"/>
        <v>21.415133911376685</v>
      </c>
      <c r="AD75">
        <f t="shared" si="28"/>
        <v>14.882228389667516</v>
      </c>
      <c r="AE75">
        <f t="shared" si="29"/>
        <v>274.40920428157978</v>
      </c>
      <c r="AF75">
        <f t="shared" si="30"/>
        <v>68.245569104828888</v>
      </c>
      <c r="AG75">
        <f t="shared" si="31"/>
        <v>342.65477338640869</v>
      </c>
    </row>
    <row r="76" spans="1:33" x14ac:dyDescent="0.3">
      <c r="A76" s="16">
        <v>50</v>
      </c>
      <c r="B76" s="16"/>
      <c r="C76" s="16"/>
      <c r="D76" s="16"/>
      <c r="E76" s="4">
        <f t="shared" si="32"/>
        <v>1</v>
      </c>
      <c r="F76" s="7">
        <f t="shared" si="33"/>
        <v>0</v>
      </c>
      <c r="G76" s="79"/>
      <c r="H76" s="71" t="str">
        <f t="shared" si="11"/>
        <v/>
      </c>
      <c r="I76" s="7">
        <f t="shared" si="12"/>
        <v>0</v>
      </c>
      <c r="J76" s="7" t="str">
        <f t="shared" si="13"/>
        <v/>
      </c>
      <c r="K76" s="7" t="str">
        <f t="shared" si="34"/>
        <v/>
      </c>
      <c r="L76" t="str">
        <f t="shared" si="14"/>
        <v/>
      </c>
      <c r="M76" s="201" t="str">
        <f t="shared" si="15"/>
        <v/>
      </c>
      <c r="N76" s="201" t="str">
        <f t="shared" si="16"/>
        <v/>
      </c>
      <c r="O76" s="160">
        <f t="shared" si="35"/>
        <v>0</v>
      </c>
      <c r="P76" s="202">
        <f t="shared" si="36"/>
        <v>0</v>
      </c>
      <c r="Q76" s="202">
        <f t="shared" si="37"/>
        <v>0</v>
      </c>
      <c r="R76" s="160">
        <f t="shared" si="17"/>
        <v>0</v>
      </c>
      <c r="S76" s="160">
        <f t="shared" si="18"/>
        <v>0</v>
      </c>
      <c r="T76" s="160">
        <f t="shared" si="19"/>
        <v>0</v>
      </c>
      <c r="U76" s="160" t="str">
        <f t="shared" si="20"/>
        <v/>
      </c>
      <c r="V76" s="206" t="str">
        <f t="shared" si="21"/>
        <v/>
      </c>
      <c r="W76">
        <f t="shared" si="22"/>
        <v>0</v>
      </c>
      <c r="X76" s="160">
        <f t="shared" si="38"/>
        <v>0</v>
      </c>
      <c r="Y76" s="160">
        <f t="shared" si="23"/>
        <v>0</v>
      </c>
      <c r="Z76" s="160" t="str">
        <f t="shared" si="24"/>
        <v/>
      </c>
      <c r="AA76" t="str">
        <f t="shared" si="25"/>
        <v/>
      </c>
      <c r="AB76" t="str">
        <f t="shared" si="26"/>
        <v/>
      </c>
      <c r="AC76" t="str">
        <f t="shared" si="27"/>
        <v/>
      </c>
      <c r="AD76" t="str">
        <f t="shared" si="28"/>
        <v/>
      </c>
      <c r="AE76">
        <f t="shared" si="29"/>
        <v>0</v>
      </c>
      <c r="AF76">
        <f t="shared" si="30"/>
        <v>0</v>
      </c>
      <c r="AG76">
        <f t="shared" si="31"/>
        <v>0</v>
      </c>
    </row>
    <row r="77" spans="1:33" x14ac:dyDescent="0.3">
      <c r="A77" s="16">
        <v>51</v>
      </c>
      <c r="B77" s="16"/>
      <c r="C77" s="16"/>
      <c r="D77" s="16"/>
      <c r="E77" s="4">
        <f t="shared" si="32"/>
        <v>1</v>
      </c>
      <c r="F77" s="7">
        <f t="shared" si="33"/>
        <v>0</v>
      </c>
      <c r="G77" s="79"/>
      <c r="H77" s="71" t="str">
        <f t="shared" si="11"/>
        <v/>
      </c>
      <c r="I77" s="7">
        <f t="shared" si="12"/>
        <v>0</v>
      </c>
      <c r="J77" s="7" t="str">
        <f t="shared" si="13"/>
        <v/>
      </c>
      <c r="K77" s="7" t="str">
        <f t="shared" si="34"/>
        <v/>
      </c>
      <c r="L77" t="str">
        <f t="shared" si="14"/>
        <v/>
      </c>
      <c r="M77" s="201" t="str">
        <f t="shared" si="15"/>
        <v/>
      </c>
      <c r="N77" s="201" t="str">
        <f t="shared" si="16"/>
        <v/>
      </c>
      <c r="O77" s="160">
        <f t="shared" si="35"/>
        <v>0</v>
      </c>
      <c r="P77" s="202">
        <f t="shared" si="36"/>
        <v>0</v>
      </c>
      <c r="Q77" s="202">
        <f t="shared" si="37"/>
        <v>0</v>
      </c>
      <c r="R77" s="160">
        <f t="shared" si="17"/>
        <v>0</v>
      </c>
      <c r="S77" s="160">
        <f t="shared" si="18"/>
        <v>0</v>
      </c>
      <c r="T77" s="160">
        <f t="shared" si="19"/>
        <v>0</v>
      </c>
      <c r="U77" s="160" t="str">
        <f t="shared" si="20"/>
        <v/>
      </c>
      <c r="V77" s="206" t="str">
        <f t="shared" si="21"/>
        <v/>
      </c>
      <c r="W77">
        <f t="shared" si="22"/>
        <v>0</v>
      </c>
      <c r="X77" s="160">
        <f t="shared" si="38"/>
        <v>0</v>
      </c>
      <c r="Y77" s="160">
        <f t="shared" si="23"/>
        <v>0</v>
      </c>
      <c r="Z77" s="160" t="str">
        <f t="shared" si="24"/>
        <v/>
      </c>
      <c r="AA77" t="str">
        <f t="shared" si="25"/>
        <v/>
      </c>
      <c r="AB77" t="str">
        <f t="shared" si="26"/>
        <v/>
      </c>
      <c r="AC77" t="str">
        <f t="shared" si="27"/>
        <v/>
      </c>
      <c r="AD77" t="str">
        <f t="shared" si="28"/>
        <v/>
      </c>
      <c r="AE77">
        <f t="shared" si="29"/>
        <v>0</v>
      </c>
      <c r="AF77">
        <f t="shared" si="30"/>
        <v>0</v>
      </c>
      <c r="AG77">
        <f t="shared" si="31"/>
        <v>0</v>
      </c>
    </row>
    <row r="78" spans="1:33" x14ac:dyDescent="0.3">
      <c r="A78" s="60">
        <v>52</v>
      </c>
      <c r="B78" s="60">
        <v>266</v>
      </c>
      <c r="C78" s="60">
        <v>272</v>
      </c>
      <c r="D78" s="60">
        <v>22</v>
      </c>
      <c r="E78" s="61">
        <f t="shared" si="32"/>
        <v>0</v>
      </c>
      <c r="F78" s="62">
        <f t="shared" si="33"/>
        <v>26.9</v>
      </c>
      <c r="G78" s="78">
        <v>14</v>
      </c>
      <c r="H78" s="71">
        <f t="shared" si="11"/>
        <v>22</v>
      </c>
      <c r="I78" s="7">
        <f t="shared" si="12"/>
        <v>5.683219650160274E-2</v>
      </c>
      <c r="J78" s="7">
        <f t="shared" si="13"/>
        <v>26.9</v>
      </c>
      <c r="K78" s="7">
        <f t="shared" si="34"/>
        <v>23.037129182967558</v>
      </c>
      <c r="L78">
        <f t="shared" si="14"/>
        <v>22</v>
      </c>
      <c r="M78" s="201">
        <f t="shared" si="15"/>
        <v>0.52809185352688404</v>
      </c>
      <c r="N78" s="201">
        <f t="shared" si="16"/>
        <v>0.42604425125880291</v>
      </c>
      <c r="O78" s="160">
        <f t="shared" si="35"/>
        <v>0.1042591576168968</v>
      </c>
      <c r="P78" s="202">
        <f t="shared" si="36"/>
        <v>0.40841656896477835</v>
      </c>
      <c r="Q78" s="202">
        <f t="shared" si="37"/>
        <v>0.42538799432428037</v>
      </c>
      <c r="R78" s="160">
        <f t="shared" si="17"/>
        <v>0.1042591576168968</v>
      </c>
      <c r="S78" s="160">
        <f t="shared" si="18"/>
        <v>0.30415741134788155</v>
      </c>
      <c r="T78" s="160">
        <f t="shared" si="19"/>
        <v>1.6971425359502024E-2</v>
      </c>
      <c r="U78" s="160">
        <f t="shared" si="20"/>
        <v>6.5625693452253664E-4</v>
      </c>
      <c r="V78" s="206">
        <f t="shared" si="21"/>
        <v>22.891793138196181</v>
      </c>
      <c r="W78">
        <f t="shared" si="22"/>
        <v>0</v>
      </c>
      <c r="X78" s="160">
        <f t="shared" si="38"/>
        <v>0.40841656896477835</v>
      </c>
      <c r="Y78" s="160">
        <f t="shared" si="23"/>
        <v>1.6971425359502024E-2</v>
      </c>
      <c r="Z78" s="160">
        <f t="shared" si="24"/>
        <v>6.5625693452253664E-4</v>
      </c>
      <c r="AA78">
        <f t="shared" si="25"/>
        <v>241.35444457899251</v>
      </c>
      <c r="AB78">
        <f t="shared" si="26"/>
        <v>42.890267123182717</v>
      </c>
      <c r="AC78">
        <f t="shared" si="27"/>
        <v>28.125767050037833</v>
      </c>
      <c r="AD78">
        <f t="shared" si="28"/>
        <v>18.431347655116625</v>
      </c>
      <c r="AE78">
        <f t="shared" si="29"/>
        <v>330.80182640732966</v>
      </c>
      <c r="AF78">
        <f t="shared" si="30"/>
        <v>82.270414227502883</v>
      </c>
      <c r="AG78">
        <f t="shared" si="31"/>
        <v>413.07224063483255</v>
      </c>
    </row>
    <row r="79" spans="1:33" x14ac:dyDescent="0.3">
      <c r="A79" s="60">
        <v>53</v>
      </c>
      <c r="B79" s="60">
        <v>292</v>
      </c>
      <c r="C79" s="60">
        <v>283</v>
      </c>
      <c r="D79" s="60"/>
      <c r="E79" s="61">
        <f t="shared" si="32"/>
        <v>0</v>
      </c>
      <c r="F79" s="62">
        <f t="shared" si="33"/>
        <v>28.75</v>
      </c>
      <c r="G79" s="78">
        <v>4</v>
      </c>
      <c r="H79" s="71" t="str">
        <f t="shared" si="11"/>
        <v/>
      </c>
      <c r="I79" s="7">
        <f t="shared" si="12"/>
        <v>6.4918066943320335E-2</v>
      </c>
      <c r="J79" s="7">
        <f t="shared" si="13"/>
        <v>28.75</v>
      </c>
      <c r="K79" s="7">
        <f t="shared" si="34"/>
        <v>23.496200695443768</v>
      </c>
      <c r="L79">
        <f t="shared" si="14"/>
        <v>23.496200695443768</v>
      </c>
      <c r="M79" s="201">
        <f t="shared" si="15"/>
        <v>0.639497702804524</v>
      </c>
      <c r="N79" s="201">
        <f t="shared" si="16"/>
        <v>0.5176054935397858</v>
      </c>
      <c r="O79" s="160">
        <f t="shared" si="35"/>
        <v>0.18119452160365895</v>
      </c>
      <c r="P79" s="202">
        <f t="shared" si="36"/>
        <v>0.50155083102068043</v>
      </c>
      <c r="Q79" s="202">
        <f t="shared" si="37"/>
        <v>0.5170108651810893</v>
      </c>
      <c r="R79" s="160">
        <f t="shared" si="17"/>
        <v>0.18119452160365895</v>
      </c>
      <c r="S79" s="160">
        <f t="shared" si="18"/>
        <v>0.32035630941702148</v>
      </c>
      <c r="T79" s="160">
        <f t="shared" si="19"/>
        <v>1.5460034160408864E-2</v>
      </c>
      <c r="U79" s="160">
        <f t="shared" si="20"/>
        <v>5.9462835869650288E-4</v>
      </c>
      <c r="V79" s="206">
        <f t="shared" si="21"/>
        <v>24.691948813645421</v>
      </c>
      <c r="W79">
        <f t="shared" si="22"/>
        <v>0</v>
      </c>
      <c r="X79" s="160">
        <f t="shared" si="38"/>
        <v>0.50155083102068043</v>
      </c>
      <c r="Y79" s="160">
        <f t="shared" si="23"/>
        <v>1.5460034160408864E-2</v>
      </c>
      <c r="Z79" s="160">
        <f t="shared" si="24"/>
        <v>5.9462835869650288E-4</v>
      </c>
      <c r="AA79">
        <f t="shared" si="25"/>
        <v>297.318309529288</v>
      </c>
      <c r="AB79">
        <f t="shared" si="26"/>
        <v>53.962831747904843</v>
      </c>
      <c r="AC79">
        <f t="shared" si="27"/>
        <v>31.458783363699407</v>
      </c>
      <c r="AD79">
        <f t="shared" si="28"/>
        <v>20.058136684975199</v>
      </c>
      <c r="AE79">
        <f t="shared" si="29"/>
        <v>402.79806132586742</v>
      </c>
      <c r="AF79">
        <f t="shared" si="30"/>
        <v>100.17587785174322</v>
      </c>
      <c r="AG79">
        <f t="shared" si="31"/>
        <v>502.97393917761065</v>
      </c>
    </row>
    <row r="80" spans="1:33" x14ac:dyDescent="0.3">
      <c r="A80" s="16">
        <v>54</v>
      </c>
      <c r="B80" s="16">
        <v>242</v>
      </c>
      <c r="C80" s="16">
        <v>230</v>
      </c>
      <c r="D80" s="16"/>
      <c r="E80" s="4">
        <f t="shared" si="32"/>
        <v>0</v>
      </c>
      <c r="F80" s="7">
        <f t="shared" si="33"/>
        <v>23.6</v>
      </c>
      <c r="G80" s="79"/>
      <c r="H80" s="71" t="str">
        <f t="shared" si="11"/>
        <v/>
      </c>
      <c r="I80" s="7">
        <f t="shared" si="12"/>
        <v>4.374353610858428E-2</v>
      </c>
      <c r="J80" s="7" t="str">
        <f t="shared" si="13"/>
        <v/>
      </c>
      <c r="K80" s="7">
        <f t="shared" si="34"/>
        <v>22.070234273570662</v>
      </c>
      <c r="L80">
        <f t="shared" si="14"/>
        <v>22.070234273570662</v>
      </c>
      <c r="M80" s="201">
        <f t="shared" si="15"/>
        <v>0.41763116152774998</v>
      </c>
      <c r="N80" s="201">
        <f t="shared" si="16"/>
        <v>0.33862182085273651</v>
      </c>
      <c r="O80" s="160">
        <f t="shared" si="35"/>
        <v>0</v>
      </c>
      <c r="P80" s="202">
        <f t="shared" si="36"/>
        <v>0.31406558526108885</v>
      </c>
      <c r="Q80" s="202">
        <f t="shared" si="37"/>
        <v>0.33769311042319039</v>
      </c>
      <c r="R80" s="160">
        <f t="shared" si="17"/>
        <v>0</v>
      </c>
      <c r="S80" s="160">
        <f t="shared" si="18"/>
        <v>0.31406558526108885</v>
      </c>
      <c r="T80" s="160">
        <f t="shared" si="19"/>
        <v>2.3627525162101537E-2</v>
      </c>
      <c r="U80" s="160">
        <f t="shared" si="20"/>
        <v>9.2871042954612015E-4</v>
      </c>
      <c r="V80" s="206">
        <f t="shared" si="21"/>
        <v>20.092673111117932</v>
      </c>
      <c r="W80">
        <f t="shared" si="22"/>
        <v>0</v>
      </c>
      <c r="X80" s="160">
        <f t="shared" si="38"/>
        <v>0.31406558526108885</v>
      </c>
      <c r="Y80" s="160">
        <f t="shared" si="23"/>
        <v>2.3627525162101537E-2</v>
      </c>
      <c r="Z80" s="160">
        <f t="shared" si="24"/>
        <v>9.2871042954612015E-4</v>
      </c>
      <c r="AA80">
        <f t="shared" si="25"/>
        <v>192.02131021097341</v>
      </c>
      <c r="AB80">
        <f t="shared" si="26"/>
        <v>31.521773270295956</v>
      </c>
      <c r="AC80">
        <f t="shared" si="27"/>
        <v>20.155021815925593</v>
      </c>
      <c r="AD80">
        <f t="shared" si="28"/>
        <v>14.198661660871684</v>
      </c>
      <c r="AE80">
        <f t="shared" si="29"/>
        <v>257.89676695806662</v>
      </c>
      <c r="AF80">
        <f t="shared" si="30"/>
        <v>64.138925942471175</v>
      </c>
      <c r="AG80">
        <f t="shared" si="31"/>
        <v>322.03569290053781</v>
      </c>
    </row>
    <row r="81" spans="1:33" x14ac:dyDescent="0.3">
      <c r="A81" s="16">
        <v>55</v>
      </c>
      <c r="B81" s="16">
        <v>273</v>
      </c>
      <c r="C81" s="16">
        <v>257</v>
      </c>
      <c r="D81" s="16"/>
      <c r="E81" s="4">
        <f t="shared" si="32"/>
        <v>0</v>
      </c>
      <c r="F81" s="7">
        <f t="shared" si="33"/>
        <v>26.5</v>
      </c>
      <c r="G81" s="79"/>
      <c r="H81" s="71" t="str">
        <f t="shared" si="11"/>
        <v/>
      </c>
      <c r="I81" s="7">
        <f t="shared" si="12"/>
        <v>5.5154586024585811E-2</v>
      </c>
      <c r="J81" s="7" t="str">
        <f t="shared" si="13"/>
        <v/>
      </c>
      <c r="K81" s="7">
        <f t="shared" si="34"/>
        <v>22.930748147128995</v>
      </c>
      <c r="L81">
        <f t="shared" si="14"/>
        <v>22.930748147128995</v>
      </c>
      <c r="M81" s="201">
        <f t="shared" si="15"/>
        <v>0.53719788611373553</v>
      </c>
      <c r="N81" s="201">
        <f t="shared" si="16"/>
        <v>0.43517554797191754</v>
      </c>
      <c r="O81" s="160">
        <f t="shared" si="35"/>
        <v>9.6726380288645053E-2</v>
      </c>
      <c r="P81" s="202">
        <f t="shared" si="36"/>
        <v>0.41596711188043806</v>
      </c>
      <c r="Q81" s="202">
        <f t="shared" si="37"/>
        <v>0.43445945348954929</v>
      </c>
      <c r="R81" s="160">
        <f t="shared" si="17"/>
        <v>9.6726380288645053E-2</v>
      </c>
      <c r="S81" s="160">
        <f t="shared" si="18"/>
        <v>0.319240731591793</v>
      </c>
      <c r="T81" s="160">
        <f t="shared" si="19"/>
        <v>1.8492341609111229E-2</v>
      </c>
      <c r="U81" s="160">
        <f t="shared" si="20"/>
        <v>7.160944823682569E-4</v>
      </c>
      <c r="V81" s="206">
        <f t="shared" si="21"/>
        <v>22.683525309722899</v>
      </c>
      <c r="W81">
        <f t="shared" si="22"/>
        <v>0</v>
      </c>
      <c r="X81" s="160">
        <f t="shared" si="38"/>
        <v>0.41596711188043806</v>
      </c>
      <c r="Y81" s="160">
        <f t="shared" si="23"/>
        <v>1.8492341609111229E-2</v>
      </c>
      <c r="Z81" s="160">
        <f t="shared" si="24"/>
        <v>7.160944823682569E-4</v>
      </c>
      <c r="AA81">
        <f t="shared" si="25"/>
        <v>248.72413662714385</v>
      </c>
      <c r="AB81">
        <f t="shared" si="26"/>
        <v>43.291423789594603</v>
      </c>
      <c r="AC81">
        <f t="shared" si="27"/>
        <v>26.143507849576416</v>
      </c>
      <c r="AD81">
        <f t="shared" si="28"/>
        <v>17.373404871119849</v>
      </c>
      <c r="AE81">
        <f t="shared" si="29"/>
        <v>335.53247313743475</v>
      </c>
      <c r="AF81">
        <f t="shared" si="30"/>
        <v>83.446926069280025</v>
      </c>
      <c r="AG81">
        <f t="shared" si="31"/>
        <v>418.97939920671479</v>
      </c>
    </row>
    <row r="82" spans="1:33" x14ac:dyDescent="0.3">
      <c r="A82" s="16">
        <v>56</v>
      </c>
      <c r="B82" s="16">
        <v>141</v>
      </c>
      <c r="C82" s="16">
        <v>140</v>
      </c>
      <c r="D82" s="16"/>
      <c r="E82" s="4">
        <f t="shared" si="32"/>
        <v>0</v>
      </c>
      <c r="F82" s="7">
        <f t="shared" si="33"/>
        <v>14.05</v>
      </c>
      <c r="G82" s="79"/>
      <c r="H82" s="71" t="str">
        <f t="shared" si="11"/>
        <v/>
      </c>
      <c r="I82" s="7">
        <f t="shared" si="12"/>
        <v>1.5503956095006481E-2</v>
      </c>
      <c r="J82" s="7" t="str">
        <f t="shared" si="13"/>
        <v/>
      </c>
      <c r="K82" s="7">
        <f t="shared" si="34"/>
        <v>17.403279433841977</v>
      </c>
      <c r="L82">
        <f t="shared" si="14"/>
        <v>17.403279433841977</v>
      </c>
      <c r="M82" s="201">
        <f t="shared" si="15"/>
        <v>0.12607749196988369</v>
      </c>
      <c r="N82" s="201">
        <f t="shared" si="16"/>
        <v>0.10205392125969449</v>
      </c>
      <c r="O82" s="160">
        <f t="shared" si="35"/>
        <v>0</v>
      </c>
      <c r="P82" s="202">
        <f t="shared" si="36"/>
        <v>4.8582426544695648E-2</v>
      </c>
      <c r="Q82" s="202">
        <f t="shared" si="37"/>
        <v>9.9327599349866832E-2</v>
      </c>
      <c r="R82" s="160">
        <f t="shared" si="17"/>
        <v>0</v>
      </c>
      <c r="S82" s="160">
        <f t="shared" si="18"/>
        <v>4.8582426544695648E-2</v>
      </c>
      <c r="T82" s="160">
        <f t="shared" si="19"/>
        <v>5.0745172805171185E-2</v>
      </c>
      <c r="U82" s="160">
        <f t="shared" si="20"/>
        <v>2.7263219098276614E-3</v>
      </c>
      <c r="V82" s="206">
        <f t="shared" si="21"/>
        <v>11.520746119688498</v>
      </c>
      <c r="W82">
        <f t="shared" si="22"/>
        <v>0</v>
      </c>
      <c r="X82" s="160">
        <f t="shared" si="38"/>
        <v>4.8582426544695648E-2</v>
      </c>
      <c r="Y82" s="160">
        <f t="shared" si="23"/>
        <v>5.0745172805171185E-2</v>
      </c>
      <c r="Z82" s="160">
        <f t="shared" si="24"/>
        <v>2.7263219098276614E-3</v>
      </c>
      <c r="AA82">
        <f t="shared" si="25"/>
        <v>55.082676710983669</v>
      </c>
      <c r="AB82">
        <f t="shared" si="26"/>
        <v>7.0912601046612043</v>
      </c>
      <c r="AC82">
        <f t="shared" si="27"/>
        <v>6.6581213941655815</v>
      </c>
      <c r="AD82">
        <f t="shared" si="28"/>
        <v>6.0342496736344575</v>
      </c>
      <c r="AE82">
        <f t="shared" si="29"/>
        <v>74.866307883444918</v>
      </c>
      <c r="AF82">
        <f t="shared" si="30"/>
        <v>18.619250770612751</v>
      </c>
      <c r="AG82">
        <f t="shared" si="31"/>
        <v>93.48555865405767</v>
      </c>
    </row>
    <row r="83" spans="1:33" x14ac:dyDescent="0.3">
      <c r="A83" s="16">
        <v>57</v>
      </c>
      <c r="B83" s="16">
        <v>231</v>
      </c>
      <c r="C83" s="16">
        <v>225</v>
      </c>
      <c r="D83" s="16"/>
      <c r="E83" s="4">
        <f t="shared" si="32"/>
        <v>0</v>
      </c>
      <c r="F83" s="7">
        <f t="shared" si="33"/>
        <v>22.8</v>
      </c>
      <c r="G83" s="79"/>
      <c r="H83" s="71" t="str">
        <f t="shared" si="11"/>
        <v/>
      </c>
      <c r="I83" s="7">
        <f t="shared" si="12"/>
        <v>4.0828138126052953E-2</v>
      </c>
      <c r="J83" s="7" t="str">
        <f t="shared" si="13"/>
        <v/>
      </c>
      <c r="K83" s="7">
        <f t="shared" si="34"/>
        <v>21.801224245464759</v>
      </c>
      <c r="L83">
        <f t="shared" si="14"/>
        <v>21.801224245464759</v>
      </c>
      <c r="M83" s="201">
        <f t="shared" si="15"/>
        <v>0.38712165734774945</v>
      </c>
      <c r="N83" s="201">
        <f t="shared" si="16"/>
        <v>0.31394466855620118</v>
      </c>
      <c r="O83" s="160">
        <f t="shared" si="35"/>
        <v>0</v>
      </c>
      <c r="P83" s="202">
        <f t="shared" si="36"/>
        <v>0.28759735589412322</v>
      </c>
      <c r="Q83" s="202">
        <f t="shared" si="37"/>
        <v>0.3129423466432818</v>
      </c>
      <c r="R83" s="160">
        <f t="shared" si="17"/>
        <v>0</v>
      </c>
      <c r="S83" s="160">
        <f t="shared" si="18"/>
        <v>0.28759735589412322</v>
      </c>
      <c r="T83" s="160">
        <f t="shared" si="19"/>
        <v>2.534499074915858E-2</v>
      </c>
      <c r="U83" s="160">
        <f t="shared" si="20"/>
        <v>1.0023219129193794E-3</v>
      </c>
      <c r="V83" s="206">
        <f t="shared" si="21"/>
        <v>19.37738750245483</v>
      </c>
      <c r="W83">
        <f t="shared" si="22"/>
        <v>0</v>
      </c>
      <c r="X83" s="160">
        <f t="shared" si="38"/>
        <v>0.28759735589412322</v>
      </c>
      <c r="Y83" s="160">
        <f t="shared" si="23"/>
        <v>2.534499074915858E-2</v>
      </c>
      <c r="Z83" s="160">
        <f t="shared" si="24"/>
        <v>1.0023219129193794E-3</v>
      </c>
      <c r="AA83">
        <f t="shared" si="25"/>
        <v>177.57774933600521</v>
      </c>
      <c r="AB83">
        <f t="shared" si="26"/>
        <v>28.654587459952012</v>
      </c>
      <c r="AC83">
        <f t="shared" si="27"/>
        <v>18.667719109094875</v>
      </c>
      <c r="AD83">
        <f t="shared" si="28"/>
        <v>13.379603594065369</v>
      </c>
      <c r="AE83">
        <f t="shared" si="29"/>
        <v>238.27965949911749</v>
      </c>
      <c r="AF83">
        <f t="shared" si="30"/>
        <v>59.26015131743052</v>
      </c>
      <c r="AG83">
        <f t="shared" si="31"/>
        <v>297.53981081654803</v>
      </c>
    </row>
    <row r="84" spans="1:33" x14ac:dyDescent="0.3">
      <c r="A84" s="60">
        <v>58</v>
      </c>
      <c r="B84" s="60">
        <v>288</v>
      </c>
      <c r="C84" s="60">
        <v>275</v>
      </c>
      <c r="D84" s="60">
        <v>23.5</v>
      </c>
      <c r="E84" s="61">
        <f t="shared" si="32"/>
        <v>0</v>
      </c>
      <c r="F84" s="62">
        <f t="shared" si="33"/>
        <v>28.15</v>
      </c>
      <c r="G84" s="78">
        <v>8</v>
      </c>
      <c r="H84" s="71">
        <f t="shared" si="11"/>
        <v>23.5</v>
      </c>
      <c r="I84" s="7">
        <f t="shared" si="12"/>
        <v>6.2236717613481436E-2</v>
      </c>
      <c r="J84" s="7">
        <f t="shared" si="13"/>
        <v>28.15</v>
      </c>
      <c r="K84" s="7">
        <f t="shared" si="34"/>
        <v>23.352954164741142</v>
      </c>
      <c r="L84">
        <f t="shared" si="14"/>
        <v>23.5</v>
      </c>
      <c r="M84" s="201">
        <f t="shared" si="15"/>
        <v>0.61553420160827776</v>
      </c>
      <c r="N84" s="201">
        <f t="shared" si="16"/>
        <v>0.49859703933783106</v>
      </c>
      <c r="O84" s="160">
        <f t="shared" si="35"/>
        <v>0.1575566855027149</v>
      </c>
      <c r="P84" s="202">
        <f t="shared" si="36"/>
        <v>0.48164958565168536</v>
      </c>
      <c r="Q84" s="202">
        <f t="shared" si="37"/>
        <v>0.49796841937370412</v>
      </c>
      <c r="R84" s="160">
        <f t="shared" si="17"/>
        <v>0.1575566855027149</v>
      </c>
      <c r="S84" s="160">
        <f t="shared" si="18"/>
        <v>0.32409290014897046</v>
      </c>
      <c r="T84" s="160">
        <f t="shared" si="19"/>
        <v>1.6318833722018755E-2</v>
      </c>
      <c r="U84" s="160">
        <f t="shared" si="20"/>
        <v>6.2861996412694188E-4</v>
      </c>
      <c r="V84" s="206">
        <f t="shared" si="21"/>
        <v>24.17717020341383</v>
      </c>
      <c r="W84">
        <f t="shared" si="22"/>
        <v>0</v>
      </c>
      <c r="X84" s="160">
        <f t="shared" si="38"/>
        <v>0.48164958565168536</v>
      </c>
      <c r="Y84" s="160">
        <f t="shared" si="23"/>
        <v>1.6318833722018755E-2</v>
      </c>
      <c r="Z84" s="160">
        <f t="shared" si="24"/>
        <v>6.2861996412694188E-4</v>
      </c>
      <c r="AA84">
        <f t="shared" si="25"/>
        <v>286.42426241394998</v>
      </c>
      <c r="AB84">
        <f t="shared" si="26"/>
        <v>51.330587697051577</v>
      </c>
      <c r="AC84">
        <f t="shared" si="27"/>
        <v>29.822981990448472</v>
      </c>
      <c r="AD84">
        <f t="shared" si="28"/>
        <v>19.237130551380901</v>
      </c>
      <c r="AE84">
        <f t="shared" si="29"/>
        <v>386.8149626528309</v>
      </c>
      <c r="AF84">
        <f t="shared" si="30"/>
        <v>96.20088121175904</v>
      </c>
      <c r="AG84">
        <f t="shared" si="31"/>
        <v>483.01584386458995</v>
      </c>
    </row>
    <row r="85" spans="1:33" x14ac:dyDescent="0.3">
      <c r="A85" s="16">
        <v>59</v>
      </c>
      <c r="B85" s="16">
        <v>212</v>
      </c>
      <c r="C85" s="16">
        <v>208</v>
      </c>
      <c r="D85" s="16"/>
      <c r="E85" s="4">
        <f t="shared" si="32"/>
        <v>0</v>
      </c>
      <c r="F85" s="7">
        <f t="shared" si="33"/>
        <v>21</v>
      </c>
      <c r="G85" s="79"/>
      <c r="H85" s="71" t="str">
        <f t="shared" si="11"/>
        <v/>
      </c>
      <c r="I85" s="7">
        <f t="shared" si="12"/>
        <v>3.4636059005827467E-2</v>
      </c>
      <c r="J85" s="7" t="str">
        <f t="shared" si="13"/>
        <v/>
      </c>
      <c r="K85" s="7">
        <f t="shared" si="34"/>
        <v>21.13555011192901</v>
      </c>
      <c r="L85">
        <f t="shared" si="14"/>
        <v>21.13555011192901</v>
      </c>
      <c r="M85" s="201">
        <f t="shared" si="15"/>
        <v>0.32245062885803971</v>
      </c>
      <c r="N85" s="201">
        <f t="shared" si="16"/>
        <v>0.26157861640516789</v>
      </c>
      <c r="O85" s="160">
        <f t="shared" si="35"/>
        <v>0</v>
      </c>
      <c r="P85" s="202">
        <f t="shared" si="36"/>
        <v>0.23061141612453559</v>
      </c>
      <c r="Q85" s="202">
        <f t="shared" si="37"/>
        <v>0.26037898546689481</v>
      </c>
      <c r="R85" s="160">
        <f t="shared" si="17"/>
        <v>0</v>
      </c>
      <c r="S85" s="160">
        <f t="shared" si="18"/>
        <v>0.23061141612453559</v>
      </c>
      <c r="T85" s="160">
        <f t="shared" si="19"/>
        <v>2.9767569342359218E-2</v>
      </c>
      <c r="U85" s="160">
        <f t="shared" si="20"/>
        <v>1.1996309382730774E-3</v>
      </c>
      <c r="V85" s="206">
        <f t="shared" si="21"/>
        <v>17.766831467723609</v>
      </c>
      <c r="W85">
        <f t="shared" si="22"/>
        <v>0</v>
      </c>
      <c r="X85" s="160">
        <f t="shared" si="38"/>
        <v>0.23061141612453559</v>
      </c>
      <c r="Y85" s="160">
        <f t="shared" si="23"/>
        <v>2.9767569342359218E-2</v>
      </c>
      <c r="Z85" s="160">
        <f t="shared" si="24"/>
        <v>1.1996309382730774E-3</v>
      </c>
      <c r="AA85">
        <f t="shared" si="25"/>
        <v>147.01220067965028</v>
      </c>
      <c r="AB85">
        <f t="shared" si="26"/>
        <v>22.782323242168644</v>
      </c>
      <c r="AC85">
        <f t="shared" si="27"/>
        <v>15.572303779662782</v>
      </c>
      <c r="AD85">
        <f t="shared" si="28"/>
        <v>11.626651309759712</v>
      </c>
      <c r="AE85">
        <f t="shared" si="29"/>
        <v>196.99347901124142</v>
      </c>
      <c r="AF85">
        <f t="shared" si="30"/>
        <v>48.992278230095742</v>
      </c>
      <c r="AG85">
        <f t="shared" si="31"/>
        <v>245.98575724133715</v>
      </c>
    </row>
    <row r="86" spans="1:33" x14ac:dyDescent="0.3">
      <c r="A86" s="16">
        <v>60</v>
      </c>
      <c r="B86" s="16">
        <v>257</v>
      </c>
      <c r="C86" s="16">
        <v>254</v>
      </c>
      <c r="D86" s="16"/>
      <c r="E86" s="4">
        <f t="shared" si="32"/>
        <v>0</v>
      </c>
      <c r="F86" s="7">
        <f t="shared" si="33"/>
        <v>25.55</v>
      </c>
      <c r="G86" s="79"/>
      <c r="H86" s="71" t="str">
        <f t="shared" si="11"/>
        <v/>
      </c>
      <c r="I86" s="7">
        <f t="shared" si="12"/>
        <v>5.1270988456126272E-2</v>
      </c>
      <c r="J86" s="7" t="str">
        <f t="shared" si="13"/>
        <v/>
      </c>
      <c r="K86" s="7">
        <f t="shared" si="34"/>
        <v>22.666888476778787</v>
      </c>
      <c r="L86">
        <f t="shared" si="14"/>
        <v>22.666888476778787</v>
      </c>
      <c r="M86" s="201">
        <f t="shared" si="15"/>
        <v>0.49649268409601849</v>
      </c>
      <c r="N86" s="201">
        <f t="shared" si="16"/>
        <v>0.40233167687498439</v>
      </c>
      <c r="O86" s="160">
        <f t="shared" si="35"/>
        <v>6.8755310079005871E-2</v>
      </c>
      <c r="P86" s="202">
        <f t="shared" si="36"/>
        <v>0.38155039165252302</v>
      </c>
      <c r="Q86" s="202">
        <f t="shared" si="37"/>
        <v>0.40155402068419449</v>
      </c>
      <c r="R86" s="160">
        <f t="shared" si="17"/>
        <v>6.8755310079005871E-2</v>
      </c>
      <c r="S86" s="160">
        <f t="shared" si="18"/>
        <v>0.31279508157351715</v>
      </c>
      <c r="T86" s="160">
        <f t="shared" si="19"/>
        <v>2.0003629031671466E-2</v>
      </c>
      <c r="U86" s="160">
        <f t="shared" si="20"/>
        <v>7.7765619078989934E-4</v>
      </c>
      <c r="V86" s="206">
        <f t="shared" si="21"/>
        <v>21.835110954522129</v>
      </c>
      <c r="W86">
        <f t="shared" si="22"/>
        <v>0</v>
      </c>
      <c r="X86" s="160">
        <f t="shared" si="38"/>
        <v>0.38155039165252302</v>
      </c>
      <c r="Y86" s="160">
        <f t="shared" si="23"/>
        <v>2.0003629031671466E-2</v>
      </c>
      <c r="Z86" s="160">
        <f t="shared" si="24"/>
        <v>7.7765619078989934E-4</v>
      </c>
      <c r="AA86">
        <f t="shared" si="25"/>
        <v>229.40594867481877</v>
      </c>
      <c r="AB86">
        <f t="shared" si="26"/>
        <v>39.194206164962239</v>
      </c>
      <c r="AC86">
        <f t="shared" si="27"/>
        <v>24.076869968640857</v>
      </c>
      <c r="AD86">
        <f t="shared" si="28"/>
        <v>16.297937658534231</v>
      </c>
      <c r="AE86">
        <f t="shared" si="29"/>
        <v>308.97496246695607</v>
      </c>
      <c r="AF86">
        <f t="shared" si="30"/>
        <v>76.842073165531971</v>
      </c>
      <c r="AG86">
        <f t="shared" si="31"/>
        <v>385.81703563248806</v>
      </c>
    </row>
    <row r="87" spans="1:33" x14ac:dyDescent="0.3">
      <c r="A87" s="16">
        <v>61</v>
      </c>
      <c r="B87" s="16">
        <v>227</v>
      </c>
      <c r="C87" s="16">
        <v>227</v>
      </c>
      <c r="D87" s="16"/>
      <c r="E87" s="4">
        <f t="shared" si="32"/>
        <v>0</v>
      </c>
      <c r="F87" s="7">
        <f t="shared" si="33"/>
        <v>22.7</v>
      </c>
      <c r="G87" s="79"/>
      <c r="H87" s="71" t="str">
        <f t="shared" si="11"/>
        <v/>
      </c>
      <c r="I87" s="7">
        <f t="shared" si="12"/>
        <v>4.0470781961707107E-2</v>
      </c>
      <c r="J87" s="7" t="str">
        <f t="shared" si="13"/>
        <v/>
      </c>
      <c r="K87" s="7">
        <f t="shared" si="34"/>
        <v>21.766506393594945</v>
      </c>
      <c r="L87">
        <f t="shared" si="14"/>
        <v>21.766506393594945</v>
      </c>
      <c r="M87" s="201">
        <f t="shared" si="15"/>
        <v>0.38338402569863067</v>
      </c>
      <c r="N87" s="201">
        <f t="shared" si="16"/>
        <v>0.31092036451792993</v>
      </c>
      <c r="O87" s="160">
        <f t="shared" si="35"/>
        <v>0</v>
      </c>
      <c r="P87" s="202">
        <f t="shared" si="36"/>
        <v>0.28433831178533564</v>
      </c>
      <c r="Q87" s="202">
        <f t="shared" si="37"/>
        <v>0.30990828856443348</v>
      </c>
      <c r="R87" s="160">
        <f t="shared" si="17"/>
        <v>0</v>
      </c>
      <c r="S87" s="160">
        <f t="shared" si="18"/>
        <v>0.28433831178533564</v>
      </c>
      <c r="T87" s="160">
        <f t="shared" si="19"/>
        <v>2.5569976779097836E-2</v>
      </c>
      <c r="U87" s="160">
        <f t="shared" si="20"/>
        <v>1.0120759534964496E-3</v>
      </c>
      <c r="V87" s="206">
        <f t="shared" si="21"/>
        <v>19.287956303819762</v>
      </c>
      <c r="W87">
        <f t="shared" si="22"/>
        <v>0</v>
      </c>
      <c r="X87" s="160">
        <f t="shared" si="38"/>
        <v>0.28433831178533564</v>
      </c>
      <c r="Y87" s="160">
        <f t="shared" si="23"/>
        <v>2.5569976779097836E-2</v>
      </c>
      <c r="Z87" s="160">
        <f t="shared" si="24"/>
        <v>1.0120759534964496E-3</v>
      </c>
      <c r="AA87">
        <f t="shared" si="25"/>
        <v>175.80923476459247</v>
      </c>
      <c r="AB87">
        <f t="shared" si="26"/>
        <v>28.307452597456816</v>
      </c>
      <c r="AC87">
        <f t="shared" si="27"/>
        <v>18.486690170126941</v>
      </c>
      <c r="AD87">
        <f t="shared" si="28"/>
        <v>13.278949250836709</v>
      </c>
      <c r="AE87">
        <f t="shared" si="29"/>
        <v>235.88232678301293</v>
      </c>
      <c r="AF87">
        <f t="shared" si="30"/>
        <v>58.663934670935319</v>
      </c>
      <c r="AG87">
        <f t="shared" si="31"/>
        <v>294.54626145394826</v>
      </c>
    </row>
    <row r="88" spans="1:33" x14ac:dyDescent="0.3">
      <c r="A88" s="60">
        <v>62</v>
      </c>
      <c r="B88" s="60">
        <v>284</v>
      </c>
      <c r="C88" s="60">
        <v>279</v>
      </c>
      <c r="D88" s="60"/>
      <c r="E88" s="61">
        <f t="shared" si="32"/>
        <v>0</v>
      </c>
      <c r="F88" s="62">
        <f t="shared" si="33"/>
        <v>28.15</v>
      </c>
      <c r="G88" s="78">
        <v>9</v>
      </c>
      <c r="H88" s="71" t="str">
        <f t="shared" si="11"/>
        <v/>
      </c>
      <c r="I88" s="7">
        <f t="shared" si="12"/>
        <v>6.2236717613481436E-2</v>
      </c>
      <c r="J88" s="7">
        <f t="shared" si="13"/>
        <v>28.15</v>
      </c>
      <c r="K88" s="7">
        <f t="shared" si="34"/>
        <v>23.352954164741142</v>
      </c>
      <c r="L88">
        <f t="shared" si="14"/>
        <v>23.352954164741142</v>
      </c>
      <c r="M88" s="201">
        <f t="shared" si="15"/>
        <v>0.61141278170086055</v>
      </c>
      <c r="N88" s="201">
        <f t="shared" si="16"/>
        <v>0.49499100623496589</v>
      </c>
      <c r="O88" s="160">
        <f t="shared" si="35"/>
        <v>0.15641717888980952</v>
      </c>
      <c r="P88" s="202">
        <f t="shared" si="36"/>
        <v>0.47816612262882441</v>
      </c>
      <c r="Q88" s="202">
        <f t="shared" si="37"/>
        <v>0.49436693267649506</v>
      </c>
      <c r="R88" s="160">
        <f t="shared" si="17"/>
        <v>0.15641717888980952</v>
      </c>
      <c r="S88" s="160">
        <f t="shared" si="18"/>
        <v>0.32174894373901486</v>
      </c>
      <c r="T88" s="160">
        <f t="shared" si="19"/>
        <v>1.6200810047670655E-2</v>
      </c>
      <c r="U88" s="160">
        <f t="shared" si="20"/>
        <v>6.240735584708279E-4</v>
      </c>
      <c r="V88" s="206">
        <f t="shared" si="21"/>
        <v>24.156490217548402</v>
      </c>
      <c r="W88">
        <f t="shared" si="22"/>
        <v>0</v>
      </c>
      <c r="X88" s="160">
        <f t="shared" si="38"/>
        <v>0.47816612262882441</v>
      </c>
      <c r="Y88" s="160">
        <f t="shared" si="23"/>
        <v>1.6200810047670655E-2</v>
      </c>
      <c r="Z88" s="160">
        <f t="shared" si="24"/>
        <v>6.240735584708279E-4</v>
      </c>
      <c r="AA88">
        <f t="shared" si="25"/>
        <v>283.97242903412524</v>
      </c>
      <c r="AB88">
        <f t="shared" si="26"/>
        <v>50.982193972182202</v>
      </c>
      <c r="AC88">
        <f t="shared" si="27"/>
        <v>29.982661820340542</v>
      </c>
      <c r="AD88">
        <f t="shared" si="28"/>
        <v>19.323309147607787</v>
      </c>
      <c r="AE88">
        <f t="shared" si="29"/>
        <v>384.26059397425576</v>
      </c>
      <c r="AF88">
        <f t="shared" si="30"/>
        <v>95.565609721397408</v>
      </c>
      <c r="AG88">
        <f t="shared" si="31"/>
        <v>479.82620369565313</v>
      </c>
    </row>
    <row r="89" spans="1:33" x14ac:dyDescent="0.3">
      <c r="A89" s="16">
        <v>63</v>
      </c>
      <c r="B89" s="16"/>
      <c r="C89" s="16"/>
      <c r="D89" s="16"/>
      <c r="E89" s="4">
        <f t="shared" si="32"/>
        <v>1</v>
      </c>
      <c r="F89" s="7">
        <f t="shared" si="33"/>
        <v>0</v>
      </c>
      <c r="G89" s="79"/>
      <c r="H89" s="71" t="str">
        <f t="shared" si="11"/>
        <v/>
      </c>
      <c r="I89" s="7">
        <f t="shared" si="12"/>
        <v>0</v>
      </c>
      <c r="J89" s="7" t="str">
        <f t="shared" si="13"/>
        <v/>
      </c>
      <c r="K89" s="7" t="str">
        <f t="shared" si="34"/>
        <v/>
      </c>
      <c r="L89" t="str">
        <f t="shared" si="14"/>
        <v/>
      </c>
      <c r="M89" s="201" t="str">
        <f t="shared" si="15"/>
        <v/>
      </c>
      <c r="N89" s="201" t="str">
        <f t="shared" si="16"/>
        <v/>
      </c>
      <c r="O89" s="160">
        <f t="shared" si="35"/>
        <v>0</v>
      </c>
      <c r="P89" s="202">
        <f t="shared" si="36"/>
        <v>0</v>
      </c>
      <c r="Q89" s="202">
        <f t="shared" si="37"/>
        <v>0</v>
      </c>
      <c r="R89" s="160">
        <f t="shared" si="17"/>
        <v>0</v>
      </c>
      <c r="S89" s="160">
        <f t="shared" si="18"/>
        <v>0</v>
      </c>
      <c r="T89" s="160">
        <f t="shared" si="19"/>
        <v>0</v>
      </c>
      <c r="U89" s="160" t="str">
        <f t="shared" si="20"/>
        <v/>
      </c>
      <c r="V89" s="206" t="str">
        <f t="shared" si="21"/>
        <v/>
      </c>
      <c r="W89">
        <f t="shared" si="22"/>
        <v>0</v>
      </c>
      <c r="X89" s="160">
        <f t="shared" si="38"/>
        <v>0</v>
      </c>
      <c r="Y89" s="160">
        <f t="shared" si="23"/>
        <v>0</v>
      </c>
      <c r="Z89" s="160" t="str">
        <f t="shared" si="24"/>
        <v/>
      </c>
      <c r="AA89" t="str">
        <f t="shared" si="25"/>
        <v/>
      </c>
      <c r="AB89" t="str">
        <f t="shared" si="26"/>
        <v/>
      </c>
      <c r="AC89" t="str">
        <f t="shared" si="27"/>
        <v/>
      </c>
      <c r="AD89" t="str">
        <f t="shared" si="28"/>
        <v/>
      </c>
      <c r="AE89">
        <f t="shared" si="29"/>
        <v>0</v>
      </c>
      <c r="AF89">
        <f t="shared" si="30"/>
        <v>0</v>
      </c>
      <c r="AG89">
        <f t="shared" si="31"/>
        <v>0</v>
      </c>
    </row>
    <row r="90" spans="1:33" x14ac:dyDescent="0.3">
      <c r="A90" s="60">
        <v>64</v>
      </c>
      <c r="B90" s="60">
        <v>285</v>
      </c>
      <c r="C90" s="60">
        <v>275</v>
      </c>
      <c r="D90" s="60">
        <v>23.3</v>
      </c>
      <c r="E90" s="61">
        <f t="shared" si="32"/>
        <v>0</v>
      </c>
      <c r="F90" s="62">
        <f t="shared" si="33"/>
        <v>28</v>
      </c>
      <c r="G90" s="78">
        <v>10</v>
      </c>
      <c r="H90" s="71">
        <f t="shared" si="11"/>
        <v>23.3</v>
      </c>
      <c r="I90" s="7">
        <f t="shared" si="12"/>
        <v>6.1575216010359944E-2</v>
      </c>
      <c r="J90" s="7">
        <f t="shared" si="13"/>
        <v>28</v>
      </c>
      <c r="K90" s="7">
        <f t="shared" si="34"/>
        <v>23.316324366256133</v>
      </c>
      <c r="L90">
        <f t="shared" si="14"/>
        <v>23.3</v>
      </c>
      <c r="M90" s="201">
        <f t="shared" si="15"/>
        <v>0.60402973331811127</v>
      </c>
      <c r="N90" s="201">
        <f t="shared" si="16"/>
        <v>0.48901279509393814</v>
      </c>
      <c r="O90" s="160">
        <f t="shared" si="35"/>
        <v>0.15033918874891228</v>
      </c>
      <c r="P90" s="202">
        <f t="shared" si="36"/>
        <v>0.4720015729957619</v>
      </c>
      <c r="Q90" s="202">
        <f t="shared" si="37"/>
        <v>0.48838156050806303</v>
      </c>
      <c r="R90" s="160">
        <f t="shared" si="17"/>
        <v>0.15033918874891228</v>
      </c>
      <c r="S90" s="160">
        <f t="shared" si="18"/>
        <v>0.32166238424684962</v>
      </c>
      <c r="T90" s="160">
        <f t="shared" si="19"/>
        <v>1.6379987512301131E-2</v>
      </c>
      <c r="U90" s="160">
        <f t="shared" si="20"/>
        <v>6.3123458587510672E-4</v>
      </c>
      <c r="V90" s="206">
        <f t="shared" si="21"/>
        <v>24.02030986699932</v>
      </c>
      <c r="W90">
        <f t="shared" si="22"/>
        <v>0</v>
      </c>
      <c r="X90" s="160">
        <f t="shared" si="38"/>
        <v>0.4720015729957619</v>
      </c>
      <c r="Y90" s="160">
        <f t="shared" si="23"/>
        <v>1.6379987512301131E-2</v>
      </c>
      <c r="Z90" s="160">
        <f t="shared" si="24"/>
        <v>6.3123458587510672E-4</v>
      </c>
      <c r="AA90">
        <f t="shared" si="25"/>
        <v>280.4106744812633</v>
      </c>
      <c r="AB90">
        <f t="shared" si="26"/>
        <v>50.214317893218457</v>
      </c>
      <c r="AC90">
        <f t="shared" si="27"/>
        <v>29.63801466040081</v>
      </c>
      <c r="AD90">
        <f t="shared" si="28"/>
        <v>19.151297828595514</v>
      </c>
      <c r="AE90">
        <f t="shared" si="29"/>
        <v>379.41430486347804</v>
      </c>
      <c r="AF90">
        <f t="shared" si="30"/>
        <v>94.360337619546996</v>
      </c>
      <c r="AG90">
        <f t="shared" si="31"/>
        <v>473.77464248302505</v>
      </c>
    </row>
    <row r="91" spans="1:33" x14ac:dyDescent="0.3">
      <c r="A91" s="16">
        <v>65</v>
      </c>
      <c r="B91" s="16">
        <v>240</v>
      </c>
      <c r="C91" s="16">
        <v>235</v>
      </c>
      <c r="D91" s="16"/>
      <c r="E91" s="4">
        <f t="shared" ref="E91:E106" si="39">IF(B91="",1,0)</f>
        <v>0</v>
      </c>
      <c r="F91" s="7">
        <f t="shared" ref="F91:F106" si="40">(B91+C91)/20</f>
        <v>23.75</v>
      </c>
      <c r="G91" s="79"/>
      <c r="H91" s="71" t="str">
        <f t="shared" si="11"/>
        <v/>
      </c>
      <c r="I91" s="7">
        <f t="shared" si="12"/>
        <v>4.4301365154137316E-2</v>
      </c>
      <c r="J91" s="7" t="str">
        <f t="shared" si="13"/>
        <v/>
      </c>
      <c r="K91" s="7">
        <f t="shared" ref="K91:K106" si="41">IF(E91=0,$I$12*EXP(($L$6+$M$6*$I$12+$N$6*$I$14/1000+$O$6*$I$17)*((1/F91)-(1/$I$18))),"")</f>
        <v>22.11900741372957</v>
      </c>
      <c r="L91">
        <f t="shared" si="14"/>
        <v>22.11900741372957</v>
      </c>
      <c r="M91" s="201">
        <f t="shared" si="15"/>
        <v>0.42347174508078178</v>
      </c>
      <c r="N91" s="201">
        <f t="shared" si="16"/>
        <v>0.34334396504355708</v>
      </c>
      <c r="O91" s="160">
        <f t="shared" ref="O91:O122" si="42">IF(F91&gt;$O$26,N91*EXP(-$AH$9*($O$26^$AI$9/F91^$AJ$9)),0)</f>
        <v>0</v>
      </c>
      <c r="P91" s="202">
        <f t="shared" ref="P91:P106" si="43">IF(F91&gt;$P$26,N91*EXP(-$AH$9*($P$26^$AI$9/F91^$AJ$9)),0)</f>
        <v>0.31910690728508329</v>
      </c>
      <c r="Q91" s="202">
        <f t="shared" ref="Q91:Q106" si="44">IF(F91&gt;$Q$26,N91*EXP(-$AH$9*($Q$26^$AI$9/F91^$AJ$9)),0)</f>
        <v>0.34242823017527818</v>
      </c>
      <c r="R91" s="160">
        <f t="shared" si="17"/>
        <v>0</v>
      </c>
      <c r="S91" s="160">
        <f t="shared" si="18"/>
        <v>0.31910690728508329</v>
      </c>
      <c r="T91" s="160">
        <f t="shared" si="19"/>
        <v>2.3321322890194895E-2</v>
      </c>
      <c r="U91" s="160">
        <f t="shared" si="20"/>
        <v>9.1573486827889461E-4</v>
      </c>
      <c r="V91" s="206">
        <f t="shared" si="21"/>
        <v>20.226758305987314</v>
      </c>
      <c r="W91">
        <f t="shared" si="22"/>
        <v>0</v>
      </c>
      <c r="X91" s="160">
        <f t="shared" ref="X91:X106" si="45">P91-W91</f>
        <v>0.31910690728508329</v>
      </c>
      <c r="Y91" s="160">
        <f t="shared" si="23"/>
        <v>2.3321322890194895E-2</v>
      </c>
      <c r="Z91" s="160">
        <f t="shared" si="24"/>
        <v>9.1573486827889461E-4</v>
      </c>
      <c r="AA91">
        <f t="shared" si="25"/>
        <v>194.78773143462919</v>
      </c>
      <c r="AB91">
        <f t="shared" si="26"/>
        <v>32.077329016849795</v>
      </c>
      <c r="AC91">
        <f t="shared" si="27"/>
        <v>20.441678661401539</v>
      </c>
      <c r="AD91">
        <f t="shared" si="28"/>
        <v>14.354969561533862</v>
      </c>
      <c r="AE91">
        <f t="shared" si="29"/>
        <v>261.6617086744144</v>
      </c>
      <c r="AF91">
        <f t="shared" si="30"/>
        <v>65.075266947326867</v>
      </c>
      <c r="AG91">
        <f t="shared" si="31"/>
        <v>326.73697562174129</v>
      </c>
    </row>
    <row r="92" spans="1:33" x14ac:dyDescent="0.3">
      <c r="A92" s="60">
        <v>66</v>
      </c>
      <c r="B92" s="60">
        <v>290</v>
      </c>
      <c r="C92" s="60">
        <v>289</v>
      </c>
      <c r="D92" s="60"/>
      <c r="E92" s="61">
        <f t="shared" si="39"/>
        <v>0</v>
      </c>
      <c r="F92" s="62">
        <f t="shared" si="40"/>
        <v>28.95</v>
      </c>
      <c r="G92" s="78">
        <v>3</v>
      </c>
      <c r="H92" s="71" t="str">
        <f t="shared" ref="H92:H106" si="46">IF(AND(D92&lt;&gt;"",G92&lt;&gt;""),D92,"")</f>
        <v/>
      </c>
      <c r="I92" s="7">
        <f t="shared" ref="I92:I106" si="47">PI()*F92^2/40000</f>
        <v>6.5824416423880983E-2</v>
      </c>
      <c r="J92" s="7">
        <f t="shared" ref="J92:J106" si="48">IF(AND(F92&lt;&gt;0,G92&lt;&gt;""),F92,"")</f>
        <v>28.95</v>
      </c>
      <c r="K92" s="7">
        <f t="shared" si="41"/>
        <v>23.542818347463658</v>
      </c>
      <c r="L92">
        <f t="shared" ref="L92:L106" si="49">IF(D92="",K92,D92)</f>
        <v>23.542818347463658</v>
      </c>
      <c r="M92" s="201">
        <f t="shared" ref="M92:M106" si="50">IF(E92=0,$Z$9*(F92/100)^$AA$9*L92^$AB$9,"")</f>
        <v>0.64898866431427005</v>
      </c>
      <c r="N92" s="201">
        <f t="shared" ref="N92:N106" si="51">IF(E92=0,$AH$8*(F92/100)^$AI$8*L92^$AJ$8,          "")</f>
        <v>0.525245242056955</v>
      </c>
      <c r="O92" s="160">
        <f t="shared" si="42"/>
        <v>0.18977608436910176</v>
      </c>
      <c r="P92" s="202">
        <f t="shared" si="43"/>
        <v>0.50943695950883794</v>
      </c>
      <c r="Q92" s="202">
        <f t="shared" si="44"/>
        <v>0.5246600053095285</v>
      </c>
      <c r="R92" s="160">
        <f t="shared" ref="R92:R106" si="52">O92</f>
        <v>0.18977608436910176</v>
      </c>
      <c r="S92" s="160">
        <f t="shared" ref="S92:S106" si="53">P92-O92</f>
        <v>0.31966087513973618</v>
      </c>
      <c r="T92" s="160">
        <f t="shared" ref="T92:T106" si="54">Q92-P92</f>
        <v>1.522304580069056E-2</v>
      </c>
      <c r="U92" s="160">
        <f t="shared" ref="U92:U106" si="55">IF(N92="","",N92-Q92)</f>
        <v>5.8523674742649856E-4</v>
      </c>
      <c r="V92" s="206">
        <f t="shared" ref="V92:V106" si="56">IF(E92=0,      F92*($AP$17+$AQ$17*LN(1-(3.1/L92)^(1/$AR$17)*(1-EXP($AS$17/$AT$17)))),      ""    )</f>
        <v>24.87041726116593</v>
      </c>
      <c r="W92">
        <f t="shared" ref="W92:W106" si="57">IF(V92&gt;$O$26,O92,0)</f>
        <v>0</v>
      </c>
      <c r="X92" s="160">
        <f t="shared" si="45"/>
        <v>0.50943695950883794</v>
      </c>
      <c r="Y92" s="160">
        <f t="shared" ref="Y92:Y106" si="58">Q92-P92</f>
        <v>1.522304580069056E-2</v>
      </c>
      <c r="Z92" s="160">
        <f t="shared" ref="Z92:Z106" si="59">IF(N92="","", N92-Q92)</f>
        <v>5.8523674742649856E-4</v>
      </c>
      <c r="AA92">
        <f t="shared" ref="AA92:AA106" si="60">IF(E92=0,$AY$9*F92^$AZ$9*L92^$BA$9,"")</f>
        <v>301.82909086877089</v>
      </c>
      <c r="AB92">
        <f t="shared" ref="AB92:AB106" si="61">IF(E92=0,$AY$11*F92^$AZ$11*L92^$BA$11,"")</f>
        <v>54.978467416635503</v>
      </c>
      <c r="AC92">
        <f t="shared" ref="AC92:AC106" si="62">IF(E92=0,$AY$12*F92^$AZ$12*(L92/F92)^$BA$12,"")</f>
        <v>31.960445599089113</v>
      </c>
      <c r="AD92">
        <f t="shared" ref="AD92:AD106" si="63">IF(E92=0,$AY$13*F92^$AZ$13*(L92/F92)^$BA$13,"")</f>
        <v>20.30613110808493</v>
      </c>
      <c r="AE92">
        <f t="shared" ref="AE92:AE106" si="64">SUM(AA92:AD92)</f>
        <v>409.07413499258041</v>
      </c>
      <c r="AF92">
        <f t="shared" ref="AF92:AF106" si="65">AE92*0.2487</f>
        <v>101.73673737265474</v>
      </c>
      <c r="AG92">
        <f t="shared" ref="AG92:AG106" si="66">AF92+AE92</f>
        <v>510.81087236523513</v>
      </c>
    </row>
    <row r="93" spans="1:33" x14ac:dyDescent="0.3">
      <c r="A93" s="60">
        <v>67</v>
      </c>
      <c r="B93" s="60">
        <v>270</v>
      </c>
      <c r="C93" s="60">
        <v>274</v>
      </c>
      <c r="D93" s="60"/>
      <c r="E93" s="61">
        <f t="shared" si="39"/>
        <v>0</v>
      </c>
      <c r="F93" s="62">
        <f t="shared" si="40"/>
        <v>27.2</v>
      </c>
      <c r="G93" s="78">
        <v>12</v>
      </c>
      <c r="H93" s="71" t="str">
        <f t="shared" si="46"/>
        <v/>
      </c>
      <c r="I93" s="7">
        <f t="shared" si="47"/>
        <v>5.8106897720796802E-2</v>
      </c>
      <c r="J93" s="7">
        <f t="shared" si="48"/>
        <v>27.2</v>
      </c>
      <c r="K93" s="7">
        <f t="shared" si="41"/>
        <v>23.115173580911879</v>
      </c>
      <c r="L93">
        <f t="shared" si="49"/>
        <v>23.115173580911879</v>
      </c>
      <c r="M93" s="201">
        <f t="shared" si="50"/>
        <v>0.56814020397528164</v>
      </c>
      <c r="N93" s="201">
        <f t="shared" si="51"/>
        <v>0.46012449653666443</v>
      </c>
      <c r="O93" s="160">
        <f t="shared" si="42"/>
        <v>0.1204293040719682</v>
      </c>
      <c r="P93" s="202">
        <f t="shared" si="43"/>
        <v>0.44197779400872361</v>
      </c>
      <c r="Q93" s="202">
        <f t="shared" si="44"/>
        <v>0.45944956894842898</v>
      </c>
      <c r="R93" s="160">
        <f t="shared" si="52"/>
        <v>0.1204293040719682</v>
      </c>
      <c r="S93" s="160">
        <f t="shared" si="53"/>
        <v>0.32154848993675544</v>
      </c>
      <c r="T93" s="160">
        <f t="shared" si="54"/>
        <v>1.7471774939705365E-2</v>
      </c>
      <c r="U93" s="160">
        <f t="shared" si="55"/>
        <v>6.7492758823545218E-4</v>
      </c>
      <c r="V93" s="206">
        <f t="shared" si="56"/>
        <v>23.308505876042577</v>
      </c>
      <c r="W93">
        <f t="shared" si="57"/>
        <v>0</v>
      </c>
      <c r="X93" s="160">
        <f t="shared" si="45"/>
        <v>0.44197779400872361</v>
      </c>
      <c r="Y93" s="160">
        <f t="shared" si="58"/>
        <v>1.7471774939705365E-2</v>
      </c>
      <c r="Z93" s="160">
        <f t="shared" si="59"/>
        <v>6.7492758823545218E-4</v>
      </c>
      <c r="AA93">
        <f t="shared" si="60"/>
        <v>263.41647536246654</v>
      </c>
      <c r="AB93">
        <f t="shared" si="61"/>
        <v>46.464293579836045</v>
      </c>
      <c r="AC93">
        <f t="shared" si="62"/>
        <v>27.733150789488594</v>
      </c>
      <c r="AD93">
        <f t="shared" si="63"/>
        <v>18.187935469512105</v>
      </c>
      <c r="AE93">
        <f t="shared" si="64"/>
        <v>355.80185520130334</v>
      </c>
      <c r="AF93">
        <f t="shared" si="65"/>
        <v>88.487921388564146</v>
      </c>
      <c r="AG93">
        <f t="shared" si="66"/>
        <v>444.28977658986747</v>
      </c>
    </row>
    <row r="94" spans="1:33" x14ac:dyDescent="0.3">
      <c r="A94" s="16">
        <v>68</v>
      </c>
      <c r="B94" s="16">
        <v>188</v>
      </c>
      <c r="C94" s="16">
        <v>198</v>
      </c>
      <c r="D94" s="16"/>
      <c r="E94" s="4">
        <f t="shared" si="39"/>
        <v>0</v>
      </c>
      <c r="F94" s="7">
        <f t="shared" si="40"/>
        <v>19.3</v>
      </c>
      <c r="G94" s="79"/>
      <c r="H94" s="71" t="str">
        <f t="shared" si="46"/>
        <v/>
      </c>
      <c r="I94" s="7">
        <f t="shared" si="47"/>
        <v>2.9255296188391556E-2</v>
      </c>
      <c r="J94" s="7" t="str">
        <f t="shared" si="48"/>
        <v/>
      </c>
      <c r="K94" s="7">
        <f t="shared" si="41"/>
        <v>20.416807535085695</v>
      </c>
      <c r="L94">
        <f t="shared" si="49"/>
        <v>20.416807535085695</v>
      </c>
      <c r="M94" s="201">
        <f t="shared" si="50"/>
        <v>0.26649519353847884</v>
      </c>
      <c r="N94" s="201">
        <f t="shared" si="51"/>
        <v>0.21620306174349893</v>
      </c>
      <c r="O94" s="160">
        <f t="shared" si="42"/>
        <v>0</v>
      </c>
      <c r="P94" s="202">
        <f t="shared" si="43"/>
        <v>0.18007030234196367</v>
      </c>
      <c r="Q94" s="202">
        <f t="shared" si="44"/>
        <v>0.21476549445707049</v>
      </c>
      <c r="R94" s="160">
        <f t="shared" si="52"/>
        <v>0</v>
      </c>
      <c r="S94" s="160">
        <f t="shared" si="53"/>
        <v>0.18007030234196367</v>
      </c>
      <c r="T94" s="160">
        <f t="shared" si="54"/>
        <v>3.4695192115106827E-2</v>
      </c>
      <c r="U94" s="160">
        <f t="shared" si="55"/>
        <v>1.4375672864284372E-3</v>
      </c>
      <c r="V94" s="206">
        <f t="shared" si="56"/>
        <v>16.243894685575135</v>
      </c>
      <c r="W94">
        <f t="shared" si="57"/>
        <v>0</v>
      </c>
      <c r="X94" s="160">
        <f t="shared" si="45"/>
        <v>0.18007030234196367</v>
      </c>
      <c r="Y94" s="160">
        <f t="shared" si="58"/>
        <v>3.4695192115106827E-2</v>
      </c>
      <c r="Z94" s="160">
        <f t="shared" si="59"/>
        <v>1.4375672864284372E-3</v>
      </c>
      <c r="AA94">
        <f t="shared" si="60"/>
        <v>120.64205270092282</v>
      </c>
      <c r="AB94">
        <f t="shared" si="61"/>
        <v>17.949774779181809</v>
      </c>
      <c r="AC94">
        <f t="shared" si="62"/>
        <v>12.958363058568661</v>
      </c>
      <c r="AD94">
        <f t="shared" si="63"/>
        <v>10.085687419533382</v>
      </c>
      <c r="AE94">
        <f t="shared" si="64"/>
        <v>161.63587795820666</v>
      </c>
      <c r="AF94">
        <f t="shared" si="65"/>
        <v>40.198842848205999</v>
      </c>
      <c r="AG94">
        <f t="shared" si="66"/>
        <v>201.83472080641266</v>
      </c>
    </row>
    <row r="95" spans="1:33" x14ac:dyDescent="0.3">
      <c r="A95" s="16">
        <v>69</v>
      </c>
      <c r="B95" s="16">
        <v>170</v>
      </c>
      <c r="C95" s="16">
        <v>155</v>
      </c>
      <c r="D95" s="16"/>
      <c r="E95" s="4">
        <f t="shared" si="39"/>
        <v>0</v>
      </c>
      <c r="F95" s="7">
        <f t="shared" si="40"/>
        <v>16.25</v>
      </c>
      <c r="G95" s="79"/>
      <c r="H95" s="71" t="str">
        <f t="shared" si="46"/>
        <v/>
      </c>
      <c r="I95" s="7">
        <f t="shared" si="47"/>
        <v>2.0739420252213869E-2</v>
      </c>
      <c r="J95" s="7" t="str">
        <f t="shared" si="48"/>
        <v/>
      </c>
      <c r="K95" s="7">
        <f t="shared" si="41"/>
        <v>18.842994363404184</v>
      </c>
      <c r="L95">
        <f t="shared" si="49"/>
        <v>18.842994363404184</v>
      </c>
      <c r="M95" s="201">
        <f t="shared" si="50"/>
        <v>0.17885801826029543</v>
      </c>
      <c r="N95" s="201">
        <f t="shared" si="51"/>
        <v>0.14500587955596353</v>
      </c>
      <c r="O95" s="160">
        <f t="shared" si="42"/>
        <v>0</v>
      </c>
      <c r="P95" s="202">
        <f t="shared" si="43"/>
        <v>9.8114535756616092E-2</v>
      </c>
      <c r="Q95" s="202">
        <f t="shared" si="44"/>
        <v>0.14295405569499361</v>
      </c>
      <c r="R95" s="160">
        <f t="shared" si="52"/>
        <v>0</v>
      </c>
      <c r="S95" s="160">
        <f t="shared" si="53"/>
        <v>9.8114535756616092E-2</v>
      </c>
      <c r="T95" s="160">
        <f t="shared" si="54"/>
        <v>4.4839519938377523E-2</v>
      </c>
      <c r="U95" s="160">
        <f t="shared" si="55"/>
        <v>2.0518238609699146E-3</v>
      </c>
      <c r="V95" s="206">
        <f t="shared" si="56"/>
        <v>13.504904673424042</v>
      </c>
      <c r="W95">
        <f t="shared" si="57"/>
        <v>0</v>
      </c>
      <c r="X95" s="160">
        <f t="shared" si="45"/>
        <v>9.8114535756616092E-2</v>
      </c>
      <c r="Y95" s="160">
        <f t="shared" si="58"/>
        <v>4.4839519938377523E-2</v>
      </c>
      <c r="Z95" s="160">
        <f t="shared" si="59"/>
        <v>2.0518238609699146E-3</v>
      </c>
      <c r="AA95">
        <f t="shared" si="60"/>
        <v>79.575022758254661</v>
      </c>
      <c r="AB95">
        <f t="shared" si="61"/>
        <v>10.927079828972484</v>
      </c>
      <c r="AC95">
        <f t="shared" si="62"/>
        <v>8.9852824768259172</v>
      </c>
      <c r="AD95">
        <f t="shared" si="63"/>
        <v>7.6013137057487157</v>
      </c>
      <c r="AE95">
        <f t="shared" si="64"/>
        <v>107.08869876980177</v>
      </c>
      <c r="AF95">
        <f t="shared" si="65"/>
        <v>26.632959384049698</v>
      </c>
      <c r="AG95">
        <f t="shared" si="66"/>
        <v>133.72165815385148</v>
      </c>
    </row>
    <row r="96" spans="1:33" x14ac:dyDescent="0.3">
      <c r="A96" s="16">
        <v>70</v>
      </c>
      <c r="B96" s="16">
        <v>235</v>
      </c>
      <c r="C96" s="16">
        <v>239</v>
      </c>
      <c r="D96" s="16"/>
      <c r="E96" s="4">
        <f t="shared" si="39"/>
        <v>0</v>
      </c>
      <c r="F96" s="7">
        <f t="shared" si="40"/>
        <v>23.7</v>
      </c>
      <c r="G96" s="79"/>
      <c r="H96" s="71" t="str">
        <f t="shared" si="46"/>
        <v/>
      </c>
      <c r="I96" s="7">
        <f t="shared" si="47"/>
        <v>4.4115029439871264E-2</v>
      </c>
      <c r="J96" s="7" t="str">
        <f t="shared" si="48"/>
        <v/>
      </c>
      <c r="K96" s="7">
        <f t="shared" si="41"/>
        <v>22.10280635936731</v>
      </c>
      <c r="L96">
        <f t="shared" si="49"/>
        <v>22.10280635936731</v>
      </c>
      <c r="M96" s="201">
        <f t="shared" si="50"/>
        <v>0.42152068258535513</v>
      </c>
      <c r="N96" s="201">
        <f t="shared" si="51"/>
        <v>0.34176658808953042</v>
      </c>
      <c r="O96" s="160">
        <f t="shared" si="42"/>
        <v>0</v>
      </c>
      <c r="P96" s="202">
        <f t="shared" si="43"/>
        <v>0.31742370539081632</v>
      </c>
      <c r="Q96" s="202">
        <f t="shared" si="44"/>
        <v>0.34084655565127897</v>
      </c>
      <c r="R96" s="160">
        <f t="shared" si="52"/>
        <v>0</v>
      </c>
      <c r="S96" s="160">
        <f t="shared" si="53"/>
        <v>0.31742370539081632</v>
      </c>
      <c r="T96" s="160">
        <f t="shared" si="54"/>
        <v>2.3422850260462647E-2</v>
      </c>
      <c r="U96" s="160">
        <f t="shared" si="55"/>
        <v>9.200324382514502E-4</v>
      </c>
      <c r="V96" s="206">
        <f t="shared" si="56"/>
        <v>20.182064277932774</v>
      </c>
      <c r="W96">
        <f t="shared" si="57"/>
        <v>0</v>
      </c>
      <c r="X96" s="160">
        <f t="shared" si="45"/>
        <v>0.31742370539081632</v>
      </c>
      <c r="Y96" s="160">
        <f t="shared" si="58"/>
        <v>2.3422850260462647E-2</v>
      </c>
      <c r="Z96" s="160">
        <f t="shared" si="59"/>
        <v>9.200324382514502E-4</v>
      </c>
      <c r="AA96">
        <f t="shared" si="60"/>
        <v>193.86355357489759</v>
      </c>
      <c r="AB96">
        <f t="shared" si="61"/>
        <v>31.891509927576752</v>
      </c>
      <c r="AC96">
        <f t="shared" si="62"/>
        <v>20.345851491541996</v>
      </c>
      <c r="AD96">
        <f t="shared" si="63"/>
        <v>14.302771019925567</v>
      </c>
      <c r="AE96">
        <f t="shared" si="64"/>
        <v>260.40368601394192</v>
      </c>
      <c r="AF96">
        <f t="shared" si="65"/>
        <v>64.762396711667364</v>
      </c>
      <c r="AG96">
        <f t="shared" si="66"/>
        <v>325.16608272560927</v>
      </c>
    </row>
    <row r="97" spans="1:33" x14ac:dyDescent="0.3">
      <c r="A97" s="60">
        <v>71</v>
      </c>
      <c r="B97" s="60">
        <v>284</v>
      </c>
      <c r="C97" s="60">
        <v>289</v>
      </c>
      <c r="D97" s="60">
        <v>25.5</v>
      </c>
      <c r="E97" s="61">
        <f t="shared" si="39"/>
        <v>0</v>
      </c>
      <c r="F97" s="62">
        <f t="shared" si="40"/>
        <v>28.65</v>
      </c>
      <c r="G97" s="78">
        <v>5</v>
      </c>
      <c r="H97" s="71">
        <f t="shared" si="46"/>
        <v>25.5</v>
      </c>
      <c r="I97" s="7">
        <f t="shared" si="47"/>
        <v>6.4467248397530194E-2</v>
      </c>
      <c r="J97" s="7">
        <f t="shared" si="48"/>
        <v>28.65</v>
      </c>
      <c r="K97" s="7">
        <f t="shared" si="41"/>
        <v>23.472682909723726</v>
      </c>
      <c r="L97">
        <f t="shared" si="49"/>
        <v>25.5</v>
      </c>
      <c r="M97" s="201">
        <f t="shared" si="50"/>
        <v>0.69362935247632651</v>
      </c>
      <c r="N97" s="201">
        <f t="shared" si="51"/>
        <v>0.5654605905192347</v>
      </c>
      <c r="O97" s="160">
        <f t="shared" si="42"/>
        <v>0.19475374296251943</v>
      </c>
      <c r="P97" s="202">
        <f t="shared" si="43"/>
        <v>0.54765418345614891</v>
      </c>
      <c r="Q97" s="202">
        <f t="shared" si="44"/>
        <v>0.56480092723645392</v>
      </c>
      <c r="R97" s="160">
        <f t="shared" si="52"/>
        <v>0.19475374296251943</v>
      </c>
      <c r="S97" s="160">
        <f t="shared" si="53"/>
        <v>0.35290044049362945</v>
      </c>
      <c r="T97" s="160">
        <f t="shared" si="54"/>
        <v>1.7146743780305007E-2</v>
      </c>
      <c r="U97" s="160">
        <f t="shared" si="55"/>
        <v>6.5966328278077579E-4</v>
      </c>
      <c r="V97" s="206">
        <f t="shared" si="56"/>
        <v>24.872812818466929</v>
      </c>
      <c r="W97">
        <f t="shared" si="57"/>
        <v>0</v>
      </c>
      <c r="X97" s="160">
        <f t="shared" si="45"/>
        <v>0.54765418345614891</v>
      </c>
      <c r="Y97" s="160">
        <f t="shared" si="58"/>
        <v>1.7146743780305007E-2</v>
      </c>
      <c r="Z97" s="160">
        <f t="shared" si="59"/>
        <v>6.5966328278077579E-4</v>
      </c>
      <c r="AA97">
        <f t="shared" si="60"/>
        <v>330.52713770202553</v>
      </c>
      <c r="AB97">
        <f t="shared" si="61"/>
        <v>58.48672216984319</v>
      </c>
      <c r="AC97">
        <f t="shared" si="62"/>
        <v>29.085956682842589</v>
      </c>
      <c r="AD97">
        <f t="shared" si="63"/>
        <v>18.79275345715903</v>
      </c>
      <c r="AE97">
        <f t="shared" si="64"/>
        <v>436.89257001187036</v>
      </c>
      <c r="AF97">
        <f t="shared" si="65"/>
        <v>108.65518216195215</v>
      </c>
      <c r="AG97">
        <f t="shared" si="66"/>
        <v>545.54775217382257</v>
      </c>
    </row>
    <row r="98" spans="1:33" x14ac:dyDescent="0.3">
      <c r="A98" s="16">
        <v>72</v>
      </c>
      <c r="B98" s="16">
        <v>198</v>
      </c>
      <c r="C98" s="16">
        <v>211</v>
      </c>
      <c r="D98" s="16"/>
      <c r="E98" s="4">
        <f t="shared" si="39"/>
        <v>0</v>
      </c>
      <c r="F98" s="7">
        <f t="shared" si="40"/>
        <v>20.45</v>
      </c>
      <c r="G98" s="79"/>
      <c r="H98" s="71" t="str">
        <f t="shared" si="46"/>
        <v/>
      </c>
      <c r="I98" s="7">
        <f t="shared" si="47"/>
        <v>3.2845547542822137E-2</v>
      </c>
      <c r="J98" s="7" t="str">
        <f t="shared" si="48"/>
        <v/>
      </c>
      <c r="K98" s="7">
        <f t="shared" si="41"/>
        <v>20.913449164546542</v>
      </c>
      <c r="L98">
        <f t="shared" si="49"/>
        <v>20.913449164546542</v>
      </c>
      <c r="M98" s="201">
        <f t="shared" si="50"/>
        <v>0.30379868798166459</v>
      </c>
      <c r="N98" s="201">
        <f t="shared" si="51"/>
        <v>0.24646038758438041</v>
      </c>
      <c r="O98" s="160">
        <f t="shared" si="42"/>
        <v>0</v>
      </c>
      <c r="P98" s="202">
        <f t="shared" si="43"/>
        <v>0.21390808042099688</v>
      </c>
      <c r="Q98" s="202">
        <f t="shared" si="44"/>
        <v>0.24519002692611086</v>
      </c>
      <c r="R98" s="160">
        <f t="shared" si="52"/>
        <v>0</v>
      </c>
      <c r="S98" s="160">
        <f t="shared" si="53"/>
        <v>0.21390808042099688</v>
      </c>
      <c r="T98" s="160">
        <f t="shared" si="54"/>
        <v>3.1281946505113983E-2</v>
      </c>
      <c r="U98" s="160">
        <f t="shared" si="55"/>
        <v>1.2703606582695481E-3</v>
      </c>
      <c r="V98" s="206">
        <f t="shared" si="56"/>
        <v>17.274339663914905</v>
      </c>
      <c r="W98">
        <f t="shared" si="57"/>
        <v>0</v>
      </c>
      <c r="X98" s="160">
        <f t="shared" si="45"/>
        <v>0.21390808042099688</v>
      </c>
      <c r="Y98" s="160">
        <f t="shared" si="58"/>
        <v>3.1281946505113983E-2</v>
      </c>
      <c r="Z98" s="160">
        <f t="shared" si="59"/>
        <v>1.2703606582695481E-3</v>
      </c>
      <c r="AA98">
        <f t="shared" si="60"/>
        <v>138.21277335927329</v>
      </c>
      <c r="AB98">
        <f t="shared" si="61"/>
        <v>21.144353739673988</v>
      </c>
      <c r="AC98">
        <f t="shared" si="62"/>
        <v>14.694283135139985</v>
      </c>
      <c r="AD98">
        <f t="shared" si="63"/>
        <v>11.115904601590554</v>
      </c>
      <c r="AE98">
        <f t="shared" si="64"/>
        <v>185.16731483567781</v>
      </c>
      <c r="AF98">
        <f t="shared" si="65"/>
        <v>46.05111119963307</v>
      </c>
      <c r="AG98">
        <f t="shared" si="66"/>
        <v>231.21842603531087</v>
      </c>
    </row>
    <row r="99" spans="1:33" x14ac:dyDescent="0.3">
      <c r="A99" s="60">
        <v>73</v>
      </c>
      <c r="B99" s="60">
        <v>269</v>
      </c>
      <c r="C99" s="60">
        <v>273</v>
      </c>
      <c r="D99" s="60">
        <v>22.5</v>
      </c>
      <c r="E99" s="61">
        <f t="shared" si="39"/>
        <v>0</v>
      </c>
      <c r="F99" s="62">
        <f t="shared" si="40"/>
        <v>27.1</v>
      </c>
      <c r="G99" s="78">
        <v>13</v>
      </c>
      <c r="H99" s="71">
        <f t="shared" si="46"/>
        <v>22.5</v>
      </c>
      <c r="I99" s="7">
        <f t="shared" si="47"/>
        <v>5.7680426518072009E-2</v>
      </c>
      <c r="J99" s="7">
        <f t="shared" si="48"/>
        <v>27.1</v>
      </c>
      <c r="K99" s="7">
        <f t="shared" si="41"/>
        <v>23.089321548490844</v>
      </c>
      <c r="L99">
        <f t="shared" si="49"/>
        <v>22.5</v>
      </c>
      <c r="M99" s="201">
        <f t="shared" si="50"/>
        <v>0.54828641615977003</v>
      </c>
      <c r="N99" s="201">
        <f t="shared" si="51"/>
        <v>0.44307433480730629</v>
      </c>
      <c r="O99" s="160">
        <f t="shared" si="42"/>
        <v>0.11344750181038626</v>
      </c>
      <c r="P99" s="202">
        <f t="shared" si="43"/>
        <v>0.42531956459733566</v>
      </c>
      <c r="Q99" s="202">
        <f t="shared" si="44"/>
        <v>0.44241377599443465</v>
      </c>
      <c r="R99" s="160">
        <f t="shared" si="52"/>
        <v>0.11344750181038626</v>
      </c>
      <c r="S99" s="160">
        <f t="shared" si="53"/>
        <v>0.3118720627869494</v>
      </c>
      <c r="T99" s="160">
        <f t="shared" si="54"/>
        <v>1.7094211397098991E-2</v>
      </c>
      <c r="U99" s="160">
        <f t="shared" si="55"/>
        <v>6.6055881287163665E-4</v>
      </c>
      <c r="V99" s="206">
        <f t="shared" si="56"/>
        <v>23.135735512494055</v>
      </c>
      <c r="W99">
        <f t="shared" si="57"/>
        <v>0</v>
      </c>
      <c r="X99" s="160">
        <f t="shared" si="45"/>
        <v>0.42531956459733566</v>
      </c>
      <c r="Y99" s="160">
        <f t="shared" si="58"/>
        <v>1.7094211397098991E-2</v>
      </c>
      <c r="Z99" s="160">
        <f t="shared" si="59"/>
        <v>6.6055881287163665E-4</v>
      </c>
      <c r="AA99">
        <f t="shared" si="60"/>
        <v>252.20303329690478</v>
      </c>
      <c r="AB99">
        <f t="shared" si="61"/>
        <v>44.730407466385991</v>
      </c>
      <c r="AC99">
        <f t="shared" si="62"/>
        <v>28.114189875594949</v>
      </c>
      <c r="AD99">
        <f t="shared" si="63"/>
        <v>18.406209130123067</v>
      </c>
      <c r="AE99">
        <f t="shared" si="64"/>
        <v>343.45383976900877</v>
      </c>
      <c r="AF99">
        <f t="shared" si="65"/>
        <v>85.416969950552485</v>
      </c>
      <c r="AG99">
        <f t="shared" si="66"/>
        <v>428.87080971956124</v>
      </c>
    </row>
    <row r="100" spans="1:33" x14ac:dyDescent="0.3">
      <c r="A100" s="16">
        <v>74</v>
      </c>
      <c r="B100" s="16">
        <v>244</v>
      </c>
      <c r="C100" s="16">
        <v>236</v>
      </c>
      <c r="D100" s="16"/>
      <c r="E100" s="4">
        <f t="shared" si="39"/>
        <v>0</v>
      </c>
      <c r="F100" s="7">
        <f t="shared" si="40"/>
        <v>24</v>
      </c>
      <c r="G100" s="79"/>
      <c r="H100" s="71" t="str">
        <f t="shared" si="46"/>
        <v/>
      </c>
      <c r="I100" s="7">
        <f t="shared" si="47"/>
        <v>4.5238934211693019E-2</v>
      </c>
      <c r="J100" s="7" t="str">
        <f t="shared" si="48"/>
        <v/>
      </c>
      <c r="K100" s="7">
        <f t="shared" si="41"/>
        <v>22.199174355570026</v>
      </c>
      <c r="L100">
        <f t="shared" si="49"/>
        <v>22.199174355570026</v>
      </c>
      <c r="M100" s="201">
        <f t="shared" si="50"/>
        <v>0.43329000481435942</v>
      </c>
      <c r="N100" s="201">
        <f t="shared" si="51"/>
        <v>0.35128071297707342</v>
      </c>
      <c r="O100" s="160">
        <f t="shared" si="42"/>
        <v>0</v>
      </c>
      <c r="P100" s="202">
        <f t="shared" si="43"/>
        <v>0.32756437642369701</v>
      </c>
      <c r="Q100" s="202">
        <f t="shared" si="44"/>
        <v>0.35038606042458209</v>
      </c>
      <c r="R100" s="160">
        <f t="shared" si="52"/>
        <v>0</v>
      </c>
      <c r="S100" s="160">
        <f t="shared" si="53"/>
        <v>0.32756437642369701</v>
      </c>
      <c r="T100" s="160">
        <f t="shared" si="54"/>
        <v>2.2821684000885079E-2</v>
      </c>
      <c r="U100" s="160">
        <f t="shared" si="55"/>
        <v>8.9465255249132625E-4</v>
      </c>
      <c r="V100" s="206">
        <f t="shared" si="56"/>
        <v>20.450213181017197</v>
      </c>
      <c r="W100">
        <f t="shared" si="57"/>
        <v>0</v>
      </c>
      <c r="X100" s="160">
        <f t="shared" si="45"/>
        <v>0.32756437642369701</v>
      </c>
      <c r="Y100" s="160">
        <f t="shared" si="58"/>
        <v>2.2821684000885079E-2</v>
      </c>
      <c r="Z100" s="160">
        <f t="shared" si="59"/>
        <v>8.9465255249132625E-4</v>
      </c>
      <c r="AA100">
        <f t="shared" si="60"/>
        <v>199.43913957133657</v>
      </c>
      <c r="AB100">
        <f t="shared" si="61"/>
        <v>33.01595663334264</v>
      </c>
      <c r="AC100">
        <f t="shared" si="62"/>
        <v>20.924948703232211</v>
      </c>
      <c r="AD100">
        <f t="shared" si="63"/>
        <v>14.617400632091146</v>
      </c>
      <c r="AE100">
        <f t="shared" si="64"/>
        <v>267.99744554000256</v>
      </c>
      <c r="AF100">
        <f t="shared" si="65"/>
        <v>66.650964705798643</v>
      </c>
      <c r="AG100">
        <f t="shared" si="66"/>
        <v>334.64841024580119</v>
      </c>
    </row>
    <row r="101" spans="1:33" x14ac:dyDescent="0.3">
      <c r="A101" s="16">
        <v>75</v>
      </c>
      <c r="B101" s="16">
        <v>236</v>
      </c>
      <c r="C101" s="16">
        <v>240</v>
      </c>
      <c r="D101" s="16"/>
      <c r="E101" s="4">
        <f t="shared" si="39"/>
        <v>0</v>
      </c>
      <c r="F101" s="7">
        <f t="shared" si="40"/>
        <v>23.8</v>
      </c>
      <c r="G101" s="79"/>
      <c r="H101" s="71" t="str">
        <f t="shared" si="46"/>
        <v/>
      </c>
      <c r="I101" s="7">
        <f t="shared" si="47"/>
        <v>4.4488093567485065E-2</v>
      </c>
      <c r="J101" s="7" t="str">
        <f t="shared" si="48"/>
        <v/>
      </c>
      <c r="K101" s="7">
        <f t="shared" si="41"/>
        <v>22.135152196835143</v>
      </c>
      <c r="L101">
        <f t="shared" si="49"/>
        <v>22.135152196835143</v>
      </c>
      <c r="M101" s="201">
        <f t="shared" si="50"/>
        <v>0.42542700646773823</v>
      </c>
      <c r="N101" s="201">
        <f t="shared" si="51"/>
        <v>0.3449246685422464</v>
      </c>
      <c r="O101" s="160">
        <f t="shared" si="42"/>
        <v>0</v>
      </c>
      <c r="P101" s="202">
        <f t="shared" si="43"/>
        <v>0.32079287176734822</v>
      </c>
      <c r="Q101" s="202">
        <f t="shared" si="44"/>
        <v>0.34401320392033397</v>
      </c>
      <c r="R101" s="160">
        <f t="shared" si="52"/>
        <v>0</v>
      </c>
      <c r="S101" s="160">
        <f t="shared" si="53"/>
        <v>0.32079287176734822</v>
      </c>
      <c r="T101" s="160">
        <f t="shared" si="54"/>
        <v>2.3220332152985745E-2</v>
      </c>
      <c r="U101" s="160">
        <f t="shared" si="55"/>
        <v>9.1146462191243893E-4</v>
      </c>
      <c r="V101" s="206">
        <f t="shared" si="56"/>
        <v>20.271451306839428</v>
      </c>
      <c r="W101">
        <f t="shared" si="57"/>
        <v>0</v>
      </c>
      <c r="X101" s="160">
        <f t="shared" si="45"/>
        <v>0.32079287176734822</v>
      </c>
      <c r="Y101" s="160">
        <f t="shared" si="58"/>
        <v>2.3220332152985745E-2</v>
      </c>
      <c r="Z101" s="160">
        <f t="shared" si="59"/>
        <v>9.1146462191243893E-4</v>
      </c>
      <c r="AA101">
        <f t="shared" si="60"/>
        <v>195.71394531152586</v>
      </c>
      <c r="AB101">
        <f t="shared" si="61"/>
        <v>32.263782766659624</v>
      </c>
      <c r="AC101">
        <f t="shared" si="62"/>
        <v>20.537781082008884</v>
      </c>
      <c r="AD101">
        <f t="shared" si="63"/>
        <v>14.407264002549645</v>
      </c>
      <c r="AE101">
        <f t="shared" si="64"/>
        <v>262.92277316274402</v>
      </c>
      <c r="AF101">
        <f t="shared" si="65"/>
        <v>65.388893685574445</v>
      </c>
      <c r="AG101">
        <f t="shared" si="66"/>
        <v>328.31166684831845</v>
      </c>
    </row>
    <row r="102" spans="1:33" x14ac:dyDescent="0.3">
      <c r="A102" s="16">
        <v>76</v>
      </c>
      <c r="B102" s="16">
        <v>226</v>
      </c>
      <c r="C102" s="16">
        <v>218</v>
      </c>
      <c r="D102" s="16"/>
      <c r="E102" s="4">
        <f t="shared" si="39"/>
        <v>0</v>
      </c>
      <c r="F102" s="7">
        <f t="shared" si="40"/>
        <v>22.2</v>
      </c>
      <c r="G102" s="79"/>
      <c r="H102" s="71" t="str">
        <f t="shared" si="46"/>
        <v/>
      </c>
      <c r="I102" s="7">
        <f t="shared" si="47"/>
        <v>3.870756308487984E-2</v>
      </c>
      <c r="J102" s="7" t="str">
        <f t="shared" si="48"/>
        <v/>
      </c>
      <c r="K102" s="7">
        <f t="shared" si="41"/>
        <v>21.589094528444001</v>
      </c>
      <c r="L102">
        <f t="shared" si="49"/>
        <v>21.589094528444001</v>
      </c>
      <c r="M102" s="201">
        <f t="shared" si="50"/>
        <v>0.36495045057942022</v>
      </c>
      <c r="N102" s="201">
        <f t="shared" si="51"/>
        <v>0.29600100941075652</v>
      </c>
      <c r="O102" s="160">
        <f t="shared" si="42"/>
        <v>0</v>
      </c>
      <c r="P102" s="202">
        <f t="shared" si="43"/>
        <v>0.26820762821644895</v>
      </c>
      <c r="Q102" s="202">
        <f t="shared" si="44"/>
        <v>0.29493817488579221</v>
      </c>
      <c r="R102" s="160">
        <f t="shared" si="52"/>
        <v>0</v>
      </c>
      <c r="S102" s="160">
        <f t="shared" si="53"/>
        <v>0.26820762821644895</v>
      </c>
      <c r="T102" s="160">
        <f t="shared" si="54"/>
        <v>2.6730546669343269E-2</v>
      </c>
      <c r="U102" s="160">
        <f t="shared" si="55"/>
        <v>1.0628345249643067E-3</v>
      </c>
      <c r="V102" s="206">
        <f t="shared" si="56"/>
        <v>18.840727148908798</v>
      </c>
      <c r="W102">
        <f t="shared" si="57"/>
        <v>0</v>
      </c>
      <c r="X102" s="160">
        <f t="shared" si="45"/>
        <v>0.26820762821644895</v>
      </c>
      <c r="Y102" s="160">
        <f t="shared" si="58"/>
        <v>2.6730546669343269E-2</v>
      </c>
      <c r="Z102" s="160">
        <f t="shared" si="59"/>
        <v>1.0628345249643067E-3</v>
      </c>
      <c r="AA102">
        <f t="shared" si="60"/>
        <v>167.09039207176403</v>
      </c>
      <c r="AB102">
        <f t="shared" si="61"/>
        <v>26.608968066658509</v>
      </c>
      <c r="AC102">
        <f t="shared" si="62"/>
        <v>17.597670406642628</v>
      </c>
      <c r="AD102">
        <f t="shared" si="63"/>
        <v>12.781441186087386</v>
      </c>
      <c r="AE102">
        <f t="shared" si="64"/>
        <v>224.07847173115258</v>
      </c>
      <c r="AF102">
        <f t="shared" si="65"/>
        <v>55.72831591953765</v>
      </c>
      <c r="AG102">
        <f t="shared" si="66"/>
        <v>279.80678765069024</v>
      </c>
    </row>
    <row r="103" spans="1:33" x14ac:dyDescent="0.3">
      <c r="A103" s="16">
        <v>77</v>
      </c>
      <c r="B103" s="16">
        <v>179</v>
      </c>
      <c r="C103" s="16">
        <v>171</v>
      </c>
      <c r="D103" s="16"/>
      <c r="E103" s="4">
        <f t="shared" si="39"/>
        <v>0</v>
      </c>
      <c r="F103" s="7">
        <f t="shared" si="40"/>
        <v>17.5</v>
      </c>
      <c r="G103" s="79"/>
      <c r="H103" s="71" t="str">
        <f t="shared" si="46"/>
        <v/>
      </c>
      <c r="I103" s="7">
        <f t="shared" si="47"/>
        <v>2.4052818754046853E-2</v>
      </c>
      <c r="J103" s="7" t="str">
        <f t="shared" si="48"/>
        <v/>
      </c>
      <c r="K103" s="7">
        <f t="shared" si="41"/>
        <v>19.538729937529688</v>
      </c>
      <c r="L103">
        <f t="shared" si="49"/>
        <v>19.538729937529688</v>
      </c>
      <c r="M103" s="201">
        <f t="shared" si="50"/>
        <v>0.21276929604545416</v>
      </c>
      <c r="N103" s="201">
        <f t="shared" si="51"/>
        <v>0.17257458381092877</v>
      </c>
      <c r="O103" s="160">
        <f t="shared" si="42"/>
        <v>0</v>
      </c>
      <c r="P103" s="202">
        <f t="shared" si="43"/>
        <v>0.13020975555193798</v>
      </c>
      <c r="Q103" s="202">
        <f t="shared" si="44"/>
        <v>0.17081026222752171</v>
      </c>
      <c r="R103" s="160">
        <f t="shared" si="52"/>
        <v>0</v>
      </c>
      <c r="S103" s="160">
        <f t="shared" si="53"/>
        <v>0.13020975555193798</v>
      </c>
      <c r="T103" s="160">
        <f t="shared" si="54"/>
        <v>4.0600506675583736E-2</v>
      </c>
      <c r="U103" s="160">
        <f t="shared" si="55"/>
        <v>1.764321583407058E-3</v>
      </c>
      <c r="V103" s="206">
        <f t="shared" si="56"/>
        <v>14.62871676220986</v>
      </c>
      <c r="W103">
        <f t="shared" si="57"/>
        <v>0</v>
      </c>
      <c r="X103" s="160">
        <f t="shared" si="45"/>
        <v>0.13020975555193798</v>
      </c>
      <c r="Y103" s="160">
        <f t="shared" si="58"/>
        <v>4.0600506675583736E-2</v>
      </c>
      <c r="Z103" s="160">
        <f t="shared" si="59"/>
        <v>1.764321583407058E-3</v>
      </c>
      <c r="AA103">
        <f t="shared" si="60"/>
        <v>95.421634167846449</v>
      </c>
      <c r="AB103">
        <f t="shared" si="61"/>
        <v>13.557244652314541</v>
      </c>
      <c r="AC103">
        <f t="shared" si="62"/>
        <v>10.505444726529083</v>
      </c>
      <c r="AD103">
        <f t="shared" si="63"/>
        <v>8.5758435820742847</v>
      </c>
      <c r="AE103">
        <f t="shared" si="64"/>
        <v>128.06016712876436</v>
      </c>
      <c r="AF103">
        <f t="shared" si="65"/>
        <v>31.848563564923698</v>
      </c>
      <c r="AG103">
        <f t="shared" si="66"/>
        <v>159.90873069368806</v>
      </c>
    </row>
    <row r="104" spans="1:33" x14ac:dyDescent="0.3">
      <c r="A104" s="60">
        <v>78</v>
      </c>
      <c r="B104" s="60">
        <v>294</v>
      </c>
      <c r="C104" s="60">
        <v>301</v>
      </c>
      <c r="D104" s="60"/>
      <c r="E104" s="61">
        <f t="shared" si="39"/>
        <v>0</v>
      </c>
      <c r="F104" s="62">
        <f t="shared" si="40"/>
        <v>29.75</v>
      </c>
      <c r="G104" s="78">
        <v>1</v>
      </c>
      <c r="H104" s="71" t="str">
        <f t="shared" si="46"/>
        <v/>
      </c>
      <c r="I104" s="7">
        <f t="shared" si="47"/>
        <v>6.9512646199195408E-2</v>
      </c>
      <c r="J104" s="7">
        <f t="shared" si="48"/>
        <v>29.75</v>
      </c>
      <c r="K104" s="7">
        <f t="shared" si="41"/>
        <v>23.723892478272571</v>
      </c>
      <c r="L104">
        <f t="shared" si="49"/>
        <v>23.723892478272571</v>
      </c>
      <c r="M104" s="201">
        <f t="shared" si="50"/>
        <v>0.68759667283922143</v>
      </c>
      <c r="N104" s="201">
        <f t="shared" si="51"/>
        <v>0.55630982436395238</v>
      </c>
      <c r="O104" s="160">
        <f t="shared" si="42"/>
        <v>0.22558004620708277</v>
      </c>
      <c r="P104" s="202">
        <f t="shared" si="43"/>
        <v>0.54143846200737988</v>
      </c>
      <c r="Q104" s="202">
        <f t="shared" si="44"/>
        <v>0.55576018646381942</v>
      </c>
      <c r="R104" s="160">
        <f t="shared" si="52"/>
        <v>0.22558004620708277</v>
      </c>
      <c r="S104" s="160">
        <f t="shared" si="53"/>
        <v>0.31585841580029711</v>
      </c>
      <c r="T104" s="160">
        <f t="shared" si="54"/>
        <v>1.4321724456439533E-2</v>
      </c>
      <c r="U104" s="160">
        <f t="shared" si="55"/>
        <v>5.4963790013295988E-4</v>
      </c>
      <c r="V104" s="206">
        <f t="shared" si="56"/>
        <v>25.584207488830163</v>
      </c>
      <c r="W104">
        <f t="shared" si="57"/>
        <v>0.22558004620708277</v>
      </c>
      <c r="X104" s="160">
        <f t="shared" si="45"/>
        <v>0.31585841580029711</v>
      </c>
      <c r="Y104" s="160">
        <f t="shared" si="58"/>
        <v>1.4321724456439533E-2</v>
      </c>
      <c r="Z104" s="160">
        <f t="shared" si="59"/>
        <v>5.4963790013295988E-4</v>
      </c>
      <c r="AA104">
        <f t="shared" si="60"/>
        <v>320.18153511890944</v>
      </c>
      <c r="AB104">
        <f t="shared" si="61"/>
        <v>59.152363684340649</v>
      </c>
      <c r="AC104">
        <f t="shared" si="62"/>
        <v>34.015630457689824</v>
      </c>
      <c r="AD104">
        <f t="shared" si="63"/>
        <v>21.313360624917799</v>
      </c>
      <c r="AE104">
        <f t="shared" si="64"/>
        <v>434.66288988585768</v>
      </c>
      <c r="AF104">
        <f t="shared" si="65"/>
        <v>108.1006607146128</v>
      </c>
      <c r="AG104">
        <f t="shared" si="66"/>
        <v>542.76355060047047</v>
      </c>
    </row>
    <row r="105" spans="1:33" x14ac:dyDescent="0.3">
      <c r="A105" s="16">
        <v>79</v>
      </c>
      <c r="B105" s="16">
        <v>182</v>
      </c>
      <c r="C105" s="16">
        <v>190</v>
      </c>
      <c r="D105" s="16"/>
      <c r="E105" s="4">
        <f t="shared" si="39"/>
        <v>0</v>
      </c>
      <c r="F105" s="7">
        <f t="shared" si="40"/>
        <v>18.600000000000001</v>
      </c>
      <c r="G105" s="79"/>
      <c r="H105" s="71" t="str">
        <f t="shared" si="46"/>
        <v/>
      </c>
      <c r="I105" s="7">
        <f t="shared" si="47"/>
        <v>2.717163486089812E-2</v>
      </c>
      <c r="J105" s="7" t="str">
        <f t="shared" si="48"/>
        <v/>
      </c>
      <c r="K105" s="7">
        <f t="shared" si="41"/>
        <v>20.091041122263476</v>
      </c>
      <c r="L105">
        <f t="shared" si="49"/>
        <v>20.091041122263476</v>
      </c>
      <c r="M105" s="201">
        <f t="shared" si="50"/>
        <v>0.24492133121480339</v>
      </c>
      <c r="N105" s="201">
        <f t="shared" si="51"/>
        <v>0.19869110924314837</v>
      </c>
      <c r="O105" s="160">
        <f t="shared" si="42"/>
        <v>0</v>
      </c>
      <c r="P105" s="202">
        <f t="shared" si="43"/>
        <v>0.16021281072810584</v>
      </c>
      <c r="Q105" s="202">
        <f t="shared" si="44"/>
        <v>0.19713698993516923</v>
      </c>
      <c r="R105" s="160">
        <f t="shared" si="52"/>
        <v>0</v>
      </c>
      <c r="S105" s="160">
        <f t="shared" si="53"/>
        <v>0.16021281072810584</v>
      </c>
      <c r="T105" s="160">
        <f t="shared" si="54"/>
        <v>3.6924179207063396E-2</v>
      </c>
      <c r="U105" s="160">
        <f t="shared" si="55"/>
        <v>1.5541193079791349E-3</v>
      </c>
      <c r="V105" s="206">
        <f t="shared" si="56"/>
        <v>15.616142855237857</v>
      </c>
      <c r="W105">
        <f t="shared" si="57"/>
        <v>0</v>
      </c>
      <c r="X105" s="160">
        <f t="shared" si="45"/>
        <v>0.16021281072810584</v>
      </c>
      <c r="Y105" s="160">
        <f t="shared" si="58"/>
        <v>3.6924179207063396E-2</v>
      </c>
      <c r="Z105" s="160">
        <f t="shared" si="59"/>
        <v>1.5541193079791349E-3</v>
      </c>
      <c r="AA105">
        <f t="shared" si="60"/>
        <v>110.5007092108882</v>
      </c>
      <c r="AB105">
        <f t="shared" si="61"/>
        <v>16.154844129933664</v>
      </c>
      <c r="AC105">
        <f t="shared" si="62"/>
        <v>11.966707070459604</v>
      </c>
      <c r="AD105">
        <f t="shared" si="63"/>
        <v>9.4836169292777832</v>
      </c>
      <c r="AE105">
        <f t="shared" si="64"/>
        <v>148.10587734055926</v>
      </c>
      <c r="AF105">
        <f t="shared" si="65"/>
        <v>36.833931694597091</v>
      </c>
      <c r="AG105">
        <f t="shared" si="66"/>
        <v>184.93980903515634</v>
      </c>
    </row>
    <row r="106" spans="1:33" x14ac:dyDescent="0.3">
      <c r="A106" s="16">
        <v>80</v>
      </c>
      <c r="B106" s="16">
        <v>245</v>
      </c>
      <c r="C106" s="16">
        <v>242</v>
      </c>
      <c r="D106" s="16">
        <v>22</v>
      </c>
      <c r="E106" s="4">
        <f t="shared" si="39"/>
        <v>0</v>
      </c>
      <c r="F106" s="7">
        <f t="shared" si="40"/>
        <v>24.35</v>
      </c>
      <c r="G106" s="79"/>
      <c r="H106" s="71" t="str">
        <f t="shared" si="46"/>
        <v/>
      </c>
      <c r="I106" s="7">
        <f t="shared" si="47"/>
        <v>4.6568024253702357E-2</v>
      </c>
      <c r="J106" s="7" t="str">
        <f t="shared" si="48"/>
        <v/>
      </c>
      <c r="K106" s="7">
        <f t="shared" si="41"/>
        <v>22.309112026146554</v>
      </c>
      <c r="L106">
        <f t="shared" si="49"/>
        <v>22</v>
      </c>
      <c r="M106" s="201">
        <f t="shared" si="50"/>
        <v>0.44058262251919517</v>
      </c>
      <c r="N106" s="201">
        <f t="shared" si="51"/>
        <v>0.35672896622752814</v>
      </c>
      <c r="O106" s="160">
        <f t="shared" si="42"/>
        <v>0</v>
      </c>
      <c r="P106" s="202">
        <f t="shared" si="43"/>
        <v>0.33408691067183871</v>
      </c>
      <c r="Q106" s="202">
        <f t="shared" si="44"/>
        <v>0.35587659624171747</v>
      </c>
      <c r="R106" s="160">
        <f t="shared" si="52"/>
        <v>0</v>
      </c>
      <c r="S106" s="160">
        <f t="shared" si="53"/>
        <v>0.33408691067183871</v>
      </c>
      <c r="T106" s="160">
        <f t="shared" si="54"/>
        <v>2.1789685569878758E-2</v>
      </c>
      <c r="U106" s="160">
        <f t="shared" si="55"/>
        <v>8.523699858106748E-4</v>
      </c>
      <c r="V106" s="206">
        <f t="shared" si="56"/>
        <v>20.721753268218478</v>
      </c>
      <c r="W106">
        <f t="shared" si="57"/>
        <v>0</v>
      </c>
      <c r="X106" s="160">
        <f t="shared" si="45"/>
        <v>0.33408691067183871</v>
      </c>
      <c r="Y106" s="160">
        <f t="shared" si="58"/>
        <v>2.1789685569878758E-2</v>
      </c>
      <c r="Z106" s="160">
        <f t="shared" si="59"/>
        <v>8.523699858106748E-4</v>
      </c>
      <c r="AA106">
        <f t="shared" si="60"/>
        <v>202.13640981016945</v>
      </c>
      <c r="AB106">
        <f t="shared" si="61"/>
        <v>33.840640214922985</v>
      </c>
      <c r="AC106">
        <f t="shared" si="62"/>
        <v>21.871229129847745</v>
      </c>
      <c r="AD106">
        <f t="shared" si="63"/>
        <v>15.138498037743904</v>
      </c>
      <c r="AE106">
        <f t="shared" si="64"/>
        <v>272.98677719268409</v>
      </c>
      <c r="AF106">
        <f t="shared" si="65"/>
        <v>67.891811487820533</v>
      </c>
      <c r="AG106">
        <f t="shared" si="66"/>
        <v>340.87858868050461</v>
      </c>
    </row>
    <row r="107" spans="1:33" x14ac:dyDescent="0.3">
      <c r="N107" s="161"/>
      <c r="O107" s="161"/>
      <c r="P107" s="161"/>
      <c r="Q107" s="161"/>
      <c r="R107" s="161"/>
      <c r="S107" s="161"/>
      <c r="T107" s="161"/>
      <c r="U107" s="161"/>
      <c r="V107" s="161"/>
      <c r="W107" s="161"/>
      <c r="X107" s="161"/>
      <c r="Y107" s="161"/>
      <c r="Z107" s="161"/>
      <c r="AA107" s="161"/>
      <c r="AB107" s="161"/>
      <c r="AC107" s="161"/>
      <c r="AD107" s="161"/>
    </row>
  </sheetData>
  <sortState ref="A20:G99">
    <sortCondition ref="A20:A99"/>
  </sortState>
  <mergeCells count="10">
    <mergeCell ref="R25:U25"/>
    <mergeCell ref="V25:Z25"/>
    <mergeCell ref="A18:H18"/>
    <mergeCell ref="A16:H16"/>
    <mergeCell ref="A17:H17"/>
    <mergeCell ref="A12:H12"/>
    <mergeCell ref="A13:H13"/>
    <mergeCell ref="A14:H14"/>
    <mergeCell ref="A15:H15"/>
    <mergeCell ref="O25:Q25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3074" r:id="rId4">
          <objectPr defaultSize="0" autoPict="0" r:id="rId5">
            <anchor moveWithCells="1" sizeWithCells="1">
              <from>
                <xdr:col>7</xdr:col>
                <xdr:colOff>144780</xdr:colOff>
                <xdr:row>0</xdr:row>
                <xdr:rowOff>190500</xdr:rowOff>
              </from>
              <to>
                <xdr:col>9</xdr:col>
                <xdr:colOff>594360</xdr:colOff>
                <xdr:row>5</xdr:row>
                <xdr:rowOff>60960</xdr:rowOff>
              </to>
            </anchor>
          </objectPr>
        </oleObject>
      </mc:Choice>
      <mc:Fallback>
        <oleObject progId="Equation.3" shapeId="3074" r:id="rId4"/>
      </mc:Fallback>
    </mc:AlternateContent>
    <mc:AlternateContent xmlns:mc="http://schemas.openxmlformats.org/markup-compatibility/2006">
      <mc:Choice Requires="x14">
        <oleObject progId="Equation.3" shapeId="3075" r:id="rId6">
          <objectPr defaultSize="0" autoPict="0" r:id="rId7">
            <anchor moveWithCells="1" sizeWithCells="1">
              <from>
                <xdr:col>11</xdr:col>
                <xdr:colOff>38100</xdr:colOff>
                <xdr:row>1</xdr:row>
                <xdr:rowOff>15240</xdr:rowOff>
              </from>
              <to>
                <xdr:col>16</xdr:col>
                <xdr:colOff>7620</xdr:colOff>
                <xdr:row>3</xdr:row>
                <xdr:rowOff>91440</xdr:rowOff>
              </to>
            </anchor>
          </objectPr>
        </oleObject>
      </mc:Choice>
      <mc:Fallback>
        <oleObject progId="Equation.3" shapeId="3075" r:id="rId6"/>
      </mc:Fallback>
    </mc:AlternateContent>
    <mc:AlternateContent xmlns:mc="http://schemas.openxmlformats.org/markup-compatibility/2006">
      <mc:Choice Requires="x14">
        <oleObject progId="Equation.3" shapeId="3076" r:id="rId8">
          <objectPr defaultSize="0" autoPict="0" r:id="rId9">
            <anchor moveWithCells="1" sizeWithCells="1">
              <from>
                <xdr:col>27</xdr:col>
                <xdr:colOff>548640</xdr:colOff>
                <xdr:row>0</xdr:row>
                <xdr:rowOff>53340</xdr:rowOff>
              </from>
              <to>
                <xdr:col>30</xdr:col>
                <xdr:colOff>243840</xdr:colOff>
                <xdr:row>2</xdr:row>
                <xdr:rowOff>175260</xdr:rowOff>
              </to>
            </anchor>
          </objectPr>
        </oleObject>
      </mc:Choice>
      <mc:Fallback>
        <oleObject progId="Equation.3" shapeId="3076" r:id="rId8"/>
      </mc:Fallback>
    </mc:AlternateContent>
    <mc:AlternateContent xmlns:mc="http://schemas.openxmlformats.org/markup-compatibility/2006">
      <mc:Choice Requires="x14">
        <oleObject progId="Equation.3" shapeId="3078" r:id="rId10">
          <objectPr defaultSize="0" autoPict="0" r:id="rId11">
            <anchor moveWithCells="1" sizeWithCells="1">
              <from>
                <xdr:col>24</xdr:col>
                <xdr:colOff>76200</xdr:colOff>
                <xdr:row>4</xdr:row>
                <xdr:rowOff>30480</xdr:rowOff>
              </from>
              <to>
                <xdr:col>25</xdr:col>
                <xdr:colOff>556260</xdr:colOff>
                <xdr:row>6</xdr:row>
                <xdr:rowOff>160020</xdr:rowOff>
              </to>
            </anchor>
          </objectPr>
        </oleObject>
      </mc:Choice>
      <mc:Fallback>
        <oleObject progId="Equation.3" shapeId="3078" r:id="rId10"/>
      </mc:Fallback>
    </mc:AlternateContent>
    <mc:AlternateContent xmlns:mc="http://schemas.openxmlformats.org/markup-compatibility/2006">
      <mc:Choice Requires="x14">
        <oleObject progId="Equation.3" shapeId="3079" r:id="rId12">
          <objectPr defaultSize="0" autoPict="0" r:id="rId13">
            <anchor moveWithCells="1" sizeWithCells="1">
              <from>
                <xdr:col>31</xdr:col>
                <xdr:colOff>259080</xdr:colOff>
                <xdr:row>2</xdr:row>
                <xdr:rowOff>22860</xdr:rowOff>
              </from>
              <to>
                <xdr:col>33</xdr:col>
                <xdr:colOff>518160</xdr:colOff>
                <xdr:row>4</xdr:row>
                <xdr:rowOff>152400</xdr:rowOff>
              </to>
            </anchor>
          </objectPr>
        </oleObject>
      </mc:Choice>
      <mc:Fallback>
        <oleObject progId="Equation.3" shapeId="3079" r:id="rId12"/>
      </mc:Fallback>
    </mc:AlternateContent>
    <mc:AlternateContent xmlns:mc="http://schemas.openxmlformats.org/markup-compatibility/2006">
      <mc:Choice Requires="x14">
        <oleObject progId="Equation.3" shapeId="3080" r:id="rId14">
          <objectPr defaultSize="0" autoPict="0" r:id="rId15">
            <anchor moveWithCells="1" sizeWithCells="1">
              <from>
                <xdr:col>21</xdr:col>
                <xdr:colOff>7620</xdr:colOff>
                <xdr:row>13</xdr:row>
                <xdr:rowOff>22860</xdr:rowOff>
              </from>
              <to>
                <xdr:col>24</xdr:col>
                <xdr:colOff>129540</xdr:colOff>
                <xdr:row>16</xdr:row>
                <xdr:rowOff>167640</xdr:rowOff>
              </to>
            </anchor>
          </objectPr>
        </oleObject>
      </mc:Choice>
      <mc:Fallback>
        <oleObject progId="Equation.3" shapeId="3080" r:id="rId1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1"/>
  <sheetViews>
    <sheetView topLeftCell="AB1" workbookViewId="0">
      <selection activeCell="AE2" sqref="AE2"/>
    </sheetView>
  </sheetViews>
  <sheetFormatPr defaultRowHeight="14.4" x14ac:dyDescent="0.3"/>
  <cols>
    <col min="13" max="14" width="8.88671875" style="1"/>
    <col min="15" max="15" width="1.6640625" customWidth="1"/>
    <col min="19" max="19" width="2.88671875" customWidth="1"/>
    <col min="20" max="20" width="5" customWidth="1"/>
    <col min="21" max="21" width="2.88671875" customWidth="1"/>
    <col min="36" max="36" width="8.33203125" customWidth="1"/>
    <col min="37" max="37" width="9.5546875" customWidth="1"/>
    <col min="38" max="38" width="10.5546875" customWidth="1"/>
  </cols>
  <sheetData>
    <row r="1" spans="1:50" ht="15" thickBot="1" x14ac:dyDescent="0.35">
      <c r="X1" s="114" t="s">
        <v>167</v>
      </c>
    </row>
    <row r="2" spans="1:50" ht="15.6" customHeight="1" thickTop="1" thickBot="1" x14ac:dyDescent="0.35">
      <c r="A2" s="451" t="s">
        <v>135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3"/>
      <c r="X2" s="451" t="s">
        <v>135</v>
      </c>
      <c r="Y2" s="452"/>
      <c r="Z2" s="452"/>
      <c r="AA2" s="452"/>
      <c r="AB2" s="452"/>
      <c r="AC2" s="452"/>
      <c r="AD2" s="453"/>
      <c r="AP2" s="451" t="s">
        <v>180</v>
      </c>
      <c r="AQ2" s="452"/>
      <c r="AR2" s="452"/>
      <c r="AS2" s="452"/>
      <c r="AT2" s="452"/>
      <c r="AU2" s="452"/>
      <c r="AV2" s="453"/>
    </row>
    <row r="3" spans="1:50" ht="15.6" customHeight="1" thickTop="1" thickBot="1" x14ac:dyDescent="0.35">
      <c r="B3" s="464" t="s">
        <v>77</v>
      </c>
      <c r="C3" s="464" t="s">
        <v>11</v>
      </c>
      <c r="D3" s="466" t="s">
        <v>137</v>
      </c>
      <c r="E3" s="467"/>
      <c r="F3" s="467"/>
      <c r="G3" s="468"/>
      <c r="H3" s="464" t="s">
        <v>136</v>
      </c>
      <c r="I3" s="466" t="s">
        <v>138</v>
      </c>
      <c r="J3" s="467"/>
      <c r="K3" s="467"/>
      <c r="L3" s="467"/>
      <c r="M3" s="469" t="s">
        <v>151</v>
      </c>
      <c r="N3" s="469" t="s">
        <v>152</v>
      </c>
      <c r="P3" s="91" t="s">
        <v>153</v>
      </c>
      <c r="Q3" s="91"/>
      <c r="R3" s="91">
        <v>40</v>
      </c>
      <c r="S3" s="91"/>
      <c r="T3" s="91"/>
      <c r="U3" s="91"/>
      <c r="V3" s="91"/>
      <c r="X3" s="464" t="s">
        <v>136</v>
      </c>
      <c r="Y3" s="464" t="s">
        <v>77</v>
      </c>
      <c r="Z3" s="464" t="s">
        <v>11</v>
      </c>
      <c r="AA3" s="466" t="s">
        <v>138</v>
      </c>
      <c r="AB3" s="467"/>
      <c r="AC3" s="467"/>
      <c r="AD3" s="468"/>
      <c r="AP3" s="459" t="s">
        <v>136</v>
      </c>
      <c r="AQ3" s="459" t="s">
        <v>77</v>
      </c>
      <c r="AR3" s="459" t="s">
        <v>11</v>
      </c>
      <c r="AS3" s="461" t="s">
        <v>138</v>
      </c>
      <c r="AT3" s="462"/>
      <c r="AU3" s="462"/>
      <c r="AV3" s="463"/>
    </row>
    <row r="4" spans="1:50" ht="27" thickBot="1" x14ac:dyDescent="0.35">
      <c r="B4" s="465"/>
      <c r="C4" s="465"/>
      <c r="D4" s="93" t="s">
        <v>140</v>
      </c>
      <c r="E4" s="93" t="s">
        <v>141</v>
      </c>
      <c r="F4" s="93" t="s">
        <v>142</v>
      </c>
      <c r="G4" s="93" t="s">
        <v>143</v>
      </c>
      <c r="H4" s="465"/>
      <c r="I4" s="93" t="s">
        <v>144</v>
      </c>
      <c r="J4" s="93" t="s">
        <v>145</v>
      </c>
      <c r="K4" s="93" t="s">
        <v>146</v>
      </c>
      <c r="L4" s="104" t="s">
        <v>147</v>
      </c>
      <c r="M4" s="469"/>
      <c r="N4" s="469"/>
      <c r="P4" s="91"/>
      <c r="Q4" s="91" t="s">
        <v>154</v>
      </c>
      <c r="R4" s="91">
        <f>PI()*R3^2</f>
        <v>5026.5482457436692</v>
      </c>
      <c r="S4" s="91"/>
      <c r="T4" s="91"/>
      <c r="U4" s="91"/>
      <c r="V4" s="91"/>
      <c r="X4" s="465"/>
      <c r="Y4" s="465"/>
      <c r="Z4" s="465"/>
      <c r="AA4" s="113" t="s">
        <v>144</v>
      </c>
      <c r="AB4" s="113" t="s">
        <v>145</v>
      </c>
      <c r="AC4" s="113" t="s">
        <v>146</v>
      </c>
      <c r="AD4" s="123" t="s">
        <v>147</v>
      </c>
      <c r="AE4" s="126" t="s">
        <v>151</v>
      </c>
      <c r="AF4" s="126" t="s">
        <v>168</v>
      </c>
      <c r="AG4" s="122"/>
      <c r="AP4" s="460"/>
      <c r="AQ4" s="460"/>
      <c r="AR4" s="460"/>
      <c r="AS4" s="113" t="s">
        <v>144</v>
      </c>
      <c r="AT4" s="113" t="s">
        <v>145</v>
      </c>
      <c r="AU4" s="113" t="s">
        <v>146</v>
      </c>
      <c r="AV4" s="123" t="s">
        <v>147</v>
      </c>
      <c r="AW4" s="126" t="s">
        <v>151</v>
      </c>
      <c r="AX4" s="126" t="s">
        <v>168</v>
      </c>
    </row>
    <row r="5" spans="1:50" ht="15" thickBot="1" x14ac:dyDescent="0.35">
      <c r="B5" s="96" t="s">
        <v>148</v>
      </c>
      <c r="C5" s="96">
        <v>25.46</v>
      </c>
      <c r="D5" s="96">
        <v>7.4</v>
      </c>
      <c r="E5" s="96">
        <v>2.7</v>
      </c>
      <c r="F5" s="96">
        <v>2.2000000000000002</v>
      </c>
      <c r="G5" s="96">
        <v>1.8</v>
      </c>
      <c r="H5" s="95">
        <v>1</v>
      </c>
      <c r="I5" s="96">
        <v>3</v>
      </c>
      <c r="J5" s="96">
        <v>4.4000000000000004</v>
      </c>
      <c r="K5" s="96">
        <v>2.2999999999999998</v>
      </c>
      <c r="L5" s="105">
        <v>4.7</v>
      </c>
      <c r="M5" s="4">
        <f>AVERAGE(I5:L5)</f>
        <v>3.5999999999999996</v>
      </c>
      <c r="N5" s="106">
        <f>PI()*M5^2</f>
        <v>40.715040790523709</v>
      </c>
      <c r="P5" s="91"/>
      <c r="Q5" s="91"/>
      <c r="R5" s="91"/>
      <c r="S5" s="91"/>
      <c r="T5" s="91"/>
      <c r="U5" s="91"/>
      <c r="V5" s="91"/>
      <c r="X5" s="94">
        <v>1</v>
      </c>
      <c r="Y5" s="113" t="s">
        <v>148</v>
      </c>
      <c r="Z5" s="93">
        <v>25.46</v>
      </c>
      <c r="AA5" s="113">
        <v>3</v>
      </c>
      <c r="AB5" s="113">
        <v>4.4000000000000004</v>
      </c>
      <c r="AC5" s="113">
        <v>2.2999999999999998</v>
      </c>
      <c r="AD5" s="123">
        <v>4.7</v>
      </c>
      <c r="AE5" s="7">
        <f>AVERAGE(AA5:AD5)</f>
        <v>3.5999999999999996</v>
      </c>
      <c r="AF5" s="7">
        <f>PI()*AE5^2</f>
        <v>40.715040790523709</v>
      </c>
      <c r="AH5" t="s">
        <v>181</v>
      </c>
      <c r="AI5" s="67" t="s">
        <v>176</v>
      </c>
      <c r="AJ5" s="108">
        <f>100/(AK15*SQRT(AK17))</f>
        <v>3.0978553300631955</v>
      </c>
      <c r="AL5" s="67" t="s">
        <v>172</v>
      </c>
      <c r="AM5" s="108">
        <f>AK14/AK10*100</f>
        <v>38.625898437499998</v>
      </c>
      <c r="AP5" s="121">
        <v>1</v>
      </c>
      <c r="AQ5" s="113" t="s">
        <v>148</v>
      </c>
      <c r="AR5" s="113">
        <v>28.01</v>
      </c>
      <c r="AS5" s="113">
        <v>2.1</v>
      </c>
      <c r="AT5" s="113">
        <v>4.5999999999999996</v>
      </c>
      <c r="AU5" s="113">
        <v>3.9</v>
      </c>
      <c r="AV5" s="123">
        <v>2.2999999999999998</v>
      </c>
      <c r="AW5" s="7">
        <f>AVERAGE(AS5:AV5)</f>
        <v>3.2249999999999996</v>
      </c>
      <c r="AX5" s="7">
        <f>PI()*AW5^2</f>
        <v>32.674527092742338</v>
      </c>
    </row>
    <row r="6" spans="1:50" ht="15" thickBot="1" x14ac:dyDescent="0.35">
      <c r="B6" s="96" t="s">
        <v>148</v>
      </c>
      <c r="C6" s="96">
        <v>42.02</v>
      </c>
      <c r="D6" s="96">
        <v>9.8000000000000007</v>
      </c>
      <c r="E6" s="96">
        <v>3</v>
      </c>
      <c r="F6" s="96">
        <v>3.1</v>
      </c>
      <c r="G6" s="96">
        <v>3.6</v>
      </c>
      <c r="H6" s="95">
        <v>2</v>
      </c>
      <c r="I6" s="96">
        <v>5.2</v>
      </c>
      <c r="J6" s="96">
        <v>7.4</v>
      </c>
      <c r="K6" s="96">
        <v>4.5</v>
      </c>
      <c r="L6" s="105">
        <v>6.2</v>
      </c>
      <c r="M6" s="4">
        <f t="shared" ref="M6:M35" si="0">AVERAGE(I6:L6)</f>
        <v>5.8250000000000002</v>
      </c>
      <c r="N6" s="106">
        <f t="shared" ref="N6:N35" si="1">PI()*M6^2</f>
        <v>106.59620223171017</v>
      </c>
      <c r="P6" s="91" t="s">
        <v>155</v>
      </c>
      <c r="Q6" s="91"/>
      <c r="R6" s="102">
        <f>SUM(N5:N35)</f>
        <v>1941.5494203128876</v>
      </c>
      <c r="S6" s="91"/>
      <c r="T6" s="91"/>
      <c r="U6" s="91"/>
      <c r="V6" s="91"/>
      <c r="X6" s="94">
        <v>2</v>
      </c>
      <c r="Y6" s="113" t="s">
        <v>148</v>
      </c>
      <c r="Z6" s="93">
        <v>42.02</v>
      </c>
      <c r="AA6" s="113">
        <v>5.2</v>
      </c>
      <c r="AB6" s="113">
        <v>7.4</v>
      </c>
      <c r="AC6" s="113">
        <v>4.5</v>
      </c>
      <c r="AD6" s="123">
        <v>6.2</v>
      </c>
      <c r="AE6" s="7">
        <f t="shared" ref="AE6:AE35" si="2">AVERAGE(AA6:AD6)</f>
        <v>5.8250000000000002</v>
      </c>
      <c r="AF6" s="7">
        <f t="shared" ref="AF6:AF35" si="3">PI()*AE6^2</f>
        <v>106.59620223171017</v>
      </c>
      <c r="AH6" t="s">
        <v>182</v>
      </c>
      <c r="AI6" s="67" t="s">
        <v>176</v>
      </c>
      <c r="AJ6" s="108">
        <f>100/(AL15*SQRT(AL17))</f>
        <v>2.992247823799048</v>
      </c>
      <c r="AL6" s="67" t="s">
        <v>172</v>
      </c>
      <c r="AM6" s="108">
        <f>AL14/AK10*100</f>
        <v>40.651767578125003</v>
      </c>
      <c r="AP6" s="121">
        <v>2</v>
      </c>
      <c r="AQ6" s="113" t="s">
        <v>148</v>
      </c>
      <c r="AR6" s="113">
        <v>31.83</v>
      </c>
      <c r="AS6" s="113">
        <v>1.8</v>
      </c>
      <c r="AT6" s="113">
        <v>3.8</v>
      </c>
      <c r="AU6" s="113">
        <v>2.8</v>
      </c>
      <c r="AV6" s="123">
        <v>3.9</v>
      </c>
      <c r="AW6" s="7">
        <f t="shared" ref="AW6:AW51" si="4">AVERAGE(AS6:AV6)</f>
        <v>3.0749999999999997</v>
      </c>
      <c r="AX6" s="7">
        <f t="shared" ref="AX6:AX51" si="5">PI()*AW6^2</f>
        <v>29.705722035099981</v>
      </c>
    </row>
    <row r="7" spans="1:50" ht="15" thickBot="1" x14ac:dyDescent="0.35">
      <c r="B7" s="96" t="s">
        <v>148</v>
      </c>
      <c r="C7" s="96">
        <v>34.06</v>
      </c>
      <c r="D7" s="96">
        <v>9.3000000000000007</v>
      </c>
      <c r="E7" s="96">
        <v>3.1</v>
      </c>
      <c r="F7" s="96">
        <v>2.9</v>
      </c>
      <c r="G7" s="96">
        <v>2.2000000000000002</v>
      </c>
      <c r="H7" s="95">
        <v>3</v>
      </c>
      <c r="I7" s="96">
        <v>4.5999999999999996</v>
      </c>
      <c r="J7" s="96">
        <v>6.2</v>
      </c>
      <c r="K7" s="96">
        <v>2.7</v>
      </c>
      <c r="L7" s="105">
        <v>3.9</v>
      </c>
      <c r="M7" s="4">
        <f t="shared" si="0"/>
        <v>4.3499999999999996</v>
      </c>
      <c r="N7" s="106">
        <f t="shared" si="1"/>
        <v>59.446786987552848</v>
      </c>
      <c r="P7" s="91"/>
      <c r="Q7" s="91"/>
      <c r="R7" s="91"/>
      <c r="S7" s="91"/>
      <c r="T7" s="91"/>
      <c r="U7" s="91"/>
      <c r="V7" s="91"/>
      <c r="X7" s="94">
        <v>3</v>
      </c>
      <c r="Y7" s="113" t="s">
        <v>148</v>
      </c>
      <c r="Z7" s="93">
        <v>34.06</v>
      </c>
      <c r="AA7" s="113">
        <v>4.5999999999999996</v>
      </c>
      <c r="AB7" s="113">
        <v>6.2</v>
      </c>
      <c r="AC7" s="113">
        <v>2.7</v>
      </c>
      <c r="AD7" s="123">
        <v>3.9</v>
      </c>
      <c r="AE7" s="7">
        <f t="shared" si="2"/>
        <v>4.3499999999999996</v>
      </c>
      <c r="AF7" s="7">
        <f t="shared" si="3"/>
        <v>59.446786987552848</v>
      </c>
      <c r="AP7" s="121">
        <v>3</v>
      </c>
      <c r="AQ7" s="113" t="s">
        <v>148</v>
      </c>
      <c r="AR7" s="113">
        <v>42.65</v>
      </c>
      <c r="AS7" s="113">
        <v>3.5</v>
      </c>
      <c r="AT7" s="113">
        <v>7</v>
      </c>
      <c r="AU7" s="113">
        <v>3.9</v>
      </c>
      <c r="AV7" s="123">
        <v>5.3</v>
      </c>
      <c r="AW7" s="7">
        <f t="shared" si="4"/>
        <v>4.9249999999999998</v>
      </c>
      <c r="AX7" s="7">
        <f t="shared" si="5"/>
        <v>76.201293308228927</v>
      </c>
    </row>
    <row r="8" spans="1:50" ht="15" thickBot="1" x14ac:dyDescent="0.35">
      <c r="B8" s="96" t="s">
        <v>148</v>
      </c>
      <c r="C8" s="96">
        <v>22.6</v>
      </c>
      <c r="D8" s="96">
        <v>7.1</v>
      </c>
      <c r="E8" s="96">
        <v>2.1</v>
      </c>
      <c r="F8" s="96">
        <v>1.6</v>
      </c>
      <c r="G8" s="96">
        <v>1.5</v>
      </c>
      <c r="H8" s="95">
        <v>4</v>
      </c>
      <c r="I8" s="96">
        <v>1.9</v>
      </c>
      <c r="J8" s="96">
        <v>3</v>
      </c>
      <c r="K8" s="96">
        <v>3.1</v>
      </c>
      <c r="L8" s="105">
        <v>3.3</v>
      </c>
      <c r="M8" s="4">
        <f t="shared" si="0"/>
        <v>2.8250000000000002</v>
      </c>
      <c r="N8" s="106">
        <f t="shared" si="1"/>
        <v>25.071872871055046</v>
      </c>
      <c r="P8" s="91"/>
      <c r="Q8" s="97" t="s">
        <v>156</v>
      </c>
      <c r="R8" s="98">
        <f>R6</f>
        <v>1941.5494203128876</v>
      </c>
      <c r="S8" s="99" t="s">
        <v>139</v>
      </c>
      <c r="T8" s="100">
        <v>100</v>
      </c>
      <c r="U8" s="99" t="s">
        <v>157</v>
      </c>
      <c r="V8" s="103">
        <f>R8/R9*100</f>
        <v>38.625898437499998</v>
      </c>
      <c r="X8" s="94">
        <v>4</v>
      </c>
      <c r="Y8" s="113" t="s">
        <v>148</v>
      </c>
      <c r="Z8" s="93">
        <v>22.6</v>
      </c>
      <c r="AA8" s="113">
        <v>1.9</v>
      </c>
      <c r="AB8" s="113">
        <v>3</v>
      </c>
      <c r="AC8" s="113">
        <v>3.1</v>
      </c>
      <c r="AD8" s="123">
        <v>3.3</v>
      </c>
      <c r="AE8" s="7">
        <f t="shared" si="2"/>
        <v>2.8250000000000002</v>
      </c>
      <c r="AF8" s="7">
        <f t="shared" si="3"/>
        <v>25.071872871055046</v>
      </c>
      <c r="AH8" s="127" t="s">
        <v>183</v>
      </c>
      <c r="AI8" s="127"/>
      <c r="AJ8" s="127"/>
      <c r="AK8" s="127"/>
      <c r="AL8" s="127"/>
      <c r="AM8" s="127"/>
      <c r="AN8" s="127"/>
      <c r="AP8" s="121">
        <v>4</v>
      </c>
      <c r="AQ8" s="113" t="s">
        <v>148</v>
      </c>
      <c r="AR8" s="113">
        <v>19.739999999999998</v>
      </c>
      <c r="AS8" s="113">
        <v>4.4000000000000004</v>
      </c>
      <c r="AT8" s="113">
        <v>1.8</v>
      </c>
      <c r="AU8" s="113">
        <v>2.6</v>
      </c>
      <c r="AV8" s="123">
        <v>0.8</v>
      </c>
      <c r="AW8" s="7">
        <f t="shared" si="4"/>
        <v>2.4000000000000004</v>
      </c>
      <c r="AX8" s="7">
        <f t="shared" si="5"/>
        <v>18.095573684677213</v>
      </c>
    </row>
    <row r="9" spans="1:50" ht="15" thickBot="1" x14ac:dyDescent="0.35">
      <c r="B9" s="96" t="s">
        <v>148</v>
      </c>
      <c r="C9" s="96">
        <v>44.56</v>
      </c>
      <c r="D9" s="96">
        <v>8.8000000000000007</v>
      </c>
      <c r="E9" s="96">
        <v>3</v>
      </c>
      <c r="F9" s="96">
        <v>1.4</v>
      </c>
      <c r="G9" s="96">
        <v>2.7</v>
      </c>
      <c r="H9" s="95">
        <v>5</v>
      </c>
      <c r="I9" s="96">
        <v>2</v>
      </c>
      <c r="J9" s="96">
        <v>4.2</v>
      </c>
      <c r="K9" s="96">
        <v>4.0999999999999996</v>
      </c>
      <c r="L9" s="105">
        <v>5.4</v>
      </c>
      <c r="M9" s="4">
        <f t="shared" si="0"/>
        <v>3.9250000000000003</v>
      </c>
      <c r="N9" s="106">
        <f t="shared" si="1"/>
        <v>48.398198323959264</v>
      </c>
      <c r="P9" s="91"/>
      <c r="Q9" s="91"/>
      <c r="R9" s="101">
        <f>R4</f>
        <v>5026.5482457436692</v>
      </c>
      <c r="S9" s="91"/>
      <c r="T9" s="91"/>
      <c r="U9" s="91"/>
      <c r="V9" s="91"/>
      <c r="X9" s="94">
        <v>5</v>
      </c>
      <c r="Y9" s="113" t="s">
        <v>148</v>
      </c>
      <c r="Z9" s="93">
        <v>44.56</v>
      </c>
      <c r="AA9" s="113">
        <v>2</v>
      </c>
      <c r="AB9" s="113">
        <v>4.2</v>
      </c>
      <c r="AC9" s="113">
        <v>4.0999999999999996</v>
      </c>
      <c r="AD9" s="123">
        <v>5.4</v>
      </c>
      <c r="AE9" s="7">
        <f t="shared" si="2"/>
        <v>3.9250000000000003</v>
      </c>
      <c r="AF9" s="7">
        <f t="shared" si="3"/>
        <v>48.398198323959264</v>
      </c>
      <c r="AJ9" s="67" t="s">
        <v>170</v>
      </c>
      <c r="AK9" s="66">
        <v>40</v>
      </c>
      <c r="AP9" s="121">
        <v>5</v>
      </c>
      <c r="AQ9" s="113" t="s">
        <v>148</v>
      </c>
      <c r="AR9" s="113">
        <v>34.380000000000003</v>
      </c>
      <c r="AS9" s="113">
        <v>4.3</v>
      </c>
      <c r="AT9" s="113">
        <v>0</v>
      </c>
      <c r="AU9" s="113">
        <v>5.0999999999999996</v>
      </c>
      <c r="AV9" s="123">
        <v>0</v>
      </c>
      <c r="AW9" s="7">
        <f t="shared" si="4"/>
        <v>2.3499999999999996</v>
      </c>
      <c r="AX9" s="7">
        <f t="shared" si="5"/>
        <v>17.349445429449627</v>
      </c>
    </row>
    <row r="10" spans="1:50" ht="15" thickBot="1" x14ac:dyDescent="0.35">
      <c r="B10" s="96" t="s">
        <v>148</v>
      </c>
      <c r="C10" s="96">
        <v>44.88</v>
      </c>
      <c r="D10" s="96">
        <v>7.8</v>
      </c>
      <c r="E10" s="96">
        <v>2.4</v>
      </c>
      <c r="F10" s="96">
        <v>1.9</v>
      </c>
      <c r="G10" s="96">
        <v>2.4</v>
      </c>
      <c r="H10" s="95">
        <v>6</v>
      </c>
      <c r="I10" s="96">
        <v>5</v>
      </c>
      <c r="J10" s="96">
        <v>4.9000000000000004</v>
      </c>
      <c r="K10" s="96">
        <v>5.6</v>
      </c>
      <c r="L10" s="105">
        <v>4.9000000000000004</v>
      </c>
      <c r="M10" s="4">
        <f t="shared" si="0"/>
        <v>5.0999999999999996</v>
      </c>
      <c r="N10" s="106">
        <f t="shared" si="1"/>
        <v>81.712824919870513</v>
      </c>
      <c r="P10" s="91"/>
      <c r="Q10" s="91"/>
      <c r="R10" s="91"/>
      <c r="S10" s="91"/>
      <c r="T10" s="91"/>
      <c r="U10" s="91"/>
      <c r="V10" s="91"/>
      <c r="X10" s="94">
        <v>6</v>
      </c>
      <c r="Y10" s="113" t="s">
        <v>148</v>
      </c>
      <c r="Z10" s="93">
        <v>44.88</v>
      </c>
      <c r="AA10" s="113">
        <v>5</v>
      </c>
      <c r="AB10" s="113">
        <v>4.9000000000000004</v>
      </c>
      <c r="AC10" s="113">
        <v>5.6</v>
      </c>
      <c r="AD10" s="123">
        <v>4.9000000000000004</v>
      </c>
      <c r="AE10" s="7">
        <f t="shared" si="2"/>
        <v>5.0999999999999996</v>
      </c>
      <c r="AF10" s="7">
        <f t="shared" si="3"/>
        <v>81.712824919870513</v>
      </c>
      <c r="AJ10" s="67" t="s">
        <v>171</v>
      </c>
      <c r="AK10" s="109">
        <f>PI()*AK9^2</f>
        <v>5026.5482457436692</v>
      </c>
      <c r="AP10" s="121">
        <v>6</v>
      </c>
      <c r="AQ10" s="113" t="s">
        <v>148</v>
      </c>
      <c r="AR10" s="113">
        <v>31.19</v>
      </c>
      <c r="AS10" s="113">
        <v>0</v>
      </c>
      <c r="AT10" s="113">
        <v>5.4</v>
      </c>
      <c r="AU10" s="113">
        <v>1.4</v>
      </c>
      <c r="AV10" s="123">
        <v>4.8</v>
      </c>
      <c r="AW10" s="7">
        <f t="shared" si="4"/>
        <v>2.9000000000000004</v>
      </c>
      <c r="AX10" s="7">
        <f t="shared" si="5"/>
        <v>26.420794216690165</v>
      </c>
    </row>
    <row r="11" spans="1:50" ht="15" thickBot="1" x14ac:dyDescent="0.35">
      <c r="B11" s="96" t="s">
        <v>148</v>
      </c>
      <c r="C11" s="96">
        <v>31.19</v>
      </c>
      <c r="D11" s="96">
        <v>10.4</v>
      </c>
      <c r="E11" s="96">
        <v>4.2</v>
      </c>
      <c r="F11" s="96">
        <v>5.0999999999999996</v>
      </c>
      <c r="G11" s="96">
        <v>2.7</v>
      </c>
      <c r="H11" s="95">
        <v>7</v>
      </c>
      <c r="I11" s="96">
        <v>2.5</v>
      </c>
      <c r="J11" s="96">
        <v>6.5</v>
      </c>
      <c r="K11" s="96">
        <v>2.2000000000000002</v>
      </c>
      <c r="L11" s="105">
        <v>4.2</v>
      </c>
      <c r="M11" s="4">
        <f t="shared" si="0"/>
        <v>3.8499999999999996</v>
      </c>
      <c r="N11" s="106">
        <f t="shared" si="1"/>
        <v>46.566257107834701</v>
      </c>
      <c r="P11" s="91"/>
      <c r="Q11" s="91"/>
      <c r="R11" s="91"/>
      <c r="S11" s="91"/>
      <c r="T11" s="91"/>
      <c r="U11" s="91"/>
      <c r="V11" s="91"/>
      <c r="X11" s="94">
        <v>7</v>
      </c>
      <c r="Y11" s="113" t="s">
        <v>148</v>
      </c>
      <c r="Z11" s="93">
        <v>31.19</v>
      </c>
      <c r="AA11" s="113">
        <v>2.5</v>
      </c>
      <c r="AB11" s="113">
        <v>6.5</v>
      </c>
      <c r="AC11" s="113">
        <v>2.2000000000000002</v>
      </c>
      <c r="AD11" s="123">
        <v>4.2</v>
      </c>
      <c r="AE11" s="7">
        <f t="shared" si="2"/>
        <v>3.8499999999999996</v>
      </c>
      <c r="AF11" s="7">
        <f t="shared" si="3"/>
        <v>46.566257107834701</v>
      </c>
      <c r="AJ11" s="67" t="s">
        <v>175</v>
      </c>
      <c r="AK11" s="108">
        <f>10000/AK10</f>
        <v>1.9894367886486917</v>
      </c>
      <c r="AP11" s="121">
        <v>7</v>
      </c>
      <c r="AQ11" s="113" t="s">
        <v>148</v>
      </c>
      <c r="AR11" s="113">
        <v>23.55</v>
      </c>
      <c r="AS11" s="113">
        <v>1.1000000000000001</v>
      </c>
      <c r="AT11" s="113">
        <v>1.5</v>
      </c>
      <c r="AU11" s="113">
        <v>1.5</v>
      </c>
      <c r="AV11" s="123">
        <v>1</v>
      </c>
      <c r="AW11" s="7">
        <f t="shared" si="4"/>
        <v>1.2749999999999999</v>
      </c>
      <c r="AX11" s="7">
        <f t="shared" si="5"/>
        <v>5.1070515574919071</v>
      </c>
    </row>
    <row r="12" spans="1:50" ht="15" thickBot="1" x14ac:dyDescent="0.35">
      <c r="B12" s="96" t="s">
        <v>148</v>
      </c>
      <c r="C12" s="96">
        <v>60.8</v>
      </c>
      <c r="D12" s="96">
        <v>14</v>
      </c>
      <c r="E12" s="96">
        <v>2.4</v>
      </c>
      <c r="F12" s="96">
        <v>2.2000000000000002</v>
      </c>
      <c r="G12" s="96">
        <v>3.4</v>
      </c>
      <c r="H12" s="95">
        <v>8</v>
      </c>
      <c r="I12" s="96">
        <v>6.6</v>
      </c>
      <c r="J12" s="96">
        <v>9.1</v>
      </c>
      <c r="K12" s="96">
        <v>8.3000000000000007</v>
      </c>
      <c r="L12" s="105">
        <v>7.8</v>
      </c>
      <c r="M12" s="4">
        <f t="shared" si="0"/>
        <v>7.95</v>
      </c>
      <c r="N12" s="106">
        <f t="shared" si="1"/>
        <v>198.5565096885089</v>
      </c>
      <c r="X12" s="94">
        <v>8</v>
      </c>
      <c r="Y12" s="113" t="s">
        <v>148</v>
      </c>
      <c r="Z12" s="93">
        <v>60.8</v>
      </c>
      <c r="AA12" s="113">
        <v>6.6</v>
      </c>
      <c r="AB12" s="113">
        <v>9.1</v>
      </c>
      <c r="AC12" s="113">
        <v>8.3000000000000007</v>
      </c>
      <c r="AD12" s="123">
        <v>7.8</v>
      </c>
      <c r="AE12" s="7">
        <f t="shared" si="2"/>
        <v>7.95</v>
      </c>
      <c r="AF12" s="7">
        <f t="shared" si="3"/>
        <v>198.5565096885089</v>
      </c>
      <c r="AP12" s="121">
        <v>8</v>
      </c>
      <c r="AQ12" s="113" t="s">
        <v>148</v>
      </c>
      <c r="AR12" s="113">
        <v>29.92</v>
      </c>
      <c r="AS12" s="113">
        <v>5.4</v>
      </c>
      <c r="AT12" s="113">
        <v>5.6</v>
      </c>
      <c r="AU12" s="113">
        <v>3.1</v>
      </c>
      <c r="AV12" s="123">
        <v>4.0999999999999996</v>
      </c>
      <c r="AW12" s="7">
        <f t="shared" si="4"/>
        <v>4.55</v>
      </c>
      <c r="AX12" s="7">
        <f t="shared" si="5"/>
        <v>65.038821910942687</v>
      </c>
    </row>
    <row r="13" spans="1:50" ht="15" thickBot="1" x14ac:dyDescent="0.35">
      <c r="B13" s="96" t="s">
        <v>148</v>
      </c>
      <c r="C13" s="96">
        <v>27.69</v>
      </c>
      <c r="D13" s="96">
        <v>8.4</v>
      </c>
      <c r="E13" s="96">
        <v>3.3</v>
      </c>
      <c r="F13" s="96">
        <v>2.5</v>
      </c>
      <c r="G13" s="96">
        <v>2.2000000000000002</v>
      </c>
      <c r="H13" s="95">
        <v>9</v>
      </c>
      <c r="I13" s="96">
        <v>2.4</v>
      </c>
      <c r="J13" s="96">
        <v>4.2</v>
      </c>
      <c r="K13" s="96">
        <v>5.0999999999999996</v>
      </c>
      <c r="L13" s="105">
        <v>3.8</v>
      </c>
      <c r="M13" s="4">
        <f t="shared" si="0"/>
        <v>3.875</v>
      </c>
      <c r="N13" s="106">
        <f t="shared" si="1"/>
        <v>47.172977189059239</v>
      </c>
      <c r="X13" s="94">
        <v>9</v>
      </c>
      <c r="Y13" s="113" t="s">
        <v>148</v>
      </c>
      <c r="Z13" s="93">
        <v>27.69</v>
      </c>
      <c r="AA13" s="113">
        <v>2.4</v>
      </c>
      <c r="AB13" s="113">
        <v>4.2</v>
      </c>
      <c r="AC13" s="113">
        <v>5.0999999999999996</v>
      </c>
      <c r="AD13" s="123">
        <v>3.8</v>
      </c>
      <c r="AE13" s="7">
        <f t="shared" si="2"/>
        <v>3.875</v>
      </c>
      <c r="AF13" s="7">
        <f t="shared" si="3"/>
        <v>47.172977189059239</v>
      </c>
      <c r="AK13" s="61" t="s">
        <v>181</v>
      </c>
      <c r="AL13" s="61" t="s">
        <v>182</v>
      </c>
      <c r="AP13" s="121">
        <v>9</v>
      </c>
      <c r="AQ13" s="113" t="s">
        <v>148</v>
      </c>
      <c r="AR13" s="113">
        <v>51.25</v>
      </c>
      <c r="AS13" s="113">
        <v>5.5</v>
      </c>
      <c r="AT13" s="113">
        <v>3.6</v>
      </c>
      <c r="AU13" s="113">
        <v>0</v>
      </c>
      <c r="AV13" s="123">
        <v>7.2</v>
      </c>
      <c r="AW13" s="7">
        <f t="shared" si="4"/>
        <v>4.0750000000000002</v>
      </c>
      <c r="AX13" s="7">
        <f t="shared" si="5"/>
        <v>52.168109508267008</v>
      </c>
    </row>
    <row r="14" spans="1:50" ht="15" thickBot="1" x14ac:dyDescent="0.35">
      <c r="B14" s="96" t="s">
        <v>148</v>
      </c>
      <c r="C14" s="96">
        <v>27.37</v>
      </c>
      <c r="D14" s="96">
        <v>7.2</v>
      </c>
      <c r="E14" s="96">
        <v>2.8</v>
      </c>
      <c r="F14" s="96">
        <v>1.6</v>
      </c>
      <c r="G14" s="96">
        <v>2</v>
      </c>
      <c r="H14" s="95">
        <v>10</v>
      </c>
      <c r="I14" s="96">
        <v>2.9</v>
      </c>
      <c r="J14" s="96">
        <v>5.5</v>
      </c>
      <c r="K14" s="96">
        <v>2.6</v>
      </c>
      <c r="L14" s="105">
        <v>3.8</v>
      </c>
      <c r="M14" s="4">
        <f t="shared" si="0"/>
        <v>3.7</v>
      </c>
      <c r="N14" s="106">
        <f t="shared" si="1"/>
        <v>43.008403427644275</v>
      </c>
      <c r="X14" s="94">
        <v>10</v>
      </c>
      <c r="Y14" s="113" t="s">
        <v>148</v>
      </c>
      <c r="Z14" s="93">
        <v>27.37</v>
      </c>
      <c r="AA14" s="113">
        <v>2.9</v>
      </c>
      <c r="AB14" s="113">
        <v>5.5</v>
      </c>
      <c r="AC14" s="113">
        <v>2.6</v>
      </c>
      <c r="AD14" s="123">
        <v>3.8</v>
      </c>
      <c r="AE14" s="7">
        <f t="shared" si="2"/>
        <v>3.7</v>
      </c>
      <c r="AF14" s="7">
        <f t="shared" si="3"/>
        <v>43.008403427644275</v>
      </c>
      <c r="AI14" s="454" t="s">
        <v>169</v>
      </c>
      <c r="AJ14" s="455"/>
      <c r="AK14" s="128">
        <f>SUM(AF5:AF35)</f>
        <v>1941.5494203128876</v>
      </c>
      <c r="AL14" s="128">
        <f>SUM(AX5:AX51)</f>
        <v>2043.3807100620361</v>
      </c>
      <c r="AP14" s="121">
        <v>10</v>
      </c>
      <c r="AQ14" s="113" t="s">
        <v>148</v>
      </c>
      <c r="AR14" s="113">
        <v>31.19</v>
      </c>
      <c r="AS14" s="113">
        <v>6.2</v>
      </c>
      <c r="AT14" s="113">
        <v>0</v>
      </c>
      <c r="AU14" s="113">
        <v>5.0999999999999996</v>
      </c>
      <c r="AV14" s="123">
        <v>0</v>
      </c>
      <c r="AW14" s="7">
        <f t="shared" si="4"/>
        <v>2.8250000000000002</v>
      </c>
      <c r="AX14" s="7">
        <f t="shared" si="5"/>
        <v>25.071872871055046</v>
      </c>
    </row>
    <row r="15" spans="1:50" ht="15" thickBot="1" x14ac:dyDescent="0.35">
      <c r="B15" s="96" t="s">
        <v>148</v>
      </c>
      <c r="C15" s="96">
        <v>48.38</v>
      </c>
      <c r="D15" s="96">
        <v>8.5</v>
      </c>
      <c r="E15" s="96">
        <v>3.5</v>
      </c>
      <c r="F15" s="96">
        <v>2</v>
      </c>
      <c r="G15" s="96">
        <v>2.2999999999999998</v>
      </c>
      <c r="H15" s="95">
        <v>11</v>
      </c>
      <c r="I15" s="96">
        <v>5.4</v>
      </c>
      <c r="J15" s="96">
        <v>3.6</v>
      </c>
      <c r="K15" s="96">
        <v>2.8</v>
      </c>
      <c r="L15" s="105">
        <v>4.3</v>
      </c>
      <c r="M15" s="4">
        <f t="shared" si="0"/>
        <v>4.0250000000000004</v>
      </c>
      <c r="N15" s="106">
        <f t="shared" si="1"/>
        <v>50.895764483563148</v>
      </c>
      <c r="X15" s="94">
        <v>11</v>
      </c>
      <c r="Y15" s="113" t="s">
        <v>148</v>
      </c>
      <c r="Z15" s="93">
        <v>48.38</v>
      </c>
      <c r="AA15" s="113">
        <v>5.4</v>
      </c>
      <c r="AB15" s="113">
        <v>3.6</v>
      </c>
      <c r="AC15" s="113">
        <v>2.8</v>
      </c>
      <c r="AD15" s="123">
        <v>4.3</v>
      </c>
      <c r="AE15" s="7">
        <f t="shared" si="2"/>
        <v>4.0250000000000004</v>
      </c>
      <c r="AF15" s="7">
        <f t="shared" si="3"/>
        <v>50.895764483563148</v>
      </c>
      <c r="AI15" s="456" t="s">
        <v>173</v>
      </c>
      <c r="AJ15" s="457"/>
      <c r="AK15" s="129">
        <f>AVERAGE(AE5:AE35)</f>
        <v>4.1104838709677427</v>
      </c>
      <c r="AL15" s="129">
        <f>AVERAGE(AW5:AW51)</f>
        <v>3.4561170212765964</v>
      </c>
      <c r="AP15" s="121">
        <v>11</v>
      </c>
      <c r="AQ15" s="113" t="s">
        <v>148</v>
      </c>
      <c r="AR15" s="113">
        <v>28.65</v>
      </c>
      <c r="AS15" s="113">
        <v>2.1</v>
      </c>
      <c r="AT15" s="113">
        <v>4.4000000000000004</v>
      </c>
      <c r="AU15" s="113">
        <v>5.5</v>
      </c>
      <c r="AV15" s="123">
        <v>0</v>
      </c>
      <c r="AW15" s="7">
        <f t="shared" si="4"/>
        <v>3</v>
      </c>
      <c r="AX15" s="7">
        <f t="shared" si="5"/>
        <v>28.274333882308138</v>
      </c>
    </row>
    <row r="16" spans="1:50" ht="15" thickBot="1" x14ac:dyDescent="0.35">
      <c r="B16" s="96" t="s">
        <v>148</v>
      </c>
      <c r="C16" s="96">
        <v>52.84</v>
      </c>
      <c r="D16" s="96">
        <v>11.3</v>
      </c>
      <c r="E16" s="96">
        <v>3.7</v>
      </c>
      <c r="F16" s="96">
        <v>2.5</v>
      </c>
      <c r="G16" s="96">
        <v>3.5</v>
      </c>
      <c r="H16" s="95">
        <v>12</v>
      </c>
      <c r="I16" s="96">
        <v>5.6</v>
      </c>
      <c r="J16" s="96">
        <v>5.7</v>
      </c>
      <c r="K16" s="96">
        <v>8.1</v>
      </c>
      <c r="L16" s="105">
        <v>4.7</v>
      </c>
      <c r="M16" s="4">
        <f t="shared" si="0"/>
        <v>6.0249999999999995</v>
      </c>
      <c r="N16" s="106">
        <f t="shared" si="1"/>
        <v>114.04177682071797</v>
      </c>
      <c r="Q16" s="107"/>
      <c r="X16" s="94">
        <v>12</v>
      </c>
      <c r="Y16" s="113" t="s">
        <v>148</v>
      </c>
      <c r="Z16" s="93">
        <v>52.84</v>
      </c>
      <c r="AA16" s="113">
        <v>5.6</v>
      </c>
      <c r="AB16" s="113">
        <v>5.7</v>
      </c>
      <c r="AC16" s="113">
        <v>8.1</v>
      </c>
      <c r="AD16" s="123">
        <v>4.7</v>
      </c>
      <c r="AE16" s="7">
        <f t="shared" si="2"/>
        <v>6.0249999999999995</v>
      </c>
      <c r="AF16" s="7">
        <f t="shared" si="3"/>
        <v>114.04177682071797</v>
      </c>
      <c r="AI16" s="456" t="s">
        <v>174</v>
      </c>
      <c r="AJ16" s="457"/>
      <c r="AK16" s="130">
        <f>COUNT(X5:X35)</f>
        <v>31</v>
      </c>
      <c r="AL16" s="130">
        <f>COUNT(AP5:AP51)</f>
        <v>47</v>
      </c>
      <c r="AP16" s="121">
        <v>12</v>
      </c>
      <c r="AQ16" s="113" t="s">
        <v>148</v>
      </c>
      <c r="AR16" s="113">
        <v>47.43</v>
      </c>
      <c r="AS16" s="113">
        <v>4.7</v>
      </c>
      <c r="AT16" s="113">
        <v>8.6999999999999993</v>
      </c>
      <c r="AU16" s="113">
        <v>4.2</v>
      </c>
      <c r="AV16" s="123">
        <v>6.7</v>
      </c>
      <c r="AW16" s="7">
        <f t="shared" si="4"/>
        <v>6.0749999999999993</v>
      </c>
      <c r="AX16" s="7">
        <f t="shared" si="5"/>
        <v>115.94244037613979</v>
      </c>
    </row>
    <row r="17" spans="2:50" ht="15" thickBot="1" x14ac:dyDescent="0.35">
      <c r="B17" s="96" t="s">
        <v>148</v>
      </c>
      <c r="C17" s="96">
        <v>42.65</v>
      </c>
      <c r="D17" s="96">
        <v>10.3</v>
      </c>
      <c r="E17" s="96">
        <v>3.9</v>
      </c>
      <c r="F17" s="96">
        <v>2.7</v>
      </c>
      <c r="G17" s="96">
        <v>2</v>
      </c>
      <c r="H17" s="95">
        <v>13</v>
      </c>
      <c r="I17" s="96">
        <v>3.7</v>
      </c>
      <c r="J17" s="96">
        <v>6.1</v>
      </c>
      <c r="K17" s="96">
        <v>4.7</v>
      </c>
      <c r="L17" s="105">
        <v>2</v>
      </c>
      <c r="M17" s="4">
        <f t="shared" si="0"/>
        <v>4.125</v>
      </c>
      <c r="N17" s="106">
        <f t="shared" si="1"/>
        <v>53.456162496238825</v>
      </c>
      <c r="Q17" s="107"/>
      <c r="X17" s="94">
        <v>13</v>
      </c>
      <c r="Y17" s="113" t="s">
        <v>148</v>
      </c>
      <c r="Z17" s="93">
        <v>42.65</v>
      </c>
      <c r="AA17" s="113">
        <v>3.7</v>
      </c>
      <c r="AB17" s="113">
        <v>6.1</v>
      </c>
      <c r="AC17" s="113">
        <v>4.7</v>
      </c>
      <c r="AD17" s="123">
        <v>2</v>
      </c>
      <c r="AE17" s="7">
        <f t="shared" si="2"/>
        <v>4.125</v>
      </c>
      <c r="AF17" s="7">
        <f t="shared" si="3"/>
        <v>53.456162496238825</v>
      </c>
      <c r="AI17" s="456" t="s">
        <v>161</v>
      </c>
      <c r="AJ17" s="457"/>
      <c r="AK17" s="131">
        <f>AK16*AK11</f>
        <v>61.672540448109444</v>
      </c>
      <c r="AL17" s="131">
        <f>AL16*AK11</f>
        <v>93.503529066488511</v>
      </c>
      <c r="AP17" s="121">
        <v>13</v>
      </c>
      <c r="AQ17" s="113" t="s">
        <v>148</v>
      </c>
      <c r="AR17" s="113">
        <v>36.92</v>
      </c>
      <c r="AS17" s="113">
        <v>3.9</v>
      </c>
      <c r="AT17" s="113">
        <v>6.4</v>
      </c>
      <c r="AU17" s="113">
        <v>1.9</v>
      </c>
      <c r="AV17" s="123">
        <v>3.3</v>
      </c>
      <c r="AW17" s="7">
        <f t="shared" si="4"/>
        <v>3.875</v>
      </c>
      <c r="AX17" s="7">
        <f t="shared" si="5"/>
        <v>47.172977189059239</v>
      </c>
    </row>
    <row r="18" spans="2:50" ht="15" thickBot="1" x14ac:dyDescent="0.35">
      <c r="B18" s="96" t="s">
        <v>148</v>
      </c>
      <c r="C18" s="96">
        <v>54.43</v>
      </c>
      <c r="D18" s="96">
        <v>10.9</v>
      </c>
      <c r="E18" s="96">
        <v>3.6</v>
      </c>
      <c r="F18" s="96">
        <v>1.6</v>
      </c>
      <c r="G18" s="96">
        <v>2.5</v>
      </c>
      <c r="H18" s="95">
        <v>14</v>
      </c>
      <c r="I18" s="96">
        <v>5.0999999999999996</v>
      </c>
      <c r="J18" s="96">
        <v>7.1</v>
      </c>
      <c r="K18" s="96">
        <v>6.7</v>
      </c>
      <c r="L18" s="105">
        <v>5.5</v>
      </c>
      <c r="M18" s="4">
        <f t="shared" si="0"/>
        <v>6.1</v>
      </c>
      <c r="N18" s="106">
        <f t="shared" si="1"/>
        <v>116.89866264007618</v>
      </c>
      <c r="Q18" s="107"/>
      <c r="X18" s="94">
        <v>14</v>
      </c>
      <c r="Y18" s="113" t="s">
        <v>148</v>
      </c>
      <c r="Z18" s="93">
        <v>54.43</v>
      </c>
      <c r="AA18" s="113">
        <v>5.0999999999999996</v>
      </c>
      <c r="AB18" s="113">
        <v>7.1</v>
      </c>
      <c r="AC18" s="113">
        <v>6.7</v>
      </c>
      <c r="AD18" s="123">
        <v>5.5</v>
      </c>
      <c r="AE18" s="7">
        <f t="shared" si="2"/>
        <v>6.1</v>
      </c>
      <c r="AF18" s="7">
        <f t="shared" si="3"/>
        <v>116.89866264007618</v>
      </c>
      <c r="AH18" s="127"/>
      <c r="AI18" s="127"/>
      <c r="AJ18" s="127"/>
      <c r="AK18" s="127"/>
      <c r="AL18" s="127"/>
      <c r="AM18" s="127"/>
      <c r="AN18" s="127"/>
      <c r="AP18" s="121">
        <v>14</v>
      </c>
      <c r="AQ18" s="113" t="s">
        <v>148</v>
      </c>
      <c r="AR18" s="113">
        <v>43.29</v>
      </c>
      <c r="AS18" s="113">
        <v>2.4</v>
      </c>
      <c r="AT18" s="113">
        <v>5.5</v>
      </c>
      <c r="AU18" s="113">
        <v>5.3</v>
      </c>
      <c r="AV18" s="123">
        <v>3.5</v>
      </c>
      <c r="AW18" s="7">
        <f t="shared" si="4"/>
        <v>4.1749999999999998</v>
      </c>
      <c r="AX18" s="7">
        <f t="shared" si="5"/>
        <v>54.759923447478585</v>
      </c>
    </row>
    <row r="19" spans="2:50" ht="15" thickBot="1" x14ac:dyDescent="0.35">
      <c r="B19" s="96" t="s">
        <v>148</v>
      </c>
      <c r="C19" s="96">
        <v>58.25</v>
      </c>
      <c r="D19" s="96">
        <v>7.7</v>
      </c>
      <c r="E19" s="96">
        <v>1.8</v>
      </c>
      <c r="F19" s="96">
        <v>1.6</v>
      </c>
      <c r="G19" s="96">
        <v>3.6</v>
      </c>
      <c r="H19" s="95">
        <v>15</v>
      </c>
      <c r="I19" s="96">
        <v>6.7</v>
      </c>
      <c r="J19" s="96">
        <v>7.1</v>
      </c>
      <c r="K19" s="96">
        <v>7.2</v>
      </c>
      <c r="L19" s="105">
        <v>6.6</v>
      </c>
      <c r="M19" s="4">
        <f t="shared" si="0"/>
        <v>6.9</v>
      </c>
      <c r="N19" s="106">
        <f t="shared" si="1"/>
        <v>149.57122623741006</v>
      </c>
      <c r="X19" s="94">
        <v>15</v>
      </c>
      <c r="Y19" s="113" t="s">
        <v>148</v>
      </c>
      <c r="Z19" s="93">
        <v>58.25</v>
      </c>
      <c r="AA19" s="113">
        <v>6.7</v>
      </c>
      <c r="AB19" s="113">
        <v>7.1</v>
      </c>
      <c r="AC19" s="113">
        <v>7.2</v>
      </c>
      <c r="AD19" s="123">
        <v>6.6</v>
      </c>
      <c r="AE19" s="7">
        <f t="shared" si="2"/>
        <v>6.9</v>
      </c>
      <c r="AF19" s="7">
        <f t="shared" si="3"/>
        <v>149.57122623741006</v>
      </c>
      <c r="AP19" s="121">
        <v>15</v>
      </c>
      <c r="AQ19" s="113" t="s">
        <v>148</v>
      </c>
      <c r="AR19" s="113">
        <v>16.55</v>
      </c>
      <c r="AS19" s="113">
        <v>2.4</v>
      </c>
      <c r="AT19" s="113">
        <v>2.2000000000000002</v>
      </c>
      <c r="AU19" s="113">
        <v>2.2999999999999998</v>
      </c>
      <c r="AV19" s="123">
        <v>1.9</v>
      </c>
      <c r="AW19" s="7">
        <f t="shared" si="4"/>
        <v>2.1999999999999997</v>
      </c>
      <c r="AX19" s="7">
        <f t="shared" si="5"/>
        <v>15.205308443374596</v>
      </c>
    </row>
    <row r="20" spans="2:50" ht="15" customHeight="1" thickBot="1" x14ac:dyDescent="0.35">
      <c r="B20" s="96" t="s">
        <v>148</v>
      </c>
      <c r="C20" s="96">
        <v>47.43</v>
      </c>
      <c r="D20" s="96">
        <v>6.5</v>
      </c>
      <c r="E20" s="96">
        <v>3.4</v>
      </c>
      <c r="F20" s="96">
        <v>2.6</v>
      </c>
      <c r="G20" s="96">
        <v>2.9</v>
      </c>
      <c r="H20" s="95">
        <v>16</v>
      </c>
      <c r="I20" s="96">
        <v>5.0999999999999996</v>
      </c>
      <c r="J20" s="96">
        <v>5.5</v>
      </c>
      <c r="K20" s="96">
        <v>4.3</v>
      </c>
      <c r="L20" s="105">
        <v>5.4</v>
      </c>
      <c r="M20" s="4">
        <f t="shared" si="0"/>
        <v>5.0749999999999993</v>
      </c>
      <c r="N20" s="106">
        <f t="shared" si="1"/>
        <v>80.913682288613586</v>
      </c>
      <c r="X20" s="94">
        <v>16</v>
      </c>
      <c r="Y20" s="113" t="s">
        <v>148</v>
      </c>
      <c r="Z20" s="93">
        <v>47.43</v>
      </c>
      <c r="AA20" s="113">
        <v>5.0999999999999996</v>
      </c>
      <c r="AB20" s="113">
        <v>5.5</v>
      </c>
      <c r="AC20" s="113">
        <v>4.3</v>
      </c>
      <c r="AD20" s="123">
        <v>5.4</v>
      </c>
      <c r="AE20" s="7">
        <f t="shared" si="2"/>
        <v>5.0749999999999993</v>
      </c>
      <c r="AF20" s="7">
        <f t="shared" si="3"/>
        <v>80.913682288613586</v>
      </c>
      <c r="AH20" s="91" t="s">
        <v>187</v>
      </c>
      <c r="AI20" s="91"/>
      <c r="AJ20" s="91"/>
      <c r="AK20" s="91"/>
      <c r="AL20" s="91"/>
      <c r="AM20" s="91"/>
      <c r="AN20" s="91"/>
      <c r="AP20" s="121">
        <v>16</v>
      </c>
      <c r="AQ20" s="113" t="s">
        <v>148</v>
      </c>
      <c r="AR20" s="113">
        <v>30.88</v>
      </c>
      <c r="AS20" s="113">
        <v>5.7</v>
      </c>
      <c r="AT20" s="113">
        <v>4.7</v>
      </c>
      <c r="AU20" s="113">
        <v>5.5</v>
      </c>
      <c r="AV20" s="123">
        <v>5.2</v>
      </c>
      <c r="AW20" s="7">
        <f t="shared" si="4"/>
        <v>5.2750000000000004</v>
      </c>
      <c r="AX20" s="7">
        <f t="shared" si="5"/>
        <v>87.41677908154449</v>
      </c>
    </row>
    <row r="21" spans="2:50" ht="15" thickBot="1" x14ac:dyDescent="0.35">
      <c r="B21" s="96" t="s">
        <v>148</v>
      </c>
      <c r="C21" s="96">
        <v>35.97</v>
      </c>
      <c r="D21" s="96">
        <v>7.4</v>
      </c>
      <c r="E21" s="96">
        <v>2.2000000000000002</v>
      </c>
      <c r="F21" s="96">
        <v>2.6</v>
      </c>
      <c r="G21" s="96">
        <v>3.1</v>
      </c>
      <c r="H21" s="95">
        <v>17</v>
      </c>
      <c r="I21" s="96">
        <v>5.0999999999999996</v>
      </c>
      <c r="J21" s="96">
        <v>4.5</v>
      </c>
      <c r="K21" s="96">
        <v>5.7</v>
      </c>
      <c r="L21" s="105">
        <v>4.5</v>
      </c>
      <c r="M21" s="4">
        <f t="shared" si="0"/>
        <v>4.95</v>
      </c>
      <c r="N21" s="106">
        <f t="shared" si="1"/>
        <v>76.976873994583912</v>
      </c>
      <c r="X21" s="94">
        <v>17</v>
      </c>
      <c r="Y21" s="113" t="s">
        <v>148</v>
      </c>
      <c r="Z21" s="93">
        <v>35.97</v>
      </c>
      <c r="AA21" s="113">
        <v>5.0999999999999996</v>
      </c>
      <c r="AB21" s="113">
        <v>4.5</v>
      </c>
      <c r="AC21" s="113">
        <v>5.7</v>
      </c>
      <c r="AD21" s="123">
        <v>4.5</v>
      </c>
      <c r="AE21" s="7">
        <f t="shared" si="2"/>
        <v>4.95</v>
      </c>
      <c r="AF21" s="7">
        <f t="shared" si="3"/>
        <v>76.976873994583912</v>
      </c>
      <c r="AH21" s="458" t="s">
        <v>186</v>
      </c>
      <c r="AI21" s="458"/>
      <c r="AJ21" s="458"/>
      <c r="AK21" s="458"/>
      <c r="AL21" s="458"/>
      <c r="AM21" s="458"/>
      <c r="AN21" s="458"/>
      <c r="AP21" s="121">
        <v>17</v>
      </c>
      <c r="AQ21" s="113" t="s">
        <v>148</v>
      </c>
      <c r="AR21" s="113">
        <v>31.19</v>
      </c>
      <c r="AS21" s="113">
        <v>5</v>
      </c>
      <c r="AT21" s="113">
        <v>4.3</v>
      </c>
      <c r="AU21" s="113">
        <v>4.4000000000000004</v>
      </c>
      <c r="AV21" s="123">
        <v>5.7</v>
      </c>
      <c r="AW21" s="7">
        <f t="shared" si="4"/>
        <v>4.8500000000000005</v>
      </c>
      <c r="AX21" s="7">
        <f t="shared" si="5"/>
        <v>73.898113194065928</v>
      </c>
    </row>
    <row r="22" spans="2:50" ht="15" thickBot="1" x14ac:dyDescent="0.35">
      <c r="B22" s="96" t="s">
        <v>148</v>
      </c>
      <c r="C22" s="96">
        <v>31.83</v>
      </c>
      <c r="D22" s="96">
        <v>7.4</v>
      </c>
      <c r="E22" s="96">
        <v>3.2</v>
      </c>
      <c r="F22" s="96">
        <v>3.2</v>
      </c>
      <c r="G22" s="96">
        <v>2.8</v>
      </c>
      <c r="H22" s="95">
        <v>18</v>
      </c>
      <c r="I22" s="96">
        <v>6.1</v>
      </c>
      <c r="J22" s="96">
        <v>5.9</v>
      </c>
      <c r="K22" s="96">
        <v>5.4</v>
      </c>
      <c r="L22" s="105">
        <v>5.0999999999999996</v>
      </c>
      <c r="M22" s="4">
        <f t="shared" si="0"/>
        <v>5.625</v>
      </c>
      <c r="N22" s="106">
        <f t="shared" si="1"/>
        <v>99.401955054989543</v>
      </c>
      <c r="X22" s="94">
        <v>18</v>
      </c>
      <c r="Y22" s="113" t="s">
        <v>148</v>
      </c>
      <c r="Z22" s="93">
        <v>31.83</v>
      </c>
      <c r="AA22" s="113">
        <v>6.1</v>
      </c>
      <c r="AB22" s="113">
        <v>5.9</v>
      </c>
      <c r="AC22" s="113">
        <v>5.4</v>
      </c>
      <c r="AD22" s="123">
        <v>5.0999999999999996</v>
      </c>
      <c r="AE22" s="7">
        <f t="shared" si="2"/>
        <v>5.625</v>
      </c>
      <c r="AF22" s="7">
        <f t="shared" si="3"/>
        <v>99.401955054989543</v>
      </c>
      <c r="AH22" s="458"/>
      <c r="AI22" s="458"/>
      <c r="AJ22" s="458"/>
      <c r="AK22" s="458"/>
      <c r="AL22" s="458"/>
      <c r="AM22" s="458"/>
      <c r="AN22" s="458"/>
      <c r="AP22" s="121">
        <v>18</v>
      </c>
      <c r="AQ22" s="113" t="s">
        <v>148</v>
      </c>
      <c r="AR22" s="113">
        <v>47.75</v>
      </c>
      <c r="AS22" s="113">
        <v>5.6</v>
      </c>
      <c r="AT22" s="113">
        <v>6.7</v>
      </c>
      <c r="AU22" s="113">
        <v>5.9</v>
      </c>
      <c r="AV22" s="123">
        <v>5</v>
      </c>
      <c r="AW22" s="7">
        <f t="shared" si="4"/>
        <v>5.8000000000000007</v>
      </c>
      <c r="AX22" s="7">
        <f t="shared" si="5"/>
        <v>105.68317686676066</v>
      </c>
    </row>
    <row r="23" spans="2:50" ht="15" thickBot="1" x14ac:dyDescent="0.35">
      <c r="B23" s="96" t="s">
        <v>148</v>
      </c>
      <c r="C23" s="96">
        <v>25.78</v>
      </c>
      <c r="D23" s="96">
        <v>6.4</v>
      </c>
      <c r="E23" s="96">
        <v>1.8</v>
      </c>
      <c r="F23" s="96">
        <v>2.2000000000000002</v>
      </c>
      <c r="G23" s="96">
        <v>2.4</v>
      </c>
      <c r="H23" s="95">
        <v>19</v>
      </c>
      <c r="I23" s="96">
        <v>2.9</v>
      </c>
      <c r="J23" s="96">
        <v>4.8</v>
      </c>
      <c r="K23" s="96">
        <v>4</v>
      </c>
      <c r="L23" s="105">
        <v>3.6</v>
      </c>
      <c r="M23" s="4">
        <f t="shared" si="0"/>
        <v>3.8249999999999997</v>
      </c>
      <c r="N23" s="106">
        <f t="shared" si="1"/>
        <v>45.963464017427164</v>
      </c>
      <c r="X23" s="94">
        <v>19</v>
      </c>
      <c r="Y23" s="113" t="s">
        <v>148</v>
      </c>
      <c r="Z23" s="93">
        <v>25.78</v>
      </c>
      <c r="AA23" s="113">
        <v>2.9</v>
      </c>
      <c r="AB23" s="113">
        <v>4.8</v>
      </c>
      <c r="AC23" s="113">
        <v>4</v>
      </c>
      <c r="AD23" s="123">
        <v>3.6</v>
      </c>
      <c r="AE23" s="7">
        <f t="shared" si="2"/>
        <v>3.8249999999999997</v>
      </c>
      <c r="AF23" s="7">
        <f t="shared" si="3"/>
        <v>45.963464017427164</v>
      </c>
      <c r="AH23" s="458"/>
      <c r="AI23" s="458"/>
      <c r="AJ23" s="458"/>
      <c r="AK23" s="458"/>
      <c r="AL23" s="458"/>
      <c r="AM23" s="458"/>
      <c r="AN23" s="458"/>
      <c r="AP23" s="121">
        <v>19</v>
      </c>
      <c r="AQ23" s="113" t="s">
        <v>148</v>
      </c>
      <c r="AR23" s="113">
        <v>38.200000000000003</v>
      </c>
      <c r="AS23" s="113">
        <v>4.9000000000000004</v>
      </c>
      <c r="AT23" s="113">
        <v>4.9000000000000004</v>
      </c>
      <c r="AU23" s="113">
        <v>5.6</v>
      </c>
      <c r="AV23" s="123">
        <v>6.7</v>
      </c>
      <c r="AW23" s="7">
        <f t="shared" si="4"/>
        <v>5.5250000000000004</v>
      </c>
      <c r="AX23" s="7">
        <f t="shared" si="5"/>
        <v>95.899079246236951</v>
      </c>
    </row>
    <row r="24" spans="2:50" ht="15" thickBot="1" x14ac:dyDescent="0.35">
      <c r="B24" s="96" t="s">
        <v>148</v>
      </c>
      <c r="C24" s="96">
        <v>74.17</v>
      </c>
      <c r="D24" s="96">
        <v>9.4</v>
      </c>
      <c r="E24" s="96">
        <v>3.3</v>
      </c>
      <c r="F24" s="96">
        <v>1.3</v>
      </c>
      <c r="G24" s="96">
        <v>2.8</v>
      </c>
      <c r="H24" s="95">
        <v>20</v>
      </c>
      <c r="I24" s="96">
        <v>7.5</v>
      </c>
      <c r="J24" s="96">
        <v>9.6</v>
      </c>
      <c r="K24" s="96">
        <v>5.3</v>
      </c>
      <c r="L24" s="105">
        <v>7.9</v>
      </c>
      <c r="M24" s="4">
        <f t="shared" si="0"/>
        <v>7.5750000000000011</v>
      </c>
      <c r="N24" s="106">
        <f t="shared" si="1"/>
        <v>180.26654995839087</v>
      </c>
      <c r="X24" s="94">
        <v>20</v>
      </c>
      <c r="Y24" s="113" t="s">
        <v>148</v>
      </c>
      <c r="Z24" s="93">
        <v>74.17</v>
      </c>
      <c r="AA24" s="113">
        <v>7.5</v>
      </c>
      <c r="AB24" s="113">
        <v>9.6</v>
      </c>
      <c r="AC24" s="113">
        <v>5.3</v>
      </c>
      <c r="AD24" s="123">
        <v>7.9</v>
      </c>
      <c r="AE24" s="7">
        <f t="shared" si="2"/>
        <v>7.5750000000000011</v>
      </c>
      <c r="AF24" s="7">
        <f t="shared" si="3"/>
        <v>180.26654995839087</v>
      </c>
      <c r="AH24" s="458"/>
      <c r="AI24" s="458"/>
      <c r="AJ24" s="458"/>
      <c r="AK24" s="458"/>
      <c r="AL24" s="458"/>
      <c r="AM24" s="458"/>
      <c r="AN24" s="458"/>
      <c r="AP24" s="121">
        <v>20</v>
      </c>
      <c r="AQ24" s="113" t="s">
        <v>148</v>
      </c>
      <c r="AR24" s="113">
        <v>25.15</v>
      </c>
      <c r="AS24" s="113">
        <v>2.9</v>
      </c>
      <c r="AT24" s="113">
        <v>3.8</v>
      </c>
      <c r="AU24" s="113">
        <v>2.9</v>
      </c>
      <c r="AV24" s="123">
        <v>1.9</v>
      </c>
      <c r="AW24" s="7">
        <f t="shared" si="4"/>
        <v>2.875</v>
      </c>
      <c r="AX24" s="7">
        <f t="shared" si="5"/>
        <v>25.967226777328133</v>
      </c>
    </row>
    <row r="25" spans="2:50" ht="15" thickBot="1" x14ac:dyDescent="0.35">
      <c r="B25" s="96" t="s">
        <v>148</v>
      </c>
      <c r="C25" s="96">
        <v>22.28</v>
      </c>
      <c r="D25" s="96">
        <v>5.4</v>
      </c>
      <c r="E25" s="96">
        <v>1.9</v>
      </c>
      <c r="F25" s="96">
        <v>2.4</v>
      </c>
      <c r="G25" s="96">
        <v>1.2</v>
      </c>
      <c r="H25" s="95">
        <v>21</v>
      </c>
      <c r="I25" s="96">
        <v>2.6</v>
      </c>
      <c r="J25" s="96">
        <v>1.4</v>
      </c>
      <c r="K25" s="96">
        <v>1.9</v>
      </c>
      <c r="L25" s="105">
        <v>2.4</v>
      </c>
      <c r="M25" s="4">
        <f t="shared" si="0"/>
        <v>2.0750000000000002</v>
      </c>
      <c r="N25" s="106">
        <f t="shared" si="1"/>
        <v>13.526519869112557</v>
      </c>
      <c r="X25" s="94">
        <v>21</v>
      </c>
      <c r="Y25" s="113" t="s">
        <v>148</v>
      </c>
      <c r="Z25" s="93">
        <v>22.28</v>
      </c>
      <c r="AA25" s="113">
        <v>2.6</v>
      </c>
      <c r="AB25" s="113">
        <v>1.4</v>
      </c>
      <c r="AC25" s="113">
        <v>1.9</v>
      </c>
      <c r="AD25" s="123">
        <v>2.4</v>
      </c>
      <c r="AE25" s="7">
        <f t="shared" si="2"/>
        <v>2.0750000000000002</v>
      </c>
      <c r="AF25" s="7">
        <f t="shared" si="3"/>
        <v>13.526519869112557</v>
      </c>
      <c r="AH25" s="458"/>
      <c r="AI25" s="458"/>
      <c r="AJ25" s="458"/>
      <c r="AK25" s="458"/>
      <c r="AL25" s="458"/>
      <c r="AM25" s="458"/>
      <c r="AN25" s="458"/>
      <c r="AP25" s="121">
        <v>21</v>
      </c>
      <c r="AQ25" s="113" t="s">
        <v>148</v>
      </c>
      <c r="AR25" s="113">
        <v>21.01</v>
      </c>
      <c r="AS25" s="113">
        <v>3</v>
      </c>
      <c r="AT25" s="113">
        <v>3.9</v>
      </c>
      <c r="AU25" s="113">
        <v>2.2999999999999998</v>
      </c>
      <c r="AV25" s="123">
        <v>1.8</v>
      </c>
      <c r="AW25" s="7">
        <f t="shared" si="4"/>
        <v>2.75</v>
      </c>
      <c r="AX25" s="7">
        <f t="shared" si="5"/>
        <v>23.758294442772812</v>
      </c>
    </row>
    <row r="26" spans="2:50" ht="15" thickBot="1" x14ac:dyDescent="0.35">
      <c r="B26" s="96" t="s">
        <v>148</v>
      </c>
      <c r="C26" s="96">
        <v>16.87</v>
      </c>
      <c r="D26" s="96">
        <v>6.7</v>
      </c>
      <c r="E26" s="96">
        <v>2.4</v>
      </c>
      <c r="F26" s="96">
        <v>1.9</v>
      </c>
      <c r="G26" s="96">
        <v>1.2</v>
      </c>
      <c r="H26" s="95">
        <v>22</v>
      </c>
      <c r="I26" s="96">
        <v>2</v>
      </c>
      <c r="J26" s="96">
        <v>0.3</v>
      </c>
      <c r="K26" s="96">
        <v>1.8</v>
      </c>
      <c r="L26" s="105">
        <v>0.8</v>
      </c>
      <c r="M26" s="4">
        <f t="shared" si="0"/>
        <v>1.2249999999999999</v>
      </c>
      <c r="N26" s="106">
        <f t="shared" si="1"/>
        <v>4.7143524757931825</v>
      </c>
      <c r="X26" s="94">
        <v>22</v>
      </c>
      <c r="Y26" s="113" t="s">
        <v>148</v>
      </c>
      <c r="Z26" s="93">
        <v>16.87</v>
      </c>
      <c r="AA26" s="113">
        <v>2</v>
      </c>
      <c r="AB26" s="113">
        <v>0.3</v>
      </c>
      <c r="AC26" s="113">
        <v>1.8</v>
      </c>
      <c r="AD26" s="123">
        <v>0.8</v>
      </c>
      <c r="AE26" s="7">
        <f t="shared" si="2"/>
        <v>1.2249999999999999</v>
      </c>
      <c r="AF26" s="7">
        <f t="shared" si="3"/>
        <v>4.7143524757931825</v>
      </c>
      <c r="AH26" s="458"/>
      <c r="AI26" s="458"/>
      <c r="AJ26" s="458"/>
      <c r="AK26" s="458"/>
      <c r="AL26" s="458"/>
      <c r="AM26" s="458"/>
      <c r="AN26" s="458"/>
      <c r="AP26" s="121">
        <v>22</v>
      </c>
      <c r="AQ26" s="113" t="s">
        <v>148</v>
      </c>
      <c r="AR26" s="113">
        <v>19.739999999999998</v>
      </c>
      <c r="AS26" s="113">
        <v>1.9</v>
      </c>
      <c r="AT26" s="113">
        <v>2.5</v>
      </c>
      <c r="AU26" s="113">
        <v>1.2</v>
      </c>
      <c r="AV26" s="123">
        <v>3.2</v>
      </c>
      <c r="AW26" s="7">
        <f t="shared" si="4"/>
        <v>2.2000000000000002</v>
      </c>
      <c r="AX26" s="7">
        <f t="shared" si="5"/>
        <v>15.205308443374602</v>
      </c>
    </row>
    <row r="27" spans="2:50" ht="15" thickBot="1" x14ac:dyDescent="0.35">
      <c r="B27" s="96" t="s">
        <v>148</v>
      </c>
      <c r="C27" s="96">
        <v>20.37</v>
      </c>
      <c r="D27" s="96">
        <v>7</v>
      </c>
      <c r="E27" s="96">
        <v>2.5</v>
      </c>
      <c r="F27" s="96">
        <v>2.5</v>
      </c>
      <c r="G27" s="96">
        <v>1.3</v>
      </c>
      <c r="H27" s="95">
        <v>23</v>
      </c>
      <c r="I27" s="96">
        <v>0.8</v>
      </c>
      <c r="J27" s="96">
        <v>2.1</v>
      </c>
      <c r="K27" s="96">
        <v>2</v>
      </c>
      <c r="L27" s="105">
        <v>1.6</v>
      </c>
      <c r="M27" s="4">
        <f t="shared" si="0"/>
        <v>1.625</v>
      </c>
      <c r="N27" s="106">
        <f t="shared" si="1"/>
        <v>8.2957681008855477</v>
      </c>
      <c r="X27" s="94">
        <v>23</v>
      </c>
      <c r="Y27" s="113" t="s">
        <v>148</v>
      </c>
      <c r="Z27" s="93">
        <v>20.37</v>
      </c>
      <c r="AA27" s="113">
        <v>0.8</v>
      </c>
      <c r="AB27" s="113">
        <v>2.1</v>
      </c>
      <c r="AC27" s="113">
        <v>2</v>
      </c>
      <c r="AD27" s="123">
        <v>1.6</v>
      </c>
      <c r="AE27" s="7">
        <f t="shared" si="2"/>
        <v>1.625</v>
      </c>
      <c r="AF27" s="7">
        <f t="shared" si="3"/>
        <v>8.2957681008855477</v>
      </c>
      <c r="AH27" s="458"/>
      <c r="AI27" s="458"/>
      <c r="AJ27" s="458"/>
      <c r="AK27" s="458"/>
      <c r="AL27" s="458"/>
      <c r="AM27" s="458"/>
      <c r="AN27" s="458"/>
      <c r="AP27" s="121">
        <v>23</v>
      </c>
      <c r="AQ27" s="113" t="s">
        <v>148</v>
      </c>
      <c r="AR27" s="113">
        <v>19.739999999999998</v>
      </c>
      <c r="AS27" s="113">
        <v>2.2000000000000002</v>
      </c>
      <c r="AT27" s="113">
        <v>1.5</v>
      </c>
      <c r="AU27" s="113">
        <v>1</v>
      </c>
      <c r="AV27" s="123">
        <v>2.9</v>
      </c>
      <c r="AW27" s="7">
        <f t="shared" si="4"/>
        <v>1.9</v>
      </c>
      <c r="AX27" s="7">
        <f t="shared" si="5"/>
        <v>11.341149479459153</v>
      </c>
    </row>
    <row r="28" spans="2:50" ht="15" thickBot="1" x14ac:dyDescent="0.35">
      <c r="B28" s="96" t="s">
        <v>149</v>
      </c>
      <c r="C28" s="96">
        <v>25.46</v>
      </c>
      <c r="D28" s="96">
        <v>6.9</v>
      </c>
      <c r="E28" s="96">
        <v>2.1</v>
      </c>
      <c r="F28" s="96">
        <v>2.1</v>
      </c>
      <c r="G28" s="96" t="s">
        <v>150</v>
      </c>
      <c r="H28" s="95">
        <v>24</v>
      </c>
      <c r="I28" s="96">
        <v>3.4</v>
      </c>
      <c r="J28" s="96">
        <v>2.9</v>
      </c>
      <c r="K28" s="96">
        <v>3.5</v>
      </c>
      <c r="L28" s="105">
        <v>3</v>
      </c>
      <c r="M28" s="4">
        <f t="shared" si="0"/>
        <v>3.2</v>
      </c>
      <c r="N28" s="106">
        <f t="shared" si="1"/>
        <v>32.169908772759484</v>
      </c>
      <c r="X28" s="94">
        <v>24</v>
      </c>
      <c r="Y28" s="110" t="s">
        <v>149</v>
      </c>
      <c r="Z28" s="93">
        <v>25.46</v>
      </c>
      <c r="AA28" s="93">
        <v>3.4</v>
      </c>
      <c r="AB28" s="93">
        <v>2.9</v>
      </c>
      <c r="AC28" s="93">
        <v>3.5</v>
      </c>
      <c r="AD28" s="104">
        <v>3</v>
      </c>
      <c r="AE28" s="7">
        <f t="shared" si="2"/>
        <v>3.2</v>
      </c>
      <c r="AF28" s="7">
        <f t="shared" si="3"/>
        <v>32.169908772759484</v>
      </c>
      <c r="AH28" s="458"/>
      <c r="AI28" s="458"/>
      <c r="AJ28" s="458"/>
      <c r="AK28" s="458"/>
      <c r="AL28" s="458"/>
      <c r="AM28" s="458"/>
      <c r="AN28" s="458"/>
      <c r="AP28" s="121">
        <v>24</v>
      </c>
      <c r="AQ28" s="113" t="s">
        <v>148</v>
      </c>
      <c r="AR28" s="113">
        <v>19.100000000000001</v>
      </c>
      <c r="AS28" s="113">
        <v>0</v>
      </c>
      <c r="AT28" s="113">
        <v>2.8</v>
      </c>
      <c r="AU28" s="113">
        <v>0</v>
      </c>
      <c r="AV28" s="123">
        <v>3.8</v>
      </c>
      <c r="AW28" s="7">
        <f t="shared" si="4"/>
        <v>1.65</v>
      </c>
      <c r="AX28" s="7">
        <f t="shared" si="5"/>
        <v>8.55298599939821</v>
      </c>
    </row>
    <row r="29" spans="2:50" ht="15" thickBot="1" x14ac:dyDescent="0.35">
      <c r="B29" s="96" t="s">
        <v>149</v>
      </c>
      <c r="C29" s="96">
        <v>30.24</v>
      </c>
      <c r="D29" s="96">
        <v>7.5</v>
      </c>
      <c r="E29" s="96">
        <v>1.8</v>
      </c>
      <c r="F29" s="96">
        <v>1.8</v>
      </c>
      <c r="G29" s="96" t="s">
        <v>150</v>
      </c>
      <c r="H29" s="95">
        <v>25</v>
      </c>
      <c r="I29" s="96">
        <v>4.8</v>
      </c>
      <c r="J29" s="96">
        <v>3.4</v>
      </c>
      <c r="K29" s="96">
        <v>4.3</v>
      </c>
      <c r="L29" s="105">
        <v>3.9</v>
      </c>
      <c r="M29" s="4">
        <f t="shared" si="0"/>
        <v>4.0999999999999996</v>
      </c>
      <c r="N29" s="106">
        <f t="shared" si="1"/>
        <v>52.810172506844417</v>
      </c>
      <c r="X29" s="94">
        <v>25</v>
      </c>
      <c r="Y29" s="110" t="s">
        <v>149</v>
      </c>
      <c r="Z29" s="93">
        <v>30.24</v>
      </c>
      <c r="AA29" s="93">
        <v>4.8</v>
      </c>
      <c r="AB29" s="93">
        <v>3.4</v>
      </c>
      <c r="AC29" s="93">
        <v>4.3</v>
      </c>
      <c r="AD29" s="104">
        <v>3.9</v>
      </c>
      <c r="AE29" s="7">
        <f t="shared" si="2"/>
        <v>4.0999999999999996</v>
      </c>
      <c r="AF29" s="7">
        <f t="shared" si="3"/>
        <v>52.810172506844417</v>
      </c>
      <c r="AP29" s="121">
        <v>25</v>
      </c>
      <c r="AQ29" s="113" t="s">
        <v>148</v>
      </c>
      <c r="AR29" s="113">
        <v>29.6</v>
      </c>
      <c r="AS29" s="113">
        <v>2.6</v>
      </c>
      <c r="AT29" s="113">
        <v>2.4</v>
      </c>
      <c r="AU29" s="113">
        <v>2.4</v>
      </c>
      <c r="AV29" s="123">
        <v>2.6</v>
      </c>
      <c r="AW29" s="7">
        <f t="shared" si="4"/>
        <v>2.5</v>
      </c>
      <c r="AX29" s="7">
        <f t="shared" si="5"/>
        <v>19.634954084936208</v>
      </c>
    </row>
    <row r="30" spans="2:50" ht="15" thickBot="1" x14ac:dyDescent="0.35">
      <c r="B30" s="96" t="s">
        <v>149</v>
      </c>
      <c r="C30" s="96">
        <v>17.190000000000001</v>
      </c>
      <c r="D30" s="96">
        <v>4.7</v>
      </c>
      <c r="E30" s="96">
        <v>1.5</v>
      </c>
      <c r="F30" s="96">
        <v>1.5</v>
      </c>
      <c r="G30" s="96" t="s">
        <v>150</v>
      </c>
      <c r="H30" s="95">
        <v>26</v>
      </c>
      <c r="I30" s="96">
        <v>1.9</v>
      </c>
      <c r="J30" s="96">
        <v>1.7</v>
      </c>
      <c r="K30" s="96">
        <v>2.1</v>
      </c>
      <c r="L30" s="105">
        <v>1.7</v>
      </c>
      <c r="M30" s="4">
        <f t="shared" si="0"/>
        <v>1.8499999999999999</v>
      </c>
      <c r="N30" s="106">
        <f t="shared" si="1"/>
        <v>10.752100856911065</v>
      </c>
      <c r="X30" s="94">
        <v>26</v>
      </c>
      <c r="Y30" s="110" t="s">
        <v>149</v>
      </c>
      <c r="Z30" s="93">
        <v>17.190000000000001</v>
      </c>
      <c r="AA30" s="93">
        <v>1.9</v>
      </c>
      <c r="AB30" s="93">
        <v>1.7</v>
      </c>
      <c r="AC30" s="93">
        <v>2.1</v>
      </c>
      <c r="AD30" s="104">
        <v>1.7</v>
      </c>
      <c r="AE30" s="7">
        <f t="shared" si="2"/>
        <v>1.8499999999999999</v>
      </c>
      <c r="AF30" s="7">
        <f t="shared" si="3"/>
        <v>10.752100856911065</v>
      </c>
      <c r="AP30" s="121">
        <v>26</v>
      </c>
      <c r="AQ30" s="113" t="s">
        <v>148</v>
      </c>
      <c r="AR30" s="113">
        <v>19.739999999999998</v>
      </c>
      <c r="AS30" s="113">
        <v>2.2999999999999998</v>
      </c>
      <c r="AT30" s="113">
        <v>1.1000000000000001</v>
      </c>
      <c r="AU30" s="113">
        <v>2.7</v>
      </c>
      <c r="AV30" s="123">
        <v>1.95</v>
      </c>
      <c r="AW30" s="7">
        <f t="shared" si="4"/>
        <v>2.0124999999999997</v>
      </c>
      <c r="AX30" s="7">
        <f t="shared" si="5"/>
        <v>12.723941120890782</v>
      </c>
    </row>
    <row r="31" spans="2:50" ht="15" thickBot="1" x14ac:dyDescent="0.35">
      <c r="B31" s="96" t="s">
        <v>149</v>
      </c>
      <c r="C31" s="96">
        <v>20.37</v>
      </c>
      <c r="D31" s="96">
        <v>5.3</v>
      </c>
      <c r="E31" s="96">
        <v>1.8</v>
      </c>
      <c r="F31" s="96">
        <v>1.8</v>
      </c>
      <c r="G31" s="96" t="s">
        <v>150</v>
      </c>
      <c r="H31" s="95">
        <v>27</v>
      </c>
      <c r="I31" s="96">
        <v>2.6</v>
      </c>
      <c r="J31" s="96">
        <v>2.5</v>
      </c>
      <c r="K31" s="96">
        <v>2.7</v>
      </c>
      <c r="L31" s="105">
        <v>2</v>
      </c>
      <c r="M31" s="4">
        <f t="shared" si="0"/>
        <v>2.4500000000000002</v>
      </c>
      <c r="N31" s="106">
        <f t="shared" si="1"/>
        <v>18.857409903172737</v>
      </c>
      <c r="X31" s="94">
        <v>27</v>
      </c>
      <c r="Y31" s="110" t="s">
        <v>149</v>
      </c>
      <c r="Z31" s="93">
        <v>20.37</v>
      </c>
      <c r="AA31" s="93">
        <v>2.6</v>
      </c>
      <c r="AB31" s="93">
        <v>2.5</v>
      </c>
      <c r="AC31" s="93">
        <v>2.7</v>
      </c>
      <c r="AD31" s="104">
        <v>2</v>
      </c>
      <c r="AE31" s="7">
        <f t="shared" si="2"/>
        <v>2.4500000000000002</v>
      </c>
      <c r="AF31" s="7">
        <f t="shared" si="3"/>
        <v>18.857409903172737</v>
      </c>
      <c r="AP31" s="121">
        <v>27</v>
      </c>
      <c r="AQ31" s="113" t="s">
        <v>148</v>
      </c>
      <c r="AR31" s="113">
        <v>29.6</v>
      </c>
      <c r="AS31" s="113">
        <v>0</v>
      </c>
      <c r="AT31" s="113">
        <v>5.6</v>
      </c>
      <c r="AU31" s="113">
        <v>6.6</v>
      </c>
      <c r="AV31" s="123">
        <v>5.0999999999999996</v>
      </c>
      <c r="AW31" s="7">
        <f t="shared" si="4"/>
        <v>4.3249999999999993</v>
      </c>
      <c r="AX31" s="7">
        <f t="shared" si="5"/>
        <v>58.765454080805554</v>
      </c>
    </row>
    <row r="32" spans="2:50" ht="15" thickBot="1" x14ac:dyDescent="0.35">
      <c r="B32" s="96" t="s">
        <v>149</v>
      </c>
      <c r="C32" s="96">
        <v>13.69</v>
      </c>
      <c r="D32" s="96">
        <v>4.2</v>
      </c>
      <c r="E32" s="96">
        <v>1.5</v>
      </c>
      <c r="F32" s="96">
        <v>1.5</v>
      </c>
      <c r="G32" s="96" t="s">
        <v>150</v>
      </c>
      <c r="H32" s="95">
        <v>28</v>
      </c>
      <c r="I32" s="96">
        <v>1.4</v>
      </c>
      <c r="J32" s="96">
        <v>1.7</v>
      </c>
      <c r="K32" s="96">
        <v>1.6</v>
      </c>
      <c r="L32" s="105">
        <v>1.9</v>
      </c>
      <c r="M32" s="4">
        <f t="shared" si="0"/>
        <v>1.65</v>
      </c>
      <c r="N32" s="106">
        <f t="shared" si="1"/>
        <v>8.55298599939821</v>
      </c>
      <c r="X32" s="94">
        <v>28</v>
      </c>
      <c r="Y32" s="110" t="s">
        <v>149</v>
      </c>
      <c r="Z32" s="93">
        <v>13.69</v>
      </c>
      <c r="AA32" s="93">
        <v>1.4</v>
      </c>
      <c r="AB32" s="93">
        <v>1.7</v>
      </c>
      <c r="AC32" s="93">
        <v>1.6</v>
      </c>
      <c r="AD32" s="104">
        <v>1.9</v>
      </c>
      <c r="AE32" s="7">
        <f t="shared" si="2"/>
        <v>1.65</v>
      </c>
      <c r="AF32" s="7">
        <f t="shared" si="3"/>
        <v>8.55298599939821</v>
      </c>
      <c r="AP32" s="121">
        <v>28</v>
      </c>
      <c r="AQ32" s="113" t="s">
        <v>148</v>
      </c>
      <c r="AR32" s="113">
        <v>19.100000000000001</v>
      </c>
      <c r="AS32" s="113">
        <v>1.6</v>
      </c>
      <c r="AT32" s="113">
        <v>2</v>
      </c>
      <c r="AU32" s="113">
        <v>1.7</v>
      </c>
      <c r="AV32" s="123">
        <v>1.1000000000000001</v>
      </c>
      <c r="AW32" s="7">
        <f t="shared" si="4"/>
        <v>1.6</v>
      </c>
      <c r="AX32" s="7">
        <f t="shared" si="5"/>
        <v>8.0424771931898711</v>
      </c>
    </row>
    <row r="33" spans="2:50" ht="15" thickBot="1" x14ac:dyDescent="0.35">
      <c r="B33" s="96" t="s">
        <v>149</v>
      </c>
      <c r="C33" s="96">
        <v>48.06</v>
      </c>
      <c r="D33" s="96">
        <v>10.6</v>
      </c>
      <c r="E33" s="96">
        <v>2.2999999999999998</v>
      </c>
      <c r="F33" s="96">
        <v>2.2999999999999998</v>
      </c>
      <c r="G33" s="96" t="s">
        <v>150</v>
      </c>
      <c r="H33" s="95">
        <v>29</v>
      </c>
      <c r="I33" s="96">
        <v>5.3</v>
      </c>
      <c r="J33" s="96">
        <v>6.1</v>
      </c>
      <c r="K33" s="96">
        <v>5.8</v>
      </c>
      <c r="L33" s="105">
        <v>4.5999999999999996</v>
      </c>
      <c r="M33" s="4">
        <f t="shared" si="0"/>
        <v>5.4499999999999993</v>
      </c>
      <c r="N33" s="106">
        <f t="shared" si="1"/>
        <v>93.313155793250814</v>
      </c>
      <c r="X33" s="94">
        <v>29</v>
      </c>
      <c r="Y33" s="110" t="s">
        <v>149</v>
      </c>
      <c r="Z33" s="93">
        <v>48.06</v>
      </c>
      <c r="AA33" s="93">
        <v>5.3</v>
      </c>
      <c r="AB33" s="93">
        <v>6.1</v>
      </c>
      <c r="AC33" s="93">
        <v>5.8</v>
      </c>
      <c r="AD33" s="104">
        <v>4.5999999999999996</v>
      </c>
      <c r="AE33" s="7">
        <f t="shared" si="2"/>
        <v>5.4499999999999993</v>
      </c>
      <c r="AF33" s="7">
        <f t="shared" si="3"/>
        <v>93.313155793250814</v>
      </c>
      <c r="AP33" s="119">
        <v>29</v>
      </c>
      <c r="AQ33" s="111" t="s">
        <v>82</v>
      </c>
      <c r="AR33" s="111">
        <v>30.24</v>
      </c>
      <c r="AS33" s="111">
        <v>2.8</v>
      </c>
      <c r="AT33" s="111">
        <v>3.1</v>
      </c>
      <c r="AU33" s="111">
        <v>2.9</v>
      </c>
      <c r="AV33" s="124">
        <v>3.5</v>
      </c>
      <c r="AW33" s="7">
        <f t="shared" si="4"/>
        <v>3.0750000000000002</v>
      </c>
      <c r="AX33" s="7">
        <f t="shared" si="5"/>
        <v>29.705722035099992</v>
      </c>
    </row>
    <row r="34" spans="2:50" ht="15" thickBot="1" x14ac:dyDescent="0.35">
      <c r="B34" s="96" t="s">
        <v>149</v>
      </c>
      <c r="C34" s="96">
        <v>18.46</v>
      </c>
      <c r="D34" s="96">
        <v>5.5</v>
      </c>
      <c r="E34" s="96">
        <v>1.7</v>
      </c>
      <c r="F34" s="96">
        <v>1.7</v>
      </c>
      <c r="G34" s="96" t="s">
        <v>150</v>
      </c>
      <c r="H34" s="95">
        <v>30</v>
      </c>
      <c r="I34" s="96">
        <v>2.1</v>
      </c>
      <c r="J34" s="96">
        <v>2.2999999999999998</v>
      </c>
      <c r="K34" s="96">
        <v>2</v>
      </c>
      <c r="L34" s="105">
        <v>2.4</v>
      </c>
      <c r="M34" s="4">
        <f t="shared" si="0"/>
        <v>2.2000000000000002</v>
      </c>
      <c r="N34" s="106">
        <f t="shared" si="1"/>
        <v>15.205308443374602</v>
      </c>
      <c r="X34" s="94">
        <v>30</v>
      </c>
      <c r="Y34" s="110" t="s">
        <v>149</v>
      </c>
      <c r="Z34" s="93">
        <v>18.46</v>
      </c>
      <c r="AA34" s="93">
        <v>2.1</v>
      </c>
      <c r="AB34" s="93">
        <v>2.2999999999999998</v>
      </c>
      <c r="AC34" s="93">
        <v>2</v>
      </c>
      <c r="AD34" s="104">
        <v>2.4</v>
      </c>
      <c r="AE34" s="7">
        <f t="shared" si="2"/>
        <v>2.2000000000000002</v>
      </c>
      <c r="AF34" s="7">
        <f t="shared" si="3"/>
        <v>15.205308443374602</v>
      </c>
      <c r="AP34" s="120">
        <v>30</v>
      </c>
      <c r="AQ34" s="112" t="s">
        <v>149</v>
      </c>
      <c r="AR34" s="112">
        <v>37.56</v>
      </c>
      <c r="AS34" s="112">
        <v>4.0999999999999996</v>
      </c>
      <c r="AT34" s="112">
        <v>4.2</v>
      </c>
      <c r="AU34" s="112">
        <v>4</v>
      </c>
      <c r="AV34" s="125">
        <v>4.5</v>
      </c>
      <c r="AW34" s="7">
        <f t="shared" si="4"/>
        <v>4.2</v>
      </c>
      <c r="AX34" s="7">
        <f t="shared" si="5"/>
        <v>55.41769440932395</v>
      </c>
    </row>
    <row r="35" spans="2:50" ht="15" thickBot="1" x14ac:dyDescent="0.35">
      <c r="B35" s="96" t="s">
        <v>149</v>
      </c>
      <c r="C35" s="96">
        <v>21.96</v>
      </c>
      <c r="D35" s="96">
        <v>5.0999999999999996</v>
      </c>
      <c r="E35" s="96">
        <v>1.5</v>
      </c>
      <c r="F35" s="96">
        <v>1.5</v>
      </c>
      <c r="G35" s="96" t="s">
        <v>150</v>
      </c>
      <c r="H35" s="95">
        <v>31</v>
      </c>
      <c r="I35" s="96">
        <v>2.2000000000000002</v>
      </c>
      <c r="J35" s="96">
        <v>2.7</v>
      </c>
      <c r="K35" s="96">
        <v>2.2000000000000002</v>
      </c>
      <c r="L35" s="105">
        <v>2.4</v>
      </c>
      <c r="M35" s="4">
        <f t="shared" si="0"/>
        <v>2.375</v>
      </c>
      <c r="N35" s="106">
        <f t="shared" si="1"/>
        <v>17.720546061654925</v>
      </c>
      <c r="X35" s="94">
        <v>31</v>
      </c>
      <c r="Y35" s="110" t="s">
        <v>149</v>
      </c>
      <c r="Z35" s="93">
        <v>21.96</v>
      </c>
      <c r="AA35" s="93">
        <v>2.2000000000000002</v>
      </c>
      <c r="AB35" s="93">
        <v>2.7</v>
      </c>
      <c r="AC35" s="93">
        <v>2.2000000000000002</v>
      </c>
      <c r="AD35" s="104">
        <v>2.4</v>
      </c>
      <c r="AE35" s="7">
        <f t="shared" si="2"/>
        <v>2.375</v>
      </c>
      <c r="AF35" s="7">
        <f t="shared" si="3"/>
        <v>17.720546061654925</v>
      </c>
      <c r="AP35" s="120">
        <v>31</v>
      </c>
      <c r="AQ35" s="112" t="s">
        <v>149</v>
      </c>
      <c r="AR35" s="112">
        <v>47.75</v>
      </c>
      <c r="AS35" s="112">
        <v>5</v>
      </c>
      <c r="AT35" s="112">
        <v>5.8</v>
      </c>
      <c r="AU35" s="112">
        <v>4.7</v>
      </c>
      <c r="AV35" s="125">
        <v>5.0999999999999996</v>
      </c>
      <c r="AW35" s="7">
        <f t="shared" si="4"/>
        <v>5.15</v>
      </c>
      <c r="AX35" s="7">
        <f t="shared" si="5"/>
        <v>83.322891154835304</v>
      </c>
    </row>
    <row r="36" spans="2:50" ht="15" thickBot="1" x14ac:dyDescent="0.35">
      <c r="AP36" s="120">
        <v>32</v>
      </c>
      <c r="AQ36" s="112" t="s">
        <v>149</v>
      </c>
      <c r="AR36" s="112">
        <v>49.34</v>
      </c>
      <c r="AS36" s="112">
        <v>5.7</v>
      </c>
      <c r="AT36" s="112">
        <v>5.8</v>
      </c>
      <c r="AU36" s="112">
        <v>5.9</v>
      </c>
      <c r="AV36" s="125">
        <v>5.9</v>
      </c>
      <c r="AW36" s="7">
        <f t="shared" si="4"/>
        <v>5.8249999999999993</v>
      </c>
      <c r="AX36" s="7">
        <f t="shared" si="5"/>
        <v>106.59620223171015</v>
      </c>
    </row>
    <row r="37" spans="2:50" ht="15" thickBot="1" x14ac:dyDescent="0.35">
      <c r="AP37" s="120">
        <v>33</v>
      </c>
      <c r="AQ37" s="112" t="s">
        <v>149</v>
      </c>
      <c r="AR37" s="112">
        <v>25.15</v>
      </c>
      <c r="AS37" s="112">
        <v>3.7</v>
      </c>
      <c r="AT37" s="112">
        <v>2.4</v>
      </c>
      <c r="AU37" s="112">
        <v>3.5</v>
      </c>
      <c r="AV37" s="125">
        <v>3.1</v>
      </c>
      <c r="AW37" s="7">
        <f t="shared" si="4"/>
        <v>3.1749999999999998</v>
      </c>
      <c r="AX37" s="7">
        <f t="shared" si="5"/>
        <v>31.669217443593606</v>
      </c>
    </row>
    <row r="38" spans="2:50" ht="15" thickBot="1" x14ac:dyDescent="0.35">
      <c r="AP38" s="120">
        <v>34</v>
      </c>
      <c r="AQ38" s="112" t="s">
        <v>149</v>
      </c>
      <c r="AR38" s="112">
        <v>23.87</v>
      </c>
      <c r="AS38" s="112">
        <v>3.2</v>
      </c>
      <c r="AT38" s="112">
        <v>2.6</v>
      </c>
      <c r="AU38" s="112">
        <v>3.4</v>
      </c>
      <c r="AV38" s="125">
        <v>2.9</v>
      </c>
      <c r="AW38" s="7">
        <f t="shared" si="4"/>
        <v>3.0250000000000004</v>
      </c>
      <c r="AX38" s="7">
        <f t="shared" si="5"/>
        <v>28.747536275755106</v>
      </c>
    </row>
    <row r="39" spans="2:50" ht="15" thickBot="1" x14ac:dyDescent="0.35">
      <c r="AP39" s="120">
        <v>35</v>
      </c>
      <c r="AQ39" s="112" t="s">
        <v>149</v>
      </c>
      <c r="AR39" s="112">
        <v>49.02</v>
      </c>
      <c r="AS39" s="112">
        <v>5.2</v>
      </c>
      <c r="AT39" s="112">
        <v>5.4</v>
      </c>
      <c r="AU39" s="112">
        <v>4.9000000000000004</v>
      </c>
      <c r="AV39" s="125">
        <v>5.5</v>
      </c>
      <c r="AW39" s="7">
        <f t="shared" si="4"/>
        <v>5.25</v>
      </c>
      <c r="AX39" s="7">
        <f t="shared" si="5"/>
        <v>86.59014751456867</v>
      </c>
    </row>
    <row r="40" spans="2:50" ht="15" thickBot="1" x14ac:dyDescent="0.35">
      <c r="AP40" s="120">
        <v>36</v>
      </c>
      <c r="AQ40" s="112" t="s">
        <v>149</v>
      </c>
      <c r="AR40" s="112">
        <v>54.11</v>
      </c>
      <c r="AS40" s="112">
        <v>5.5</v>
      </c>
      <c r="AT40" s="112">
        <v>7.6</v>
      </c>
      <c r="AU40" s="112">
        <v>5.9</v>
      </c>
      <c r="AV40" s="125">
        <v>5.4</v>
      </c>
      <c r="AW40" s="7">
        <f t="shared" si="4"/>
        <v>6.1</v>
      </c>
      <c r="AX40" s="7">
        <f t="shared" si="5"/>
        <v>116.89866264007618</v>
      </c>
    </row>
    <row r="41" spans="2:50" ht="15" thickBot="1" x14ac:dyDescent="0.35">
      <c r="AP41" s="120">
        <v>37</v>
      </c>
      <c r="AQ41" s="112" t="s">
        <v>149</v>
      </c>
      <c r="AR41" s="112">
        <v>20.69</v>
      </c>
      <c r="AS41" s="112">
        <v>2.4</v>
      </c>
      <c r="AT41" s="112">
        <v>2.4</v>
      </c>
      <c r="AU41" s="112">
        <v>2.2999999999999998</v>
      </c>
      <c r="AV41" s="125">
        <v>2.2000000000000002</v>
      </c>
      <c r="AW41" s="7">
        <f t="shared" si="4"/>
        <v>2.3250000000000002</v>
      </c>
      <c r="AX41" s="7">
        <f t="shared" si="5"/>
        <v>16.982271788061325</v>
      </c>
    </row>
    <row r="42" spans="2:50" ht="15" thickBot="1" x14ac:dyDescent="0.35">
      <c r="AP42" s="120">
        <v>38</v>
      </c>
      <c r="AQ42" s="112" t="s">
        <v>149</v>
      </c>
      <c r="AR42" s="112">
        <v>22.28</v>
      </c>
      <c r="AS42" s="112">
        <v>2.7</v>
      </c>
      <c r="AT42" s="112">
        <v>3.1</v>
      </c>
      <c r="AU42" s="112">
        <v>3.5</v>
      </c>
      <c r="AV42" s="125">
        <v>3.5</v>
      </c>
      <c r="AW42" s="7">
        <f t="shared" si="4"/>
        <v>3.2</v>
      </c>
      <c r="AX42" s="7">
        <f t="shared" si="5"/>
        <v>32.169908772759484</v>
      </c>
    </row>
    <row r="43" spans="2:50" ht="15" thickBot="1" x14ac:dyDescent="0.35">
      <c r="AP43" s="120">
        <v>39</v>
      </c>
      <c r="AQ43" s="112" t="s">
        <v>149</v>
      </c>
      <c r="AR43" s="112">
        <v>28.01</v>
      </c>
      <c r="AS43" s="112">
        <v>3.2</v>
      </c>
      <c r="AT43" s="112">
        <v>3.1</v>
      </c>
      <c r="AU43" s="112">
        <v>3.3</v>
      </c>
      <c r="AV43" s="125">
        <v>2.8</v>
      </c>
      <c r="AW43" s="7">
        <f t="shared" si="4"/>
        <v>3.1000000000000005</v>
      </c>
      <c r="AX43" s="7">
        <f t="shared" si="5"/>
        <v>30.190705400997921</v>
      </c>
    </row>
    <row r="44" spans="2:50" ht="15" thickBot="1" x14ac:dyDescent="0.35">
      <c r="AP44" s="120">
        <v>40</v>
      </c>
      <c r="AQ44" s="112" t="s">
        <v>149</v>
      </c>
      <c r="AR44" s="112">
        <v>29.28</v>
      </c>
      <c r="AS44" s="112">
        <v>3.6</v>
      </c>
      <c r="AT44" s="112">
        <v>2.7</v>
      </c>
      <c r="AU44" s="112">
        <v>4</v>
      </c>
      <c r="AV44" s="125">
        <v>4.3</v>
      </c>
      <c r="AW44" s="7">
        <f t="shared" si="4"/>
        <v>3.6500000000000004</v>
      </c>
      <c r="AX44" s="7">
        <f t="shared" si="5"/>
        <v>41.853868127450028</v>
      </c>
    </row>
    <row r="45" spans="2:50" ht="15" thickBot="1" x14ac:dyDescent="0.35">
      <c r="AP45" s="120">
        <v>41</v>
      </c>
      <c r="AQ45" s="112" t="s">
        <v>149</v>
      </c>
      <c r="AR45" s="112">
        <v>44.25</v>
      </c>
      <c r="AS45" s="112">
        <v>4.5999999999999996</v>
      </c>
      <c r="AT45" s="112">
        <v>6</v>
      </c>
      <c r="AU45" s="112">
        <v>5.3</v>
      </c>
      <c r="AV45" s="125">
        <v>4.0999999999999996</v>
      </c>
      <c r="AW45" s="7">
        <f t="shared" si="4"/>
        <v>5</v>
      </c>
      <c r="AX45" s="7">
        <f t="shared" si="5"/>
        <v>78.539816339744831</v>
      </c>
    </row>
    <row r="46" spans="2:50" ht="15" thickBot="1" x14ac:dyDescent="0.35">
      <c r="AP46" s="120">
        <v>42</v>
      </c>
      <c r="AQ46" s="112" t="s">
        <v>149</v>
      </c>
      <c r="AR46" s="112">
        <v>23.87</v>
      </c>
      <c r="AS46" s="112">
        <v>3</v>
      </c>
      <c r="AT46" s="112">
        <v>2.7</v>
      </c>
      <c r="AU46" s="112">
        <v>2.9</v>
      </c>
      <c r="AV46" s="125">
        <v>2.8</v>
      </c>
      <c r="AW46" s="7">
        <f t="shared" si="4"/>
        <v>2.8499999999999996</v>
      </c>
      <c r="AX46" s="7">
        <f t="shared" si="5"/>
        <v>25.517586328783089</v>
      </c>
    </row>
    <row r="47" spans="2:50" ht="15" thickBot="1" x14ac:dyDescent="0.35">
      <c r="AP47" s="119">
        <v>43</v>
      </c>
      <c r="AQ47" s="111" t="s">
        <v>82</v>
      </c>
      <c r="AR47" s="111">
        <v>15.28</v>
      </c>
      <c r="AS47" s="111">
        <v>2.2000000000000002</v>
      </c>
      <c r="AT47" s="111">
        <v>1.6</v>
      </c>
      <c r="AU47" s="111">
        <v>1.7</v>
      </c>
      <c r="AV47" s="124">
        <v>2.1</v>
      </c>
      <c r="AW47" s="7">
        <f t="shared" si="4"/>
        <v>1.9</v>
      </c>
      <c r="AX47" s="7">
        <f t="shared" si="5"/>
        <v>11.341149479459153</v>
      </c>
    </row>
    <row r="48" spans="2:50" ht="15" thickBot="1" x14ac:dyDescent="0.35">
      <c r="AP48" s="119">
        <v>44</v>
      </c>
      <c r="AQ48" s="111" t="s">
        <v>82</v>
      </c>
      <c r="AR48" s="111">
        <v>11.14</v>
      </c>
      <c r="AS48" s="111">
        <v>1</v>
      </c>
      <c r="AT48" s="111">
        <v>1.6</v>
      </c>
      <c r="AU48" s="111">
        <v>1.7</v>
      </c>
      <c r="AV48" s="124">
        <v>1.2</v>
      </c>
      <c r="AW48" s="7">
        <f t="shared" si="4"/>
        <v>1.375</v>
      </c>
      <c r="AX48" s="7">
        <f t="shared" si="5"/>
        <v>5.9395736106932029</v>
      </c>
    </row>
    <row r="49" spans="42:50" ht="15" thickBot="1" x14ac:dyDescent="0.35">
      <c r="AP49" s="120">
        <v>45</v>
      </c>
      <c r="AQ49" s="112" t="s">
        <v>149</v>
      </c>
      <c r="AR49" s="112">
        <v>26.42</v>
      </c>
      <c r="AS49" s="112">
        <v>3.1</v>
      </c>
      <c r="AT49" s="112">
        <v>3.4</v>
      </c>
      <c r="AU49" s="112">
        <v>3.2</v>
      </c>
      <c r="AV49" s="125">
        <v>3.3</v>
      </c>
      <c r="AW49" s="7">
        <f t="shared" si="4"/>
        <v>3.25</v>
      </c>
      <c r="AX49" s="7">
        <f t="shared" si="5"/>
        <v>33.183072403542191</v>
      </c>
    </row>
    <row r="50" spans="42:50" ht="15" thickBot="1" x14ac:dyDescent="0.35">
      <c r="AP50" s="120">
        <v>46</v>
      </c>
      <c r="AQ50" s="112" t="s">
        <v>149</v>
      </c>
      <c r="AR50" s="112">
        <v>8.2799999999999994</v>
      </c>
      <c r="AS50" s="112">
        <v>1.2</v>
      </c>
      <c r="AT50" s="112">
        <v>1.1000000000000001</v>
      </c>
      <c r="AU50" s="112">
        <v>1</v>
      </c>
      <c r="AV50" s="125">
        <v>1.2</v>
      </c>
      <c r="AW50" s="7">
        <f t="shared" si="4"/>
        <v>1.125</v>
      </c>
      <c r="AX50" s="7">
        <f t="shared" si="5"/>
        <v>3.9760782021995817</v>
      </c>
    </row>
    <row r="51" spans="42:50" ht="15" thickBot="1" x14ac:dyDescent="0.35">
      <c r="AP51" s="119">
        <v>47</v>
      </c>
      <c r="AQ51" s="111" t="s">
        <v>82</v>
      </c>
      <c r="AR51" s="111">
        <v>46.15</v>
      </c>
      <c r="AS51" s="111">
        <v>4.9000000000000004</v>
      </c>
      <c r="AT51" s="111">
        <v>4.5999999999999996</v>
      </c>
      <c r="AU51" s="111">
        <v>3.9</v>
      </c>
      <c r="AV51" s="124">
        <v>5.3</v>
      </c>
      <c r="AW51" s="7">
        <f t="shared" si="4"/>
        <v>4.6749999999999998</v>
      </c>
      <c r="AX51" s="7">
        <f t="shared" si="5"/>
        <v>68.661470939613423</v>
      </c>
    </row>
  </sheetData>
  <mergeCells count="23">
    <mergeCell ref="M3:M4"/>
    <mergeCell ref="N3:N4"/>
    <mergeCell ref="A2:L2"/>
    <mergeCell ref="H3:H4"/>
    <mergeCell ref="B3:B4"/>
    <mergeCell ref="C3:C4"/>
    <mergeCell ref="D3:G3"/>
    <mergeCell ref="I3:L3"/>
    <mergeCell ref="X3:X4"/>
    <mergeCell ref="Y3:Y4"/>
    <mergeCell ref="Z3:Z4"/>
    <mergeCell ref="AA3:AD3"/>
    <mergeCell ref="X2:AD2"/>
    <mergeCell ref="AH21:AN28"/>
    <mergeCell ref="AP3:AP4"/>
    <mergeCell ref="AQ3:AQ4"/>
    <mergeCell ref="AR3:AR4"/>
    <mergeCell ref="AS3:AV3"/>
    <mergeCell ref="AP2:AV2"/>
    <mergeCell ref="AI14:AJ14"/>
    <mergeCell ref="AI15:AJ15"/>
    <mergeCell ref="AI16:AJ16"/>
    <mergeCell ref="AI17:AJ17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84"/>
  <sheetViews>
    <sheetView topLeftCell="A5" workbookViewId="0">
      <selection activeCell="D26" sqref="D26"/>
    </sheetView>
  </sheetViews>
  <sheetFormatPr defaultRowHeight="14.4" x14ac:dyDescent="0.3"/>
  <cols>
    <col min="2" max="2" width="7" customWidth="1"/>
    <col min="3" max="3" width="5.6640625" customWidth="1"/>
    <col min="4" max="4" width="6.77734375" customWidth="1"/>
    <col min="5" max="6" width="5.6640625" customWidth="1"/>
    <col min="7" max="7" width="7.77734375" customWidth="1"/>
    <col min="8" max="8" width="7.6640625" customWidth="1"/>
    <col min="9" max="10" width="6.33203125" customWidth="1"/>
    <col min="11" max="11" width="8" customWidth="1"/>
    <col min="12" max="12" width="7" customWidth="1"/>
    <col min="13" max="13" width="8.109375" customWidth="1"/>
    <col min="15" max="15" width="12.6640625" customWidth="1"/>
  </cols>
  <sheetData>
    <row r="1" spans="1:20" ht="32.4" customHeight="1" x14ac:dyDescent="0.3">
      <c r="A1" s="489" t="s">
        <v>258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218"/>
      <c r="O1" s="218"/>
    </row>
    <row r="2" spans="1:20" s="221" customFormat="1" ht="42.6" customHeight="1" x14ac:dyDescent="0.3">
      <c r="A2" s="489" t="s">
        <v>259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</row>
    <row r="3" spans="1:20" s="221" customFormat="1" x14ac:dyDescent="0.3">
      <c r="A3" s="488" t="s">
        <v>260</v>
      </c>
      <c r="B3" s="488"/>
      <c r="C3" s="488"/>
      <c r="D3" s="488"/>
      <c r="E3" s="488"/>
      <c r="F3" s="488"/>
      <c r="G3" s="488"/>
      <c r="H3" s="488"/>
      <c r="I3" s="488"/>
      <c r="J3" s="488"/>
      <c r="K3" s="488"/>
    </row>
    <row r="4" spans="1:20" s="221" customFormat="1" x14ac:dyDescent="0.3">
      <c r="A4" s="488" t="s">
        <v>261</v>
      </c>
      <c r="B4" s="488"/>
      <c r="C4" s="488"/>
      <c r="D4" s="488"/>
      <c r="E4" s="488"/>
      <c r="F4" s="488"/>
      <c r="G4" s="488"/>
      <c r="H4" s="488"/>
      <c r="I4" s="488"/>
      <c r="J4" s="488"/>
      <c r="K4" s="488"/>
    </row>
    <row r="5" spans="1:20" s="290" customFormat="1" x14ac:dyDescent="0.3">
      <c r="A5" s="309"/>
      <c r="B5" s="309"/>
      <c r="C5" s="309"/>
      <c r="D5" s="309"/>
      <c r="E5" s="309"/>
      <c r="F5" s="309"/>
      <c r="G5" s="309"/>
      <c r="H5" s="309"/>
      <c r="I5" s="309"/>
      <c r="J5" s="309"/>
      <c r="K5" s="309"/>
    </row>
    <row r="6" spans="1:20" ht="15" thickBot="1" x14ac:dyDescent="0.35">
      <c r="A6" s="310" t="s">
        <v>284</v>
      </c>
      <c r="B6" s="221"/>
      <c r="C6" s="221"/>
      <c r="D6" s="221"/>
      <c r="E6" s="221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20" ht="28.2" thickBot="1" x14ac:dyDescent="0.35">
      <c r="A7" s="218"/>
      <c r="B7" s="222" t="s">
        <v>250</v>
      </c>
      <c r="C7" s="490" t="s">
        <v>251</v>
      </c>
      <c r="D7" s="491"/>
      <c r="E7" s="491"/>
      <c r="F7" s="491"/>
      <c r="G7" s="492"/>
      <c r="H7" s="493" t="s">
        <v>252</v>
      </c>
      <c r="I7" s="493" t="s">
        <v>253</v>
      </c>
      <c r="J7" s="495" t="s">
        <v>254</v>
      </c>
      <c r="K7" s="486" t="s">
        <v>75</v>
      </c>
      <c r="L7" s="487"/>
      <c r="M7" s="223" t="s">
        <v>255</v>
      </c>
      <c r="N7" s="221"/>
      <c r="O7" s="315" t="s">
        <v>349</v>
      </c>
      <c r="P7" s="316"/>
      <c r="Q7" s="220"/>
      <c r="R7" s="220"/>
      <c r="S7" s="220"/>
      <c r="T7" s="220"/>
    </row>
    <row r="8" spans="1:20" ht="15" thickBot="1" x14ac:dyDescent="0.35">
      <c r="A8" s="218"/>
      <c r="B8" s="224" t="s">
        <v>78</v>
      </c>
      <c r="C8" s="490" t="s">
        <v>256</v>
      </c>
      <c r="D8" s="491"/>
      <c r="E8" s="491"/>
      <c r="F8" s="492"/>
      <c r="G8" s="236" t="s">
        <v>257</v>
      </c>
      <c r="H8" s="494"/>
      <c r="I8" s="494"/>
      <c r="J8" s="496"/>
      <c r="K8" s="225" t="s">
        <v>78</v>
      </c>
      <c r="L8" s="226" t="s">
        <v>49</v>
      </c>
      <c r="M8" s="226" t="s">
        <v>49</v>
      </c>
      <c r="N8" s="221"/>
      <c r="O8" s="220"/>
      <c r="P8" s="220"/>
      <c r="Q8" s="220"/>
      <c r="R8" s="220"/>
      <c r="S8" s="220"/>
      <c r="T8" s="220"/>
    </row>
    <row r="9" spans="1:20" ht="15" thickBot="1" x14ac:dyDescent="0.35">
      <c r="A9" s="218"/>
      <c r="B9" s="224">
        <v>5</v>
      </c>
      <c r="C9" s="227"/>
      <c r="D9" s="227"/>
      <c r="E9" s="227"/>
      <c r="F9" s="228"/>
      <c r="G9" s="228"/>
      <c r="H9" s="228"/>
      <c r="I9" s="228"/>
      <c r="J9" s="229"/>
      <c r="K9" s="230">
        <v>37.5</v>
      </c>
      <c r="L9" s="231">
        <v>23</v>
      </c>
      <c r="M9" s="231">
        <v>23</v>
      </c>
      <c r="N9" s="221"/>
      <c r="O9" s="220"/>
      <c r="P9" s="220"/>
      <c r="Q9" s="220"/>
      <c r="R9" s="220"/>
      <c r="S9" s="220"/>
      <c r="T9" s="220"/>
    </row>
    <row r="10" spans="1:20" ht="15" thickBot="1" x14ac:dyDescent="0.35">
      <c r="A10" s="218"/>
      <c r="B10" s="224">
        <v>10</v>
      </c>
      <c r="C10" s="227"/>
      <c r="D10" s="227"/>
      <c r="E10" s="227"/>
      <c r="F10" s="228"/>
      <c r="G10" s="228"/>
      <c r="H10" s="228"/>
      <c r="I10" s="228"/>
      <c r="J10" s="229"/>
      <c r="K10" s="230">
        <v>28.7</v>
      </c>
      <c r="L10" s="231">
        <v>20.5</v>
      </c>
      <c r="M10" s="231">
        <v>23</v>
      </c>
      <c r="N10" s="221"/>
      <c r="O10" s="220"/>
      <c r="P10" s="220"/>
      <c r="Q10" s="220"/>
      <c r="R10" s="220"/>
      <c r="S10" s="220"/>
      <c r="T10" s="220"/>
    </row>
    <row r="11" spans="1:20" ht="15" thickBot="1" x14ac:dyDescent="0.35">
      <c r="A11" s="218"/>
      <c r="B11" s="224">
        <v>15</v>
      </c>
      <c r="C11" s="227"/>
      <c r="D11" s="227"/>
      <c r="E11" s="227"/>
      <c r="F11" s="228"/>
      <c r="G11" s="228"/>
      <c r="H11" s="228"/>
      <c r="I11" s="228"/>
      <c r="J11" s="229"/>
      <c r="K11" s="230">
        <v>35</v>
      </c>
      <c r="L11" s="231">
        <v>19</v>
      </c>
      <c r="M11" s="231">
        <v>20.5</v>
      </c>
      <c r="N11" s="221"/>
      <c r="O11" s="220" t="s">
        <v>277</v>
      </c>
      <c r="P11" s="220"/>
      <c r="Q11" s="220"/>
      <c r="R11" s="220"/>
      <c r="S11" s="220"/>
      <c r="T11" s="220"/>
    </row>
    <row r="12" spans="1:20" ht="15" thickBot="1" x14ac:dyDescent="0.35">
      <c r="A12" s="218"/>
      <c r="B12" s="224">
        <v>20</v>
      </c>
      <c r="C12" s="227"/>
      <c r="D12" s="227"/>
      <c r="E12" s="227"/>
      <c r="F12" s="228"/>
      <c r="G12" s="228"/>
      <c r="H12" s="228"/>
      <c r="I12" s="228"/>
      <c r="J12" s="229"/>
      <c r="K12" s="230">
        <v>32.5</v>
      </c>
      <c r="L12" s="231">
        <v>20</v>
      </c>
      <c r="M12" s="231">
        <v>19</v>
      </c>
      <c r="N12" s="221"/>
      <c r="O12" s="262" t="s">
        <v>194</v>
      </c>
      <c r="P12" s="263" t="s">
        <v>205</v>
      </c>
      <c r="Q12" s="263" t="s">
        <v>111</v>
      </c>
      <c r="R12" s="263" t="s">
        <v>112</v>
      </c>
      <c r="S12" s="263" t="s">
        <v>113</v>
      </c>
      <c r="T12" s="263" t="s">
        <v>114</v>
      </c>
    </row>
    <row r="13" spans="1:20" ht="15" thickBot="1" x14ac:dyDescent="0.35">
      <c r="A13" s="218"/>
      <c r="B13" s="224">
        <v>25</v>
      </c>
      <c r="C13" s="227"/>
      <c r="D13" s="227"/>
      <c r="E13" s="227"/>
      <c r="F13" s="228"/>
      <c r="G13" s="228"/>
      <c r="H13" s="228"/>
      <c r="I13" s="228"/>
      <c r="J13" s="229"/>
      <c r="K13" s="230">
        <v>42.5</v>
      </c>
      <c r="L13" s="231">
        <v>23</v>
      </c>
      <c r="M13" s="231">
        <v>23</v>
      </c>
      <c r="N13" s="221"/>
      <c r="O13" s="238" t="s">
        <v>165</v>
      </c>
      <c r="P13" s="240">
        <v>1</v>
      </c>
      <c r="Q13" s="240">
        <v>7.9500000000000001E-2</v>
      </c>
      <c r="R13" s="240">
        <v>2.1100000000000001E-2</v>
      </c>
      <c r="S13" s="240">
        <v>2.5399999999999999E-2</v>
      </c>
      <c r="T13" s="240">
        <v>-1.1657999999999999</v>
      </c>
    </row>
    <row r="14" spans="1:20" ht="15" thickBot="1" x14ac:dyDescent="0.35">
      <c r="A14" s="218"/>
      <c r="B14" s="224">
        <v>30</v>
      </c>
      <c r="C14" s="232" t="s">
        <v>62</v>
      </c>
      <c r="D14" s="233" t="s">
        <v>59</v>
      </c>
      <c r="E14" s="227"/>
      <c r="F14" s="228">
        <v>7</v>
      </c>
      <c r="G14" s="228">
        <v>70</v>
      </c>
      <c r="H14" s="234">
        <v>5.0640000000000001</v>
      </c>
      <c r="I14" s="228">
        <v>20.5</v>
      </c>
      <c r="J14" s="229">
        <v>43.26</v>
      </c>
      <c r="K14" s="230">
        <v>32</v>
      </c>
      <c r="L14" s="231">
        <v>20.5</v>
      </c>
      <c r="M14" s="231">
        <v>21.5</v>
      </c>
      <c r="N14" s="221"/>
      <c r="O14" s="220"/>
      <c r="P14" s="220"/>
      <c r="Q14" s="220"/>
      <c r="R14" s="220"/>
      <c r="S14" s="220"/>
      <c r="T14" s="220"/>
    </row>
    <row r="15" spans="1:20" ht="15" thickBot="1" x14ac:dyDescent="0.35">
      <c r="A15" s="218"/>
      <c r="B15" s="224">
        <v>35</v>
      </c>
      <c r="C15" s="232" t="s">
        <v>62</v>
      </c>
      <c r="D15" s="232" t="s">
        <v>62</v>
      </c>
      <c r="E15" s="227"/>
      <c r="F15" s="228">
        <v>10</v>
      </c>
      <c r="G15" s="228">
        <v>100</v>
      </c>
      <c r="H15" s="234">
        <v>9.6210000000000004</v>
      </c>
      <c r="I15" s="228">
        <v>19.5</v>
      </c>
      <c r="J15" s="229">
        <v>75.599999999999994</v>
      </c>
      <c r="K15" s="230"/>
      <c r="L15" s="231"/>
      <c r="M15" s="231">
        <v>20</v>
      </c>
      <c r="N15" s="221"/>
      <c r="O15" s="306" t="s">
        <v>350</v>
      </c>
      <c r="P15" s="220"/>
      <c r="Q15" s="220"/>
      <c r="R15" s="220"/>
      <c r="S15" s="220"/>
      <c r="T15" s="220"/>
    </row>
    <row r="16" spans="1:20" ht="15" thickBot="1" x14ac:dyDescent="0.35">
      <c r="A16" s="218"/>
      <c r="B16" s="224">
        <v>40</v>
      </c>
      <c r="C16" s="233" t="s">
        <v>262</v>
      </c>
      <c r="D16" s="233"/>
      <c r="E16" s="227"/>
      <c r="F16" s="228">
        <v>3</v>
      </c>
      <c r="G16" s="228">
        <v>30</v>
      </c>
      <c r="H16" s="234">
        <v>3.3130000000000002</v>
      </c>
      <c r="I16" s="228">
        <v>23</v>
      </c>
      <c r="J16" s="229">
        <v>31.29</v>
      </c>
      <c r="K16" s="230"/>
      <c r="L16" s="231"/>
      <c r="M16" s="231">
        <v>22.8</v>
      </c>
      <c r="N16" s="221"/>
      <c r="O16" s="220"/>
      <c r="P16" s="220"/>
      <c r="Q16" s="220"/>
      <c r="R16" s="220"/>
      <c r="S16" s="220"/>
      <c r="T16" s="220"/>
    </row>
    <row r="17" spans="1:20" ht="15" thickBot="1" x14ac:dyDescent="0.35">
      <c r="A17" s="218"/>
      <c r="B17" s="224">
        <v>45</v>
      </c>
      <c r="C17" s="233" t="s">
        <v>66</v>
      </c>
      <c r="D17" s="233"/>
      <c r="E17" s="227"/>
      <c r="F17" s="228">
        <v>1</v>
      </c>
      <c r="G17" s="228">
        <v>10</v>
      </c>
      <c r="H17" s="234">
        <v>1.419</v>
      </c>
      <c r="I17" s="228">
        <v>23</v>
      </c>
      <c r="J17" s="229">
        <v>13.34</v>
      </c>
      <c r="K17" s="230"/>
      <c r="L17" s="231"/>
      <c r="M17" s="231">
        <v>19.5</v>
      </c>
      <c r="N17" s="221"/>
      <c r="O17" s="220"/>
      <c r="P17" s="220"/>
      <c r="Q17" s="220"/>
      <c r="R17" s="220"/>
      <c r="S17" s="220"/>
      <c r="T17" s="220"/>
    </row>
    <row r="18" spans="1:20" ht="15" thickBot="1" x14ac:dyDescent="0.35">
      <c r="A18" s="218"/>
      <c r="B18" s="224">
        <v>50</v>
      </c>
      <c r="C18" s="227"/>
      <c r="D18" s="227"/>
      <c r="E18" s="227"/>
      <c r="F18" s="228"/>
      <c r="G18" s="228"/>
      <c r="H18" s="228"/>
      <c r="I18" s="228"/>
      <c r="J18" s="229"/>
      <c r="K18" s="230"/>
      <c r="L18" s="231"/>
      <c r="M18" s="231">
        <v>21</v>
      </c>
      <c r="N18" s="221"/>
      <c r="O18" s="220" t="s">
        <v>278</v>
      </c>
      <c r="P18" s="220"/>
      <c r="Q18" s="220"/>
      <c r="R18" s="220"/>
      <c r="S18" s="220"/>
      <c r="T18" s="220"/>
    </row>
    <row r="19" spans="1:20" ht="15" thickBot="1" x14ac:dyDescent="0.35">
      <c r="A19" s="218"/>
      <c r="B19" s="224"/>
      <c r="C19" s="227"/>
      <c r="D19" s="227"/>
      <c r="E19" s="227"/>
      <c r="F19" s="228"/>
      <c r="G19" s="228"/>
      <c r="H19" s="228"/>
      <c r="I19" s="228"/>
      <c r="J19" s="229"/>
      <c r="K19" s="235"/>
      <c r="L19" s="228"/>
      <c r="M19" s="228"/>
      <c r="N19" s="221"/>
      <c r="O19" s="262" t="s">
        <v>194</v>
      </c>
      <c r="P19" s="263" t="s">
        <v>205</v>
      </c>
      <c r="Q19" s="263" t="s">
        <v>111</v>
      </c>
      <c r="R19" s="263" t="s">
        <v>112</v>
      </c>
      <c r="S19" s="263" t="s">
        <v>113</v>
      </c>
    </row>
    <row r="20" spans="1:20" ht="15" thickBot="1" x14ac:dyDescent="0.35">
      <c r="A20" s="218"/>
      <c r="B20" s="470" t="s">
        <v>263</v>
      </c>
      <c r="C20" s="471"/>
      <c r="D20" s="470"/>
      <c r="E20" s="473"/>
      <c r="F20" s="471"/>
      <c r="G20" s="228">
        <v>210</v>
      </c>
      <c r="H20" s="228">
        <v>19.420000000000002</v>
      </c>
      <c r="I20" s="228"/>
      <c r="J20" s="228">
        <v>163.49</v>
      </c>
      <c r="K20" s="470"/>
      <c r="L20" s="471"/>
      <c r="M20" s="228"/>
      <c r="N20" s="221"/>
      <c r="O20" s="238" t="s">
        <v>165</v>
      </c>
      <c r="P20" s="240" t="s">
        <v>279</v>
      </c>
      <c r="Q20" s="240">
        <v>0.752</v>
      </c>
      <c r="R20" s="264">
        <v>2.0706000000000002</v>
      </c>
      <c r="S20" s="265">
        <v>0.80310000000000004</v>
      </c>
    </row>
    <row r="21" spans="1:20" ht="15" thickBot="1" x14ac:dyDescent="0.35">
      <c r="A21" s="221"/>
      <c r="B21" s="470" t="s">
        <v>264</v>
      </c>
      <c r="C21" s="471"/>
      <c r="D21" s="342"/>
      <c r="E21" s="472"/>
      <c r="F21" s="472"/>
      <c r="G21" s="472"/>
      <c r="H21" s="343"/>
      <c r="I21" s="228">
        <v>20.262</v>
      </c>
      <c r="J21" s="470"/>
      <c r="K21" s="473"/>
      <c r="L21" s="471"/>
      <c r="M21" s="228">
        <v>21.3</v>
      </c>
      <c r="N21" s="221"/>
      <c r="O21" s="221"/>
    </row>
    <row r="22" spans="1:20" x14ac:dyDescent="0.3">
      <c r="N22" s="237" t="s">
        <v>266</v>
      </c>
      <c r="O22" s="241">
        <f>10000/1000</f>
        <v>10</v>
      </c>
    </row>
    <row r="23" spans="1:20" x14ac:dyDescent="0.3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 t="s">
        <v>265</v>
      </c>
      <c r="O23" s="241">
        <f>AVERAGE(M9:M18)</f>
        <v>21.330000000000002</v>
      </c>
    </row>
    <row r="24" spans="1:20" x14ac:dyDescent="0.3">
      <c r="B24" s="243" t="s">
        <v>268</v>
      </c>
      <c r="C24" s="237"/>
      <c r="D24" s="242" t="s">
        <v>267</v>
      </c>
      <c r="E24" s="237"/>
      <c r="F24" s="237"/>
      <c r="G24" s="237"/>
      <c r="H24" s="237"/>
      <c r="I24" s="237"/>
      <c r="J24" s="237"/>
      <c r="K24" s="237"/>
      <c r="L24" s="237"/>
      <c r="M24" s="237"/>
      <c r="N24" s="237" t="s">
        <v>161</v>
      </c>
      <c r="O24" s="241">
        <f>SUM(F14:F17)*O22</f>
        <v>210</v>
      </c>
    </row>
    <row r="25" spans="1:20" ht="43.2" x14ac:dyDescent="0.3">
      <c r="A25" s="438" t="s">
        <v>293</v>
      </c>
      <c r="B25" s="438"/>
      <c r="C25" s="244" t="s">
        <v>269</v>
      </c>
      <c r="D25" s="245" t="s">
        <v>270</v>
      </c>
      <c r="E25" s="244" t="s">
        <v>271</v>
      </c>
      <c r="F25" s="246" t="s">
        <v>272</v>
      </c>
      <c r="G25" s="247" t="s">
        <v>273</v>
      </c>
      <c r="H25" s="281" t="s">
        <v>292</v>
      </c>
      <c r="I25" s="248" t="s">
        <v>274</v>
      </c>
      <c r="J25" s="249" t="s">
        <v>275</v>
      </c>
      <c r="K25" s="250" t="s">
        <v>285</v>
      </c>
      <c r="M25" s="237"/>
      <c r="N25" s="237"/>
      <c r="O25" s="237"/>
    </row>
    <row r="26" spans="1:20" x14ac:dyDescent="0.3">
      <c r="A26" s="485" t="str">
        <f>CONCATENATE(    "[ ",   C26,   " - ",   E26," ["   )</f>
        <v>[ 27.5 - 32.5 [</v>
      </c>
      <c r="B26" s="485"/>
      <c r="C26" s="251">
        <f>D26-2.5</f>
        <v>27.5</v>
      </c>
      <c r="D26" s="252">
        <f>B14</f>
        <v>30</v>
      </c>
      <c r="E26" s="251">
        <f>D26+2.5</f>
        <v>32.5</v>
      </c>
      <c r="F26" s="253">
        <f>F14</f>
        <v>7</v>
      </c>
      <c r="G26" s="283">
        <f>PI()*D26^2/40000</f>
        <v>7.0685834705770348E-2</v>
      </c>
      <c r="H26" s="282">
        <f>G26*F26</f>
        <v>0.49480084294039245</v>
      </c>
      <c r="I26" s="254">
        <f>$O$23*(1+($Q$13+$R$13*$O$24/1000)*EXP($S$13*$O$23))*(1-EXP($T$13*D26/$O$23))</f>
        <v>19.67138008186501</v>
      </c>
      <c r="J26" s="255">
        <f>$Q$20*(D26/100)^$R$20*I26^$S$20</f>
        <v>0.68018000714488869</v>
      </c>
      <c r="K26" s="287">
        <f>J26*F26</f>
        <v>4.7612600500142204</v>
      </c>
      <c r="M26" s="257"/>
      <c r="N26" s="237"/>
      <c r="O26" s="237"/>
    </row>
    <row r="27" spans="1:20" x14ac:dyDescent="0.3">
      <c r="A27" s="485" t="str">
        <f t="shared" ref="A27:A29" si="0">CONCATENATE(    "[ ",   C27,   " - ",   E27," ["   )</f>
        <v>[ 32.5 - 37.5 [</v>
      </c>
      <c r="B27" s="485"/>
      <c r="C27" s="251">
        <f t="shared" ref="C27:C29" si="1">D27-2.5</f>
        <v>32.5</v>
      </c>
      <c r="D27" s="308">
        <f t="shared" ref="D27:D29" si="2">B15</f>
        <v>35</v>
      </c>
      <c r="E27" s="251">
        <f t="shared" ref="E27:E29" si="3">D27+2.5</f>
        <v>37.5</v>
      </c>
      <c r="F27" s="307">
        <f t="shared" ref="F27:F29" si="4">F15</f>
        <v>10</v>
      </c>
      <c r="G27" s="283">
        <f t="shared" ref="G27:G28" si="5">PI()*D27^2/40000</f>
        <v>9.6211275016187411E-2</v>
      </c>
      <c r="H27" s="282">
        <f t="shared" ref="H27:H29" si="6">G27*F27</f>
        <v>0.96211275016187414</v>
      </c>
      <c r="I27" s="254">
        <f t="shared" ref="I27:I29" si="7">$O$23*(1+($Q$13+$R$13*$O$24/1000)*EXP($S$13*$O$23))*(1-EXP($T$13*D27/$O$23))</f>
        <v>20.803885667356216</v>
      </c>
      <c r="J27" s="255">
        <f t="shared" ref="J27:J29" si="8">$Q$20*(D27/100)^$R$20*I27^$S$20</f>
        <v>0.97896450984097882</v>
      </c>
      <c r="K27" s="287">
        <f t="shared" ref="K27:K29" si="9">J27*F27</f>
        <v>9.7896450984097889</v>
      </c>
      <c r="M27" s="237"/>
      <c r="N27" s="237"/>
      <c r="O27" s="237"/>
    </row>
    <row r="28" spans="1:20" x14ac:dyDescent="0.3">
      <c r="A28" s="485" t="str">
        <f t="shared" si="0"/>
        <v>[ 37.5 - 42.5 [</v>
      </c>
      <c r="B28" s="485"/>
      <c r="C28" s="251">
        <f t="shared" si="1"/>
        <v>37.5</v>
      </c>
      <c r="D28" s="308">
        <f t="shared" si="2"/>
        <v>40</v>
      </c>
      <c r="E28" s="251">
        <f t="shared" si="3"/>
        <v>42.5</v>
      </c>
      <c r="F28" s="307">
        <f t="shared" si="4"/>
        <v>3</v>
      </c>
      <c r="G28" s="283">
        <f t="shared" si="5"/>
        <v>0.12566370614359174</v>
      </c>
      <c r="H28" s="282">
        <f t="shared" si="6"/>
        <v>0.37699111843077521</v>
      </c>
      <c r="I28" s="254">
        <f t="shared" si="7"/>
        <v>21.665588711366365</v>
      </c>
      <c r="J28" s="255">
        <f t="shared" si="8"/>
        <v>1.3335230986630093</v>
      </c>
      <c r="K28" s="287">
        <f t="shared" si="9"/>
        <v>4.0005692959890276</v>
      </c>
      <c r="M28" s="237"/>
      <c r="N28" s="237"/>
      <c r="O28" s="237"/>
    </row>
    <row r="29" spans="1:20" x14ac:dyDescent="0.3">
      <c r="A29" s="485" t="str">
        <f t="shared" si="0"/>
        <v>[ 42.5 - 47.5 [</v>
      </c>
      <c r="B29" s="485"/>
      <c r="C29" s="251">
        <f t="shared" si="1"/>
        <v>42.5</v>
      </c>
      <c r="D29" s="308">
        <f t="shared" si="2"/>
        <v>45</v>
      </c>
      <c r="E29" s="251">
        <f t="shared" si="3"/>
        <v>47.5</v>
      </c>
      <c r="F29" s="307">
        <f t="shared" si="4"/>
        <v>1</v>
      </c>
      <c r="G29" s="283">
        <f>PI()*D29^2/40000</f>
        <v>0.15904312808798327</v>
      </c>
      <c r="H29" s="282">
        <f t="shared" si="6"/>
        <v>0.15904312808798327</v>
      </c>
      <c r="I29" s="254">
        <f t="shared" si="7"/>
        <v>22.321242992960304</v>
      </c>
      <c r="J29" s="255">
        <f t="shared" si="8"/>
        <v>1.7430722897915967</v>
      </c>
      <c r="K29" s="287">
        <f t="shared" si="9"/>
        <v>1.7430722897915967</v>
      </c>
      <c r="M29" s="237"/>
      <c r="N29" s="237"/>
      <c r="O29" s="237"/>
    </row>
    <row r="30" spans="1:20" x14ac:dyDescent="0.3">
      <c r="A30" s="237"/>
      <c r="B30" s="237"/>
      <c r="C30" s="237"/>
      <c r="D30" s="237"/>
      <c r="E30" s="237"/>
      <c r="G30" s="237"/>
      <c r="J30" s="237"/>
      <c r="M30" s="261"/>
      <c r="N30" s="237"/>
      <c r="O30" s="237"/>
    </row>
    <row r="31" spans="1:20" x14ac:dyDescent="0.3">
      <c r="A31" s="237"/>
      <c r="B31" s="237"/>
      <c r="C31" s="237"/>
      <c r="E31" s="67" t="s">
        <v>289</v>
      </c>
      <c r="F31" s="219">
        <f>SUM(F26:F29)</f>
        <v>21</v>
      </c>
      <c r="G31" s="237"/>
      <c r="H31" s="237">
        <f>SUM(H26:H29)</f>
        <v>1.9929478396210252</v>
      </c>
      <c r="I31" s="237"/>
      <c r="J31" s="237"/>
      <c r="K31" s="160">
        <f>SUM(K26:K29)</f>
        <v>20.294546734204637</v>
      </c>
      <c r="N31" s="237"/>
      <c r="O31" s="237"/>
    </row>
    <row r="32" spans="1:20" x14ac:dyDescent="0.3">
      <c r="E32" s="67" t="s">
        <v>290</v>
      </c>
      <c r="F32" s="219">
        <f>F31*$O$22</f>
        <v>210</v>
      </c>
      <c r="G32" s="237"/>
      <c r="H32" s="219">
        <f>H31*$O$22</f>
        <v>19.92947839621025</v>
      </c>
      <c r="I32" s="237"/>
      <c r="J32" s="237"/>
      <c r="K32" s="289">
        <f>K31*$O$22</f>
        <v>202.94546734204636</v>
      </c>
      <c r="L32" s="237"/>
      <c r="M32" s="237"/>
      <c r="N32" s="237"/>
      <c r="O32" s="237"/>
    </row>
    <row r="33" spans="1:19" ht="33.6" customHeight="1" x14ac:dyDescent="0.3">
      <c r="F33" s="285" t="s">
        <v>287</v>
      </c>
      <c r="G33" s="237"/>
      <c r="H33" s="284" t="s">
        <v>286</v>
      </c>
      <c r="I33" s="237"/>
      <c r="J33" s="237"/>
      <c r="K33" s="284" t="s">
        <v>288</v>
      </c>
      <c r="L33" s="237"/>
      <c r="M33" s="237"/>
      <c r="N33" s="237"/>
      <c r="O33" s="237"/>
    </row>
    <row r="34" spans="1:19" s="237" customFormat="1" ht="33.6" customHeight="1" x14ac:dyDescent="0.3">
      <c r="F34" s="285"/>
      <c r="H34" s="284"/>
      <c r="K34" s="284"/>
    </row>
    <row r="35" spans="1:19" ht="15" thickBot="1" x14ac:dyDescent="0.35">
      <c r="A35" s="221"/>
      <c r="B35" s="243" t="s">
        <v>280</v>
      </c>
      <c r="C35" s="237"/>
      <c r="D35" s="242" t="s">
        <v>267</v>
      </c>
      <c r="E35" s="237"/>
      <c r="F35" s="237"/>
      <c r="G35" s="237"/>
      <c r="I35" s="485" t="s">
        <v>291</v>
      </c>
      <c r="J35" s="485"/>
      <c r="K35" s="485"/>
      <c r="L35" s="237"/>
      <c r="M35" s="237"/>
      <c r="O35" s="237"/>
    </row>
    <row r="36" spans="1:19" ht="43.8" thickBot="1" x14ac:dyDescent="0.35">
      <c r="A36" s="438" t="s">
        <v>293</v>
      </c>
      <c r="B36" s="438"/>
      <c r="C36" s="244" t="s">
        <v>269</v>
      </c>
      <c r="D36" s="245" t="s">
        <v>270</v>
      </c>
      <c r="E36" s="244" t="s">
        <v>271</v>
      </c>
      <c r="F36" s="246" t="s">
        <v>272</v>
      </c>
      <c r="G36" s="247" t="s">
        <v>273</v>
      </c>
      <c r="H36" s="281" t="s">
        <v>292</v>
      </c>
      <c r="I36" s="246" t="s">
        <v>281</v>
      </c>
      <c r="J36" s="246" t="s">
        <v>282</v>
      </c>
      <c r="K36" s="248" t="s">
        <v>283</v>
      </c>
      <c r="L36" s="249" t="s">
        <v>275</v>
      </c>
      <c r="M36" s="266" t="s">
        <v>276</v>
      </c>
      <c r="O36" s="486" t="s">
        <v>75</v>
      </c>
      <c r="P36" s="487"/>
      <c r="Q36" s="237"/>
      <c r="R36" s="486" t="s">
        <v>75</v>
      </c>
      <c r="S36" s="487"/>
    </row>
    <row r="37" spans="1:19" ht="15" thickBot="1" x14ac:dyDescent="0.35">
      <c r="A37" s="485" t="str">
        <f>CONCATENATE(    "[ ",   C37,   " - ",   E37," ["   )</f>
        <v>[ 27.5 - 32.5 [</v>
      </c>
      <c r="B37" s="485"/>
      <c r="C37" s="251">
        <v>27.5</v>
      </c>
      <c r="D37" s="252">
        <v>30</v>
      </c>
      <c r="E37" s="251">
        <v>32.5</v>
      </c>
      <c r="F37" s="253">
        <v>7</v>
      </c>
      <c r="G37" s="283">
        <f>PI()*D37^2/40000</f>
        <v>7.0685834705770348E-2</v>
      </c>
      <c r="H37" s="282">
        <f>G37*F37</f>
        <v>0.49480084294039245</v>
      </c>
      <c r="I37" s="267">
        <v>20.5</v>
      </c>
      <c r="J37" s="267">
        <v>20.5</v>
      </c>
      <c r="K37" s="268">
        <f>AVERAGE(I37:J37)</f>
        <v>20.5</v>
      </c>
      <c r="L37" s="255">
        <f>$Q$20*(D37/100)^$R$20*K37^$S$20</f>
        <v>0.70309601496000484</v>
      </c>
      <c r="M37" s="287">
        <f>L37*F37</f>
        <v>4.9216721047200336</v>
      </c>
      <c r="O37" s="239" t="s">
        <v>78</v>
      </c>
      <c r="P37" s="240" t="s">
        <v>49</v>
      </c>
      <c r="Q37" s="237"/>
      <c r="R37" s="239" t="s">
        <v>78</v>
      </c>
      <c r="S37" s="240" t="s">
        <v>49</v>
      </c>
    </row>
    <row r="38" spans="1:19" ht="15" thickBot="1" x14ac:dyDescent="0.35">
      <c r="A38" s="485" t="str">
        <f t="shared" ref="A38:A40" si="10">CONCATENATE(    "[ ",   C38,   " - ",   E38," ["   )</f>
        <v>[ 32.5 - 37.5 [</v>
      </c>
      <c r="B38" s="485"/>
      <c r="C38" s="258">
        <v>32.5</v>
      </c>
      <c r="D38" s="259">
        <v>35</v>
      </c>
      <c r="E38" s="258">
        <v>37.5</v>
      </c>
      <c r="F38" s="260">
        <v>10</v>
      </c>
      <c r="G38" s="283">
        <f t="shared" ref="G38:G39" si="11">PI()*D38^2/40000</f>
        <v>9.6211275016187411E-2</v>
      </c>
      <c r="H38" s="282">
        <f t="shared" ref="H38:H39" si="12">G38*F38</f>
        <v>0.96211275016187414</v>
      </c>
      <c r="I38" s="269">
        <v>19</v>
      </c>
      <c r="J38" s="269">
        <v>20</v>
      </c>
      <c r="K38" s="268">
        <f t="shared" ref="K38:K40" si="13">AVERAGE(I38:J38)</f>
        <v>19.5</v>
      </c>
      <c r="L38" s="255">
        <f t="shared" ref="L38:L40" si="14">$Q$20*(D38/100)^$R$20*K38^$S$20</f>
        <v>0.92937701957820051</v>
      </c>
      <c r="M38" s="256">
        <v>9.293770195782006</v>
      </c>
      <c r="O38" s="273">
        <v>37.5</v>
      </c>
      <c r="P38" s="237"/>
      <c r="Q38" s="237"/>
      <c r="R38" s="274">
        <v>37.5</v>
      </c>
      <c r="S38" s="275">
        <v>23</v>
      </c>
    </row>
    <row r="39" spans="1:19" ht="15" thickBot="1" x14ac:dyDescent="0.35">
      <c r="A39" s="485" t="str">
        <f t="shared" si="10"/>
        <v>[ 37.5 - 42.5 [</v>
      </c>
      <c r="B39" s="485"/>
      <c r="C39" s="258">
        <v>37.5</v>
      </c>
      <c r="D39" s="259">
        <v>40</v>
      </c>
      <c r="E39" s="258">
        <v>42.5</v>
      </c>
      <c r="F39" s="260">
        <v>3</v>
      </c>
      <c r="G39" s="283">
        <f t="shared" si="11"/>
        <v>0.12566370614359174</v>
      </c>
      <c r="H39" s="282">
        <f t="shared" si="12"/>
        <v>0.37699111843077521</v>
      </c>
      <c r="I39" s="270">
        <v>23</v>
      </c>
      <c r="J39" s="271"/>
      <c r="K39" s="268">
        <f t="shared" si="13"/>
        <v>23</v>
      </c>
      <c r="L39" s="255">
        <f t="shared" si="14"/>
        <v>1.3990939665407089</v>
      </c>
      <c r="M39" s="256">
        <v>4.1972818996221264</v>
      </c>
      <c r="O39" s="276">
        <v>28.7</v>
      </c>
      <c r="P39" s="237"/>
      <c r="Q39" s="237"/>
      <c r="R39" s="274">
        <v>28.7</v>
      </c>
      <c r="S39" s="277">
        <v>20.5</v>
      </c>
    </row>
    <row r="40" spans="1:19" ht="15" thickBot="1" x14ac:dyDescent="0.35">
      <c r="A40" s="485" t="str">
        <f t="shared" si="10"/>
        <v>[ 42.5 - 47.5 [</v>
      </c>
      <c r="B40" s="485"/>
      <c r="C40" s="258">
        <v>42.5</v>
      </c>
      <c r="D40" s="259">
        <v>45</v>
      </c>
      <c r="E40" s="258">
        <v>47.5</v>
      </c>
      <c r="F40" s="260">
        <v>1</v>
      </c>
      <c r="G40" s="283">
        <f>PI()*D40^2/40000</f>
        <v>0.15904312808798327</v>
      </c>
      <c r="H40" s="282">
        <f>G40*F40</f>
        <v>0.15904312808798327</v>
      </c>
      <c r="I40" s="272">
        <v>23</v>
      </c>
      <c r="J40" s="271"/>
      <c r="K40" s="268">
        <f t="shared" si="13"/>
        <v>23</v>
      </c>
      <c r="L40" s="255">
        <f t="shared" si="14"/>
        <v>1.785514151821094</v>
      </c>
      <c r="M40" s="256">
        <v>1.785514151821094</v>
      </c>
      <c r="O40" s="278">
        <v>35</v>
      </c>
      <c r="P40" s="237"/>
      <c r="Q40" s="237"/>
      <c r="R40" s="274">
        <v>35</v>
      </c>
      <c r="S40" s="277">
        <v>19</v>
      </c>
    </row>
    <row r="41" spans="1:19" ht="15" thickBot="1" x14ac:dyDescent="0.35">
      <c r="A41" s="221"/>
      <c r="B41" s="237"/>
      <c r="C41" s="237"/>
      <c r="D41" s="237"/>
      <c r="E41" s="237"/>
      <c r="F41" s="237"/>
      <c r="G41" s="237"/>
      <c r="H41" s="237"/>
      <c r="I41" s="237"/>
      <c r="J41" s="237"/>
      <c r="K41" s="237"/>
      <c r="L41" s="237"/>
      <c r="M41" s="237"/>
      <c r="O41" s="278">
        <v>32.5</v>
      </c>
      <c r="P41" s="237"/>
      <c r="Q41" s="237"/>
      <c r="R41" s="274">
        <v>32.5</v>
      </c>
      <c r="S41" s="277">
        <v>20</v>
      </c>
    </row>
    <row r="42" spans="1:19" ht="15" thickBot="1" x14ac:dyDescent="0.35">
      <c r="A42" s="221"/>
      <c r="B42" s="237"/>
      <c r="C42" s="237"/>
      <c r="D42" s="237"/>
      <c r="E42" s="67" t="s">
        <v>289</v>
      </c>
      <c r="F42" s="219">
        <f>SUM(F37:F40)</f>
        <v>21</v>
      </c>
      <c r="G42" s="237"/>
      <c r="H42" s="237">
        <f>SUM(H37:H40)</f>
        <v>1.9929478396210252</v>
      </c>
      <c r="I42" s="237"/>
      <c r="J42" s="237"/>
      <c r="K42" s="237"/>
      <c r="L42" s="237"/>
      <c r="M42" s="160">
        <f>SUM(M37:M40)</f>
        <v>20.19823835194526</v>
      </c>
      <c r="O42" s="279">
        <v>42.5</v>
      </c>
      <c r="P42" s="237"/>
      <c r="Q42" s="237"/>
      <c r="R42" s="274">
        <v>42.5</v>
      </c>
      <c r="S42" s="280">
        <v>23</v>
      </c>
    </row>
    <row r="43" spans="1:19" ht="15" thickBot="1" x14ac:dyDescent="0.35">
      <c r="A43" s="221"/>
      <c r="B43" s="237"/>
      <c r="C43" s="237"/>
      <c r="D43" s="237"/>
      <c r="E43" s="67" t="s">
        <v>290</v>
      </c>
      <c r="F43" s="219">
        <f>F42*$O$22</f>
        <v>210</v>
      </c>
      <c r="G43" s="237"/>
      <c r="H43" s="219">
        <f>H42*$O$22</f>
        <v>19.92947839621025</v>
      </c>
      <c r="I43" s="237"/>
      <c r="J43" s="237"/>
      <c r="K43" s="237"/>
      <c r="L43" s="237"/>
      <c r="M43" s="289">
        <f>M42*$O$22</f>
        <v>201.98238351945261</v>
      </c>
      <c r="N43" s="237"/>
      <c r="O43" s="276">
        <v>32</v>
      </c>
      <c r="P43" s="237"/>
      <c r="Q43" s="237"/>
      <c r="R43" s="274">
        <v>32</v>
      </c>
      <c r="S43" s="277">
        <v>20.5</v>
      </c>
    </row>
    <row r="44" spans="1:19" ht="46.8" x14ac:dyDescent="0.3">
      <c r="A44" s="221"/>
      <c r="B44" s="237"/>
      <c r="C44" s="237"/>
      <c r="D44" s="237"/>
      <c r="E44" s="237"/>
      <c r="F44" s="285" t="s">
        <v>287</v>
      </c>
      <c r="G44" s="237"/>
      <c r="H44" s="284" t="s">
        <v>286</v>
      </c>
      <c r="I44" s="237"/>
      <c r="J44" s="237"/>
      <c r="K44" s="237"/>
      <c r="L44" s="237"/>
      <c r="M44" s="284" t="s">
        <v>288</v>
      </c>
      <c r="N44" s="237"/>
      <c r="O44" s="237"/>
    </row>
    <row r="45" spans="1:19" x14ac:dyDescent="0.3">
      <c r="A45" s="221"/>
      <c r="B45" s="237"/>
      <c r="C45" s="237"/>
      <c r="I45" s="237"/>
      <c r="J45" s="237"/>
      <c r="K45" s="237"/>
      <c r="L45" s="237"/>
      <c r="M45" s="237"/>
      <c r="N45" s="237"/>
      <c r="O45" s="237"/>
    </row>
    <row r="46" spans="1:19" ht="15" thickBot="1" x14ac:dyDescent="0.35">
      <c r="A46" s="310" t="s">
        <v>296</v>
      </c>
      <c r="B46" s="237"/>
      <c r="C46" s="237"/>
      <c r="I46" s="237"/>
      <c r="J46" s="237"/>
      <c r="K46" s="237"/>
      <c r="L46" s="237"/>
      <c r="M46" s="237"/>
      <c r="N46" s="237"/>
      <c r="O46" s="237"/>
    </row>
    <row r="47" spans="1:19" ht="28.2" thickBot="1" x14ac:dyDescent="0.35">
      <c r="A47" s="221"/>
      <c r="B47" s="291" t="s">
        <v>250</v>
      </c>
      <c r="C47" s="474" t="s">
        <v>251</v>
      </c>
      <c r="D47" s="475"/>
      <c r="E47" s="475"/>
      <c r="F47" s="475"/>
      <c r="G47" s="476"/>
      <c r="H47" s="477" t="s">
        <v>294</v>
      </c>
      <c r="I47" s="479" t="s">
        <v>253</v>
      </c>
      <c r="J47" s="481" t="s">
        <v>295</v>
      </c>
      <c r="K47" s="483" t="s">
        <v>75</v>
      </c>
      <c r="L47" s="484"/>
      <c r="M47" s="293" t="s">
        <v>255</v>
      </c>
      <c r="N47" s="237"/>
      <c r="O47" s="237"/>
    </row>
    <row r="48" spans="1:19" ht="15" thickBot="1" x14ac:dyDescent="0.35">
      <c r="A48" s="221"/>
      <c r="B48" s="292" t="s">
        <v>78</v>
      </c>
      <c r="C48" s="474" t="s">
        <v>256</v>
      </c>
      <c r="D48" s="475"/>
      <c r="E48" s="475"/>
      <c r="F48" s="476"/>
      <c r="G48" s="294" t="s">
        <v>257</v>
      </c>
      <c r="H48" s="478"/>
      <c r="I48" s="480"/>
      <c r="J48" s="482"/>
      <c r="K48" s="295" t="s">
        <v>78</v>
      </c>
      <c r="L48" s="296" t="s">
        <v>49</v>
      </c>
      <c r="M48" s="296" t="s">
        <v>49</v>
      </c>
      <c r="N48" s="237"/>
      <c r="O48" s="237"/>
    </row>
    <row r="49" spans="1:15" ht="15" thickBot="1" x14ac:dyDescent="0.35">
      <c r="A49" s="221"/>
      <c r="B49" s="292">
        <v>5</v>
      </c>
      <c r="C49" s="297"/>
      <c r="D49" s="297"/>
      <c r="E49" s="297"/>
      <c r="F49" s="298"/>
      <c r="G49" s="298"/>
      <c r="H49" s="298"/>
      <c r="I49" s="298"/>
      <c r="J49" s="299"/>
      <c r="K49" s="300">
        <v>22</v>
      </c>
      <c r="L49" s="298">
        <v>16</v>
      </c>
      <c r="M49" s="298">
        <v>22</v>
      </c>
      <c r="N49" s="237"/>
      <c r="O49" s="237"/>
    </row>
    <row r="50" spans="1:15" ht="15" thickBot="1" x14ac:dyDescent="0.35">
      <c r="A50" s="221"/>
      <c r="B50" s="292">
        <v>10</v>
      </c>
      <c r="C50" s="297"/>
      <c r="D50" s="297"/>
      <c r="E50" s="297"/>
      <c r="F50" s="298"/>
      <c r="G50" s="298"/>
      <c r="H50" s="298"/>
      <c r="I50" s="298"/>
      <c r="J50" s="299"/>
      <c r="K50" s="300">
        <v>26</v>
      </c>
      <c r="L50" s="298">
        <v>17.5</v>
      </c>
      <c r="M50" s="298">
        <v>20.5</v>
      </c>
      <c r="N50" s="221"/>
      <c r="O50" s="221"/>
    </row>
    <row r="51" spans="1:15" ht="15" thickBot="1" x14ac:dyDescent="0.35">
      <c r="B51" s="292">
        <v>15</v>
      </c>
      <c r="C51" s="297"/>
      <c r="D51" s="297"/>
      <c r="E51" s="297"/>
      <c r="F51" s="298"/>
      <c r="G51" s="298"/>
      <c r="H51" s="298"/>
      <c r="I51" s="298"/>
      <c r="J51" s="299"/>
      <c r="K51" s="300">
        <v>31</v>
      </c>
      <c r="L51" s="298">
        <v>17.5</v>
      </c>
      <c r="M51" s="298">
        <v>23</v>
      </c>
    </row>
    <row r="52" spans="1:15" ht="15" thickBot="1" x14ac:dyDescent="0.35">
      <c r="B52" s="292">
        <v>20</v>
      </c>
      <c r="C52" s="297" t="s">
        <v>59</v>
      </c>
      <c r="D52" s="297"/>
      <c r="E52" s="297"/>
      <c r="F52" s="298">
        <v>2</v>
      </c>
      <c r="G52" s="298">
        <v>20</v>
      </c>
      <c r="H52" s="303">
        <v>0.76</v>
      </c>
      <c r="I52" s="304">
        <v>16</v>
      </c>
      <c r="J52" s="305">
        <v>5.2729999999999997</v>
      </c>
      <c r="K52" s="300">
        <v>33</v>
      </c>
      <c r="L52" s="298">
        <v>18.5</v>
      </c>
      <c r="M52" s="298">
        <v>20</v>
      </c>
    </row>
    <row r="53" spans="1:15" ht="15" thickBot="1" x14ac:dyDescent="0.35">
      <c r="B53" s="292">
        <v>25</v>
      </c>
      <c r="C53" s="301" t="s">
        <v>62</v>
      </c>
      <c r="D53" s="301" t="s">
        <v>62</v>
      </c>
      <c r="E53" s="297"/>
      <c r="F53" s="298">
        <v>10</v>
      </c>
      <c r="G53" s="298">
        <v>100</v>
      </c>
      <c r="H53" s="303">
        <v>4.9089999999999998</v>
      </c>
      <c r="I53" s="304">
        <v>20.75</v>
      </c>
      <c r="J53" s="305">
        <v>37.450000000000003</v>
      </c>
      <c r="K53" s="300">
        <v>31</v>
      </c>
      <c r="L53" s="298">
        <v>22.5</v>
      </c>
      <c r="M53" s="298">
        <v>19.5</v>
      </c>
    </row>
    <row r="54" spans="1:15" ht="15" thickBot="1" x14ac:dyDescent="0.35">
      <c r="B54" s="292">
        <v>30</v>
      </c>
      <c r="C54" s="301" t="s">
        <v>62</v>
      </c>
      <c r="D54" s="301" t="s">
        <v>62</v>
      </c>
      <c r="E54" s="297" t="s">
        <v>62</v>
      </c>
      <c r="F54" s="298">
        <v>14</v>
      </c>
      <c r="G54" s="298">
        <v>140</v>
      </c>
      <c r="H54" s="303">
        <v>9.7859999999999996</v>
      </c>
      <c r="I54" s="304">
        <v>19.329999999999998</v>
      </c>
      <c r="J54" s="305">
        <v>79.52</v>
      </c>
      <c r="K54" s="300">
        <v>42</v>
      </c>
      <c r="L54" s="298">
        <v>20</v>
      </c>
      <c r="M54" s="298">
        <v>22.5</v>
      </c>
    </row>
    <row r="55" spans="1:15" ht="15" thickBot="1" x14ac:dyDescent="0.35">
      <c r="B55" s="292">
        <v>35</v>
      </c>
      <c r="C55" s="301" t="s">
        <v>62</v>
      </c>
      <c r="D55" s="297"/>
      <c r="E55" s="297"/>
      <c r="F55" s="298">
        <v>5</v>
      </c>
      <c r="G55" s="298">
        <v>50</v>
      </c>
      <c r="H55" s="303">
        <v>4.726</v>
      </c>
      <c r="I55" s="304">
        <v>18.5</v>
      </c>
      <c r="J55" s="305">
        <v>32.85</v>
      </c>
      <c r="K55" s="300">
        <v>27.5</v>
      </c>
      <c r="L55" s="298">
        <v>18</v>
      </c>
      <c r="M55" s="298">
        <v>21</v>
      </c>
    </row>
    <row r="56" spans="1:15" ht="15" thickBot="1" x14ac:dyDescent="0.35">
      <c r="B56" s="292">
        <v>40</v>
      </c>
      <c r="C56" s="297" t="s">
        <v>66</v>
      </c>
      <c r="D56" s="297"/>
      <c r="E56" s="297"/>
      <c r="F56" s="298">
        <v>1</v>
      </c>
      <c r="G56" s="298">
        <v>10</v>
      </c>
      <c r="H56" s="303">
        <v>1.385</v>
      </c>
      <c r="I56" s="304">
        <v>20</v>
      </c>
      <c r="J56" s="305">
        <v>11.36</v>
      </c>
      <c r="K56" s="300">
        <v>24</v>
      </c>
      <c r="L56" s="298">
        <v>18.5</v>
      </c>
      <c r="M56" s="298">
        <v>20.5</v>
      </c>
    </row>
    <row r="57" spans="1:15" ht="15" thickBot="1" x14ac:dyDescent="0.35">
      <c r="B57" s="292">
        <v>45</v>
      </c>
      <c r="C57" s="297"/>
      <c r="D57" s="297"/>
      <c r="E57" s="297"/>
      <c r="F57" s="298"/>
      <c r="G57" s="298"/>
      <c r="H57" s="303"/>
      <c r="I57" s="303"/>
      <c r="J57" s="305"/>
      <c r="K57" s="300"/>
      <c r="L57" s="298"/>
      <c r="M57" s="298">
        <v>22</v>
      </c>
    </row>
    <row r="58" spans="1:15" ht="15" thickBot="1" x14ac:dyDescent="0.35">
      <c r="B58" s="292">
        <v>50</v>
      </c>
      <c r="C58" s="297"/>
      <c r="D58" s="297"/>
      <c r="E58" s="297"/>
      <c r="F58" s="298"/>
      <c r="G58" s="298"/>
      <c r="H58" s="303"/>
      <c r="I58" s="303"/>
      <c r="J58" s="305"/>
      <c r="K58" s="300"/>
      <c r="L58" s="298"/>
      <c r="M58" s="298">
        <v>23</v>
      </c>
    </row>
    <row r="59" spans="1:15" ht="15" thickBot="1" x14ac:dyDescent="0.35">
      <c r="B59" s="292"/>
      <c r="C59" s="297"/>
      <c r="D59" s="297"/>
      <c r="E59" s="297"/>
      <c r="F59" s="298"/>
      <c r="G59" s="298"/>
      <c r="H59" s="303"/>
      <c r="I59" s="303"/>
      <c r="J59" s="305"/>
      <c r="K59" s="300"/>
      <c r="L59" s="298"/>
      <c r="M59" s="298"/>
    </row>
    <row r="60" spans="1:15" ht="15" thickBot="1" x14ac:dyDescent="0.35">
      <c r="B60" s="470" t="s">
        <v>263</v>
      </c>
      <c r="C60" s="471"/>
      <c r="D60" s="470"/>
      <c r="E60" s="473"/>
      <c r="F60" s="471"/>
      <c r="G60" s="303">
        <v>320</v>
      </c>
      <c r="H60" s="303">
        <v>21.116</v>
      </c>
      <c r="I60" s="303"/>
      <c r="J60" s="303">
        <v>166.45</v>
      </c>
      <c r="K60" s="470"/>
      <c r="L60" s="471"/>
      <c r="M60" s="298"/>
    </row>
    <row r="61" spans="1:15" x14ac:dyDescent="0.3">
      <c r="B61" s="513" t="s">
        <v>264</v>
      </c>
      <c r="C61" s="514"/>
      <c r="D61" s="515"/>
      <c r="E61" s="516"/>
      <c r="F61" s="516"/>
      <c r="G61" s="516"/>
      <c r="H61" s="517"/>
      <c r="I61" s="518">
        <v>18.600000000000001</v>
      </c>
      <c r="J61" s="513"/>
      <c r="K61" s="519"/>
      <c r="L61" s="514"/>
      <c r="M61" s="518">
        <v>21.4</v>
      </c>
    </row>
    <row r="62" spans="1:15" s="43" customFormat="1" x14ac:dyDescent="0.3">
      <c r="A62" s="290"/>
      <c r="B62" s="290"/>
      <c r="C62" s="290"/>
      <c r="D62" s="290"/>
      <c r="E62" s="290"/>
      <c r="F62" s="290"/>
      <c r="G62" s="290"/>
      <c r="H62" s="290"/>
      <c r="I62" s="290"/>
      <c r="J62" s="290"/>
      <c r="K62" s="290"/>
      <c r="L62" s="290"/>
      <c r="M62" s="290"/>
      <c r="N62" s="290" t="s">
        <v>266</v>
      </c>
      <c r="O62" s="241">
        <f>10000/1000</f>
        <v>10</v>
      </c>
    </row>
    <row r="63" spans="1:15" s="43" customFormat="1" x14ac:dyDescent="0.3">
      <c r="A63" s="290"/>
      <c r="B63" s="290"/>
      <c r="C63" s="290"/>
      <c r="D63" s="290"/>
      <c r="E63" s="290"/>
      <c r="F63" s="290"/>
      <c r="G63" s="290"/>
      <c r="H63" s="290"/>
      <c r="I63" s="290"/>
      <c r="J63" s="290"/>
      <c r="K63" s="290"/>
      <c r="L63" s="290"/>
      <c r="M63" s="290"/>
      <c r="N63" s="290" t="s">
        <v>265</v>
      </c>
      <c r="O63" s="241">
        <f>AVERAGE(M49:M58)</f>
        <v>21.4</v>
      </c>
    </row>
    <row r="64" spans="1:15" s="43" customFormat="1" x14ac:dyDescent="0.3">
      <c r="A64" s="290"/>
      <c r="B64" s="243" t="s">
        <v>268</v>
      </c>
      <c r="C64" s="290"/>
      <c r="D64" s="242" t="s">
        <v>267</v>
      </c>
      <c r="E64" s="290"/>
      <c r="F64" s="290"/>
      <c r="G64" s="290"/>
      <c r="H64" s="290"/>
      <c r="I64" s="290"/>
      <c r="J64" s="290"/>
      <c r="K64" s="290"/>
      <c r="L64" s="290"/>
      <c r="M64" s="290"/>
      <c r="N64" s="290" t="s">
        <v>161</v>
      </c>
      <c r="O64" s="241">
        <f>SUM(F52:F56)*O62</f>
        <v>320</v>
      </c>
    </row>
    <row r="65" spans="1:16" s="43" customFormat="1" ht="43.2" x14ac:dyDescent="0.3">
      <c r="A65" s="438" t="s">
        <v>293</v>
      </c>
      <c r="B65" s="438"/>
      <c r="C65" s="244" t="s">
        <v>269</v>
      </c>
      <c r="D65" s="245" t="s">
        <v>270</v>
      </c>
      <c r="E65" s="244" t="s">
        <v>271</v>
      </c>
      <c r="F65" s="246" t="s">
        <v>272</v>
      </c>
      <c r="G65" s="247" t="s">
        <v>273</v>
      </c>
      <c r="H65" s="281" t="s">
        <v>292</v>
      </c>
      <c r="I65" s="248" t="s">
        <v>274</v>
      </c>
      <c r="J65" s="249" t="s">
        <v>275</v>
      </c>
      <c r="K65" s="250" t="s">
        <v>285</v>
      </c>
      <c r="L65" s="290"/>
      <c r="M65" s="290"/>
      <c r="N65" s="290"/>
      <c r="O65" s="290"/>
    </row>
    <row r="66" spans="1:16" s="43" customFormat="1" x14ac:dyDescent="0.3">
      <c r="A66" s="485" t="str">
        <f>CONCATENATE(    "[ ",   C66,   " - ",   E66," ["   )</f>
        <v>[ 17.5 - 22.5 [</v>
      </c>
      <c r="B66" s="485"/>
      <c r="C66" s="251">
        <f>D66-2.5</f>
        <v>17.5</v>
      </c>
      <c r="D66" s="308">
        <f>B52</f>
        <v>20</v>
      </c>
      <c r="E66" s="251">
        <f>D66+2.5</f>
        <v>22.5</v>
      </c>
      <c r="F66" s="307">
        <f>F52</f>
        <v>2</v>
      </c>
      <c r="G66" s="283">
        <f>PI()*D66^2/40000</f>
        <v>3.1415926535897934E-2</v>
      </c>
      <c r="H66" s="282">
        <f>G66*F66</f>
        <v>6.2831853071795868E-2</v>
      </c>
      <c r="I66" s="254">
        <f>$O$63*(1+($Q$13+$R$13*$O$64/1000)*EXP($S$13*$O$63))*(1-EXP($T$13*D66/$O$63))</f>
        <v>16.311065974978106</v>
      </c>
      <c r="J66" s="255">
        <f>$Q$20*(D66/100)^$R$20*I66^$S$20</f>
        <v>0.25274066297234776</v>
      </c>
      <c r="K66" s="287">
        <f>J66*F66</f>
        <v>0.50548132594469553</v>
      </c>
      <c r="L66" s="290"/>
      <c r="M66" s="257"/>
      <c r="N66" s="290"/>
      <c r="O66" s="290"/>
    </row>
    <row r="67" spans="1:16" s="43" customFormat="1" x14ac:dyDescent="0.3">
      <c r="A67" s="485" t="str">
        <f t="shared" ref="A67:A69" si="15">CONCATENATE(    "[ ",   C67,   " - ",   E67," ["   )</f>
        <v>[ 22.5 - 27.5 [</v>
      </c>
      <c r="B67" s="485"/>
      <c r="C67" s="251">
        <f t="shared" ref="C67:C70" si="16">D67-2.5</f>
        <v>22.5</v>
      </c>
      <c r="D67" s="308">
        <f t="shared" ref="D67:D69" si="17">B53</f>
        <v>25</v>
      </c>
      <c r="E67" s="251">
        <f t="shared" ref="E67:E70" si="18">D67+2.5</f>
        <v>27.5</v>
      </c>
      <c r="F67" s="307">
        <f t="shared" ref="F67:F70" si="19">F53</f>
        <v>10</v>
      </c>
      <c r="G67" s="283">
        <f t="shared" ref="G67:G68" si="20">PI()*D67^2/40000</f>
        <v>4.9087385212340517E-2</v>
      </c>
      <c r="H67" s="282">
        <f t="shared" ref="H67:H70" si="21">G67*F67</f>
        <v>0.49087385212340517</v>
      </c>
      <c r="I67" s="254">
        <f t="shared" ref="I67:I70" si="22">$O$63*(1+($Q$13+$R$13*$O$64/1000)*EXP($S$13*$O$63))*(1-EXP($T$13*D67/$O$63))</f>
        <v>18.282378266553931</v>
      </c>
      <c r="J67" s="255">
        <f t="shared" ref="J67:J70" si="23">$Q$20*(D67/100)^$R$20*I67^$S$20</f>
        <v>0.43967409280877162</v>
      </c>
      <c r="K67" s="287">
        <f t="shared" ref="K67:K70" si="24">J67*F67</f>
        <v>4.3967409280877163</v>
      </c>
      <c r="L67" s="290"/>
      <c r="M67" s="290"/>
      <c r="N67" s="290"/>
      <c r="O67" s="290"/>
    </row>
    <row r="68" spans="1:16" s="43" customFormat="1" x14ac:dyDescent="0.3">
      <c r="A68" s="485" t="str">
        <f t="shared" si="15"/>
        <v>[ 27.5 - 32.5 [</v>
      </c>
      <c r="B68" s="485"/>
      <c r="C68" s="251">
        <f t="shared" si="16"/>
        <v>27.5</v>
      </c>
      <c r="D68" s="308">
        <f t="shared" si="17"/>
        <v>30</v>
      </c>
      <c r="E68" s="251">
        <f t="shared" si="18"/>
        <v>32.5</v>
      </c>
      <c r="F68" s="307">
        <f t="shared" si="19"/>
        <v>14</v>
      </c>
      <c r="G68" s="283">
        <f t="shared" si="20"/>
        <v>7.0685834705770348E-2</v>
      </c>
      <c r="H68" s="282">
        <f t="shared" si="21"/>
        <v>0.9896016858807849</v>
      </c>
      <c r="I68" s="254">
        <f t="shared" si="22"/>
        <v>19.783655569814009</v>
      </c>
      <c r="J68" s="255">
        <f t="shared" si="23"/>
        <v>0.68329602588938088</v>
      </c>
      <c r="K68" s="287">
        <f t="shared" si="24"/>
        <v>9.5661443624513325</v>
      </c>
      <c r="L68" s="290"/>
      <c r="M68" s="290"/>
      <c r="N68" s="290"/>
      <c r="O68" s="290"/>
    </row>
    <row r="69" spans="1:16" s="43" customFormat="1" x14ac:dyDescent="0.3">
      <c r="A69" s="485" t="str">
        <f t="shared" si="15"/>
        <v>[ 32.5 - 37.5 [</v>
      </c>
      <c r="B69" s="485"/>
      <c r="C69" s="251">
        <f t="shared" si="16"/>
        <v>32.5</v>
      </c>
      <c r="D69" s="308">
        <f t="shared" si="17"/>
        <v>35</v>
      </c>
      <c r="E69" s="251">
        <f t="shared" si="18"/>
        <v>37.5</v>
      </c>
      <c r="F69" s="307">
        <f t="shared" si="19"/>
        <v>5</v>
      </c>
      <c r="G69" s="283">
        <f>PI()*D69^2/40000</f>
        <v>9.6211275016187411E-2</v>
      </c>
      <c r="H69" s="282">
        <f t="shared" si="21"/>
        <v>0.48105637508093707</v>
      </c>
      <c r="I69" s="254">
        <f t="shared" si="22"/>
        <v>20.926971903261201</v>
      </c>
      <c r="J69" s="255">
        <f t="shared" si="23"/>
        <v>0.98361339866299657</v>
      </c>
      <c r="K69" s="287">
        <f t="shared" si="24"/>
        <v>4.9180669933149828</v>
      </c>
      <c r="L69" s="290"/>
      <c r="M69" s="290"/>
      <c r="N69" s="290"/>
      <c r="O69" s="290"/>
    </row>
    <row r="70" spans="1:16" s="43" customFormat="1" x14ac:dyDescent="0.3">
      <c r="A70" s="485" t="str">
        <f t="shared" ref="A70" si="25">CONCATENATE(    "[ ",   C70,   " - ",   E70," ["   )</f>
        <v>[ 37.5 - 42.5 [</v>
      </c>
      <c r="B70" s="485"/>
      <c r="C70" s="251">
        <f t="shared" si="16"/>
        <v>37.5</v>
      </c>
      <c r="D70" s="308">
        <f>B56</f>
        <v>40</v>
      </c>
      <c r="E70" s="251">
        <f t="shared" si="18"/>
        <v>42.5</v>
      </c>
      <c r="F70" s="307">
        <f t="shared" si="19"/>
        <v>1</v>
      </c>
      <c r="G70" s="283">
        <f>PI()*D70^2/40000</f>
        <v>0.12566370614359174</v>
      </c>
      <c r="H70" s="282">
        <f>G70*F70</f>
        <v>0.12566370614359174</v>
      </c>
      <c r="I70" s="254">
        <f t="shared" si="22"/>
        <v>21.797678624456918</v>
      </c>
      <c r="J70" s="255">
        <f t="shared" si="23"/>
        <v>1.3400485297532008</v>
      </c>
      <c r="K70" s="287">
        <f t="shared" si="24"/>
        <v>1.3400485297532008</v>
      </c>
      <c r="L70" s="290"/>
      <c r="M70" s="261"/>
      <c r="N70" s="290"/>
      <c r="O70" s="290"/>
    </row>
    <row r="71" spans="1:16" s="43" customFormat="1" x14ac:dyDescent="0.3">
      <c r="A71" s="290"/>
      <c r="B71" s="290"/>
      <c r="C71" s="290"/>
      <c r="D71" s="290"/>
      <c r="E71" s="67" t="s">
        <v>289</v>
      </c>
      <c r="F71" s="302">
        <f>SUM(F66:F70)</f>
        <v>32</v>
      </c>
      <c r="G71" s="290"/>
      <c r="H71" s="290">
        <f>SUM(H66:H70)</f>
        <v>2.1500274723005148</v>
      </c>
      <c r="I71" s="290"/>
      <c r="J71" s="290"/>
      <c r="K71" s="160">
        <f>SUM(K66:K70)</f>
        <v>20.72648213955193</v>
      </c>
      <c r="L71" s="290"/>
      <c r="M71" s="290"/>
      <c r="N71" s="290"/>
      <c r="O71" s="290"/>
    </row>
    <row r="72" spans="1:16" s="43" customFormat="1" x14ac:dyDescent="0.3">
      <c r="A72" s="290"/>
      <c r="B72" s="290"/>
      <c r="C72" s="290"/>
      <c r="D72" s="290"/>
      <c r="E72" s="67" t="s">
        <v>290</v>
      </c>
      <c r="F72" s="302">
        <f>F71*$O$62</f>
        <v>320</v>
      </c>
      <c r="G72" s="290"/>
      <c r="H72" s="302">
        <f>H71*$O$62</f>
        <v>21.500274723005148</v>
      </c>
      <c r="I72" s="290"/>
      <c r="J72" s="290"/>
      <c r="K72" s="289">
        <f>K71*$O$62</f>
        <v>207.26482139551931</v>
      </c>
      <c r="L72" s="290"/>
      <c r="M72" s="290"/>
      <c r="N72" s="290"/>
      <c r="O72" s="290"/>
    </row>
    <row r="73" spans="1:16" s="43" customFormat="1" ht="46.8" x14ac:dyDescent="0.3">
      <c r="A73" s="290"/>
      <c r="B73" s="290"/>
      <c r="C73" s="290"/>
      <c r="D73" s="290"/>
      <c r="E73" s="290"/>
      <c r="F73" s="285" t="s">
        <v>287</v>
      </c>
      <c r="G73" s="290"/>
      <c r="H73" s="284" t="s">
        <v>286</v>
      </c>
      <c r="I73" s="290"/>
      <c r="J73" s="290"/>
      <c r="K73" s="284" t="s">
        <v>288</v>
      </c>
      <c r="L73" s="290"/>
      <c r="M73" s="290"/>
      <c r="N73" s="290"/>
      <c r="O73" s="290"/>
    </row>
    <row r="74" spans="1:16" ht="15" thickBot="1" x14ac:dyDescent="0.35"/>
    <row r="75" spans="1:16" ht="27" customHeight="1" thickBot="1" x14ac:dyDescent="0.35">
      <c r="A75" s="290"/>
      <c r="B75" s="243" t="s">
        <v>280</v>
      </c>
      <c r="C75" s="290"/>
      <c r="D75" s="242" t="s">
        <v>267</v>
      </c>
      <c r="E75" s="290"/>
      <c r="F75" s="290"/>
      <c r="G75" s="290"/>
      <c r="H75" s="290"/>
      <c r="I75" s="485" t="s">
        <v>291</v>
      </c>
      <c r="J75" s="485"/>
      <c r="K75" s="485"/>
      <c r="O75" s="483" t="s">
        <v>75</v>
      </c>
      <c r="P75" s="484"/>
    </row>
    <row r="76" spans="1:16" ht="43.8" thickBot="1" x14ac:dyDescent="0.35">
      <c r="A76" s="438" t="s">
        <v>293</v>
      </c>
      <c r="B76" s="438"/>
      <c r="C76" s="244" t="s">
        <v>269</v>
      </c>
      <c r="D76" s="245" t="s">
        <v>270</v>
      </c>
      <c r="E76" s="244" t="s">
        <v>271</v>
      </c>
      <c r="F76" s="246" t="s">
        <v>272</v>
      </c>
      <c r="G76" s="247" t="s">
        <v>273</v>
      </c>
      <c r="H76" s="281" t="s">
        <v>292</v>
      </c>
      <c r="I76" s="246" t="s">
        <v>281</v>
      </c>
      <c r="J76" s="246" t="s">
        <v>282</v>
      </c>
      <c r="L76" s="248" t="s">
        <v>283</v>
      </c>
      <c r="O76" s="295" t="s">
        <v>78</v>
      </c>
      <c r="P76" s="296" t="s">
        <v>49</v>
      </c>
    </row>
    <row r="77" spans="1:16" ht="15" thickBot="1" x14ac:dyDescent="0.35">
      <c r="A77" s="485" t="str">
        <f>CONCATENATE(    "[ ",   C77,   " - ",   E77," ["   )</f>
        <v>[ 17.5 - 22.5 [</v>
      </c>
      <c r="B77" s="485"/>
      <c r="C77" s="251">
        <f>D77-2.5</f>
        <v>17.5</v>
      </c>
      <c r="D77" s="308">
        <f>D66</f>
        <v>20</v>
      </c>
      <c r="E77" s="251">
        <f>D77+2.5</f>
        <v>22.5</v>
      </c>
      <c r="F77" s="307">
        <f>F66</f>
        <v>2</v>
      </c>
      <c r="G77" s="283">
        <f>PI()*D77^2/40000</f>
        <v>3.1415926535897934E-2</v>
      </c>
      <c r="H77" s="282">
        <f>G77*F77</f>
        <v>6.2831853071795868E-2</v>
      </c>
      <c r="I77" s="254"/>
      <c r="O77" s="300">
        <v>22</v>
      </c>
      <c r="P77" s="298">
        <v>16</v>
      </c>
    </row>
    <row r="78" spans="1:16" ht="15" thickBot="1" x14ac:dyDescent="0.35">
      <c r="A78" s="485" t="str">
        <f t="shared" ref="A78:A81" si="26">CONCATENATE(    "[ ",   C78,   " - ",   E78," ["   )</f>
        <v>[ 22.5 - 27.5 [</v>
      </c>
      <c r="B78" s="485"/>
      <c r="C78" s="251">
        <f t="shared" ref="C78:C81" si="27">D78-2.5</f>
        <v>22.5</v>
      </c>
      <c r="D78" s="308">
        <f t="shared" ref="D78:D81" si="28">D67</f>
        <v>25</v>
      </c>
      <c r="E78" s="251">
        <f t="shared" ref="E78:E81" si="29">D78+2.5</f>
        <v>27.5</v>
      </c>
      <c r="F78" s="307">
        <f t="shared" ref="F78:F84" si="30">F67</f>
        <v>10</v>
      </c>
      <c r="G78" s="283">
        <f t="shared" ref="G78:G79" si="31">PI()*D78^2/40000</f>
        <v>4.9087385212340517E-2</v>
      </c>
      <c r="H78" s="282">
        <f t="shared" ref="H78:H81" si="32">G78*F78</f>
        <v>0.49087385212340517</v>
      </c>
      <c r="I78" s="254"/>
      <c r="O78" s="300">
        <v>26</v>
      </c>
      <c r="P78" s="298">
        <v>17.5</v>
      </c>
    </row>
    <row r="79" spans="1:16" ht="15" thickBot="1" x14ac:dyDescent="0.35">
      <c r="A79" s="485" t="str">
        <f t="shared" si="26"/>
        <v>[ 27.5 - 32.5 [</v>
      </c>
      <c r="B79" s="485"/>
      <c r="C79" s="251">
        <f t="shared" si="27"/>
        <v>27.5</v>
      </c>
      <c r="D79" s="308">
        <f t="shared" si="28"/>
        <v>30</v>
      </c>
      <c r="E79" s="251">
        <f t="shared" si="29"/>
        <v>32.5</v>
      </c>
      <c r="F79" s="307">
        <f t="shared" si="30"/>
        <v>14</v>
      </c>
      <c r="G79" s="283">
        <f t="shared" si="31"/>
        <v>7.0685834705770348E-2</v>
      </c>
      <c r="H79" s="282">
        <f t="shared" si="32"/>
        <v>0.9896016858807849</v>
      </c>
      <c r="I79" s="254"/>
      <c r="O79" s="300">
        <v>31</v>
      </c>
      <c r="P79" s="298">
        <v>17.5</v>
      </c>
    </row>
    <row r="80" spans="1:16" ht="15" thickBot="1" x14ac:dyDescent="0.35">
      <c r="A80" s="485" t="str">
        <f t="shared" si="26"/>
        <v>[ 32.5 - 37.5 [</v>
      </c>
      <c r="B80" s="485"/>
      <c r="C80" s="251">
        <f t="shared" si="27"/>
        <v>32.5</v>
      </c>
      <c r="D80" s="308">
        <f t="shared" si="28"/>
        <v>35</v>
      </c>
      <c r="E80" s="251">
        <f t="shared" si="29"/>
        <v>37.5</v>
      </c>
      <c r="F80" s="307">
        <f t="shared" si="30"/>
        <v>5</v>
      </c>
      <c r="G80" s="283">
        <f>PI()*D80^2/40000</f>
        <v>9.6211275016187411E-2</v>
      </c>
      <c r="H80" s="282">
        <f t="shared" si="32"/>
        <v>0.48105637508093707</v>
      </c>
      <c r="I80" s="254"/>
      <c r="O80" s="300">
        <v>33</v>
      </c>
      <c r="P80" s="298">
        <v>18.5</v>
      </c>
    </row>
    <row r="81" spans="1:16" ht="15" thickBot="1" x14ac:dyDescent="0.35">
      <c r="A81" s="485" t="str">
        <f t="shared" si="26"/>
        <v>[ 37.5 - 42.5 [</v>
      </c>
      <c r="B81" s="485"/>
      <c r="C81" s="251">
        <f t="shared" si="27"/>
        <v>37.5</v>
      </c>
      <c r="D81" s="308">
        <f t="shared" si="28"/>
        <v>40</v>
      </c>
      <c r="E81" s="251">
        <f t="shared" si="29"/>
        <v>42.5</v>
      </c>
      <c r="F81" s="307">
        <f t="shared" si="30"/>
        <v>1</v>
      </c>
      <c r="G81" s="283">
        <f>PI()*D81^2/40000</f>
        <v>0.12566370614359174</v>
      </c>
      <c r="H81" s="282">
        <f>G81*F81</f>
        <v>0.12566370614359174</v>
      </c>
      <c r="I81" s="254"/>
      <c r="O81" s="300">
        <v>31</v>
      </c>
      <c r="P81" s="298">
        <v>22.5</v>
      </c>
    </row>
    <row r="82" spans="1:16" ht="15" thickBot="1" x14ac:dyDescent="0.35">
      <c r="A82" s="290"/>
      <c r="B82" s="290"/>
      <c r="C82" s="290"/>
      <c r="D82" s="290"/>
      <c r="E82" s="67" t="s">
        <v>289</v>
      </c>
      <c r="F82" s="307">
        <f t="shared" si="30"/>
        <v>32</v>
      </c>
      <c r="G82" s="290"/>
      <c r="H82" s="290">
        <f>SUM(H77:H81)</f>
        <v>2.1500274723005148</v>
      </c>
      <c r="I82" s="290"/>
      <c r="O82" s="300">
        <v>42</v>
      </c>
      <c r="P82" s="298">
        <v>20</v>
      </c>
    </row>
    <row r="83" spans="1:16" ht="15" thickBot="1" x14ac:dyDescent="0.35">
      <c r="A83" s="290"/>
      <c r="B83" s="290"/>
      <c r="C83" s="290"/>
      <c r="D83" s="290"/>
      <c r="E83" s="67" t="s">
        <v>290</v>
      </c>
      <c r="F83" s="307">
        <f t="shared" si="30"/>
        <v>320</v>
      </c>
      <c r="G83" s="290"/>
      <c r="H83" s="302">
        <f>H82*$O$62</f>
        <v>21.500274723005148</v>
      </c>
      <c r="I83" s="290"/>
      <c r="O83" s="300">
        <v>27.5</v>
      </c>
      <c r="P83" s="298">
        <v>18</v>
      </c>
    </row>
    <row r="84" spans="1:16" ht="47.4" thickBot="1" x14ac:dyDescent="0.35">
      <c r="A84" s="290"/>
      <c r="B84" s="290"/>
      <c r="C84" s="290"/>
      <c r="D84" s="290"/>
      <c r="E84" s="290"/>
      <c r="F84" s="307" t="str">
        <f t="shared" si="30"/>
        <v>N        (ha-1)</v>
      </c>
      <c r="G84" s="290"/>
      <c r="H84" s="284" t="s">
        <v>286</v>
      </c>
      <c r="I84" s="290"/>
      <c r="O84" s="300">
        <v>24</v>
      </c>
      <c r="P84" s="298">
        <v>18.5</v>
      </c>
    </row>
  </sheetData>
  <mergeCells count="55">
    <mergeCell ref="A80:B80"/>
    <mergeCell ref="A81:B81"/>
    <mergeCell ref="I75:K75"/>
    <mergeCell ref="O75:P75"/>
    <mergeCell ref="A70:B70"/>
    <mergeCell ref="A76:B76"/>
    <mergeCell ref="A77:B77"/>
    <mergeCell ref="A78:B78"/>
    <mergeCell ref="A79:B79"/>
    <mergeCell ref="A65:B65"/>
    <mergeCell ref="A66:B66"/>
    <mergeCell ref="A67:B67"/>
    <mergeCell ref="A68:B68"/>
    <mergeCell ref="A69:B69"/>
    <mergeCell ref="B20:C20"/>
    <mergeCell ref="D20:F20"/>
    <mergeCell ref="K20:L20"/>
    <mergeCell ref="B21:C21"/>
    <mergeCell ref="D21:H21"/>
    <mergeCell ref="J21:L21"/>
    <mergeCell ref="A3:K3"/>
    <mergeCell ref="A4:K4"/>
    <mergeCell ref="A1:M1"/>
    <mergeCell ref="A2:M2"/>
    <mergeCell ref="C7:G7"/>
    <mergeCell ref="H7:H8"/>
    <mergeCell ref="I7:I8"/>
    <mergeCell ref="J7:J8"/>
    <mergeCell ref="K7:L7"/>
    <mergeCell ref="C8:F8"/>
    <mergeCell ref="O36:P36"/>
    <mergeCell ref="R36:S36"/>
    <mergeCell ref="A37:B37"/>
    <mergeCell ref="A38:B38"/>
    <mergeCell ref="A39:B39"/>
    <mergeCell ref="A25:B25"/>
    <mergeCell ref="A36:B36"/>
    <mergeCell ref="B60:C60"/>
    <mergeCell ref="D60:F60"/>
    <mergeCell ref="K60:L60"/>
    <mergeCell ref="I35:K35"/>
    <mergeCell ref="A26:B26"/>
    <mergeCell ref="A27:B27"/>
    <mergeCell ref="A28:B28"/>
    <mergeCell ref="A29:B29"/>
    <mergeCell ref="A40:B40"/>
    <mergeCell ref="B61:C61"/>
    <mergeCell ref="D61:H61"/>
    <mergeCell ref="J61:L61"/>
    <mergeCell ref="C47:G47"/>
    <mergeCell ref="H47:H48"/>
    <mergeCell ref="I47:I48"/>
    <mergeCell ref="J47:J48"/>
    <mergeCell ref="K47:L47"/>
    <mergeCell ref="C48:F48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6145" r:id="rId3">
          <objectPr defaultSize="0" autoPict="0" r:id="rId4">
            <anchor moveWithCells="1" sizeWithCells="1">
              <from>
                <xdr:col>14</xdr:col>
                <xdr:colOff>45720</xdr:colOff>
                <xdr:row>6</xdr:row>
                <xdr:rowOff>220980</xdr:rowOff>
              </from>
              <to>
                <xdr:col>20</xdr:col>
                <xdr:colOff>53340</xdr:colOff>
                <xdr:row>9</xdr:row>
                <xdr:rowOff>68580</xdr:rowOff>
              </to>
            </anchor>
          </objectPr>
        </oleObject>
      </mc:Choice>
      <mc:Fallback>
        <oleObject shapeId="6145" r:id="rId3"/>
      </mc:Fallback>
    </mc:AlternateContent>
    <mc:AlternateContent xmlns:mc="http://schemas.openxmlformats.org/markup-compatibility/2006">
      <mc:Choice Requires="x14">
        <oleObject shapeId="6146" r:id="rId5">
          <objectPr defaultSize="0" autoPict="0" r:id="rId6">
            <anchor moveWithCells="1" sizeWithCells="1">
              <from>
                <xdr:col>14</xdr:col>
                <xdr:colOff>640080</xdr:colOff>
                <xdr:row>14</xdr:row>
                <xdr:rowOff>114300</xdr:rowOff>
              </from>
              <to>
                <xdr:col>17</xdr:col>
                <xdr:colOff>251460</xdr:colOff>
                <xdr:row>17</xdr:row>
                <xdr:rowOff>106680</xdr:rowOff>
              </to>
            </anchor>
          </objectPr>
        </oleObject>
      </mc:Choice>
      <mc:Fallback>
        <oleObject shapeId="6146" r:id="rId5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S46"/>
  <sheetViews>
    <sheetView topLeftCell="A7" zoomScale="136" zoomScaleNormal="136" workbookViewId="0">
      <selection activeCell="G34" sqref="G34"/>
    </sheetView>
  </sheetViews>
  <sheetFormatPr defaultRowHeight="14.4" x14ac:dyDescent="0.3"/>
  <cols>
    <col min="2" max="2" width="9.5546875" bestFit="1" customWidth="1"/>
  </cols>
  <sheetData>
    <row r="2" spans="1:19" x14ac:dyDescent="0.3">
      <c r="A2" s="499" t="s">
        <v>337</v>
      </c>
      <c r="B2" s="499"/>
      <c r="C2" s="499"/>
      <c r="D2" s="499"/>
      <c r="E2" s="499"/>
      <c r="F2" s="499"/>
      <c r="G2" s="499"/>
      <c r="H2" s="499"/>
      <c r="I2" s="499"/>
      <c r="J2" s="499"/>
      <c r="K2" s="499"/>
    </row>
    <row r="3" spans="1:19" ht="14.4" customHeight="1" x14ac:dyDescent="0.3">
      <c r="A3" s="500" t="s">
        <v>336</v>
      </c>
      <c r="B3" s="500"/>
      <c r="C3" s="500"/>
      <c r="D3" s="500"/>
      <c r="E3" s="500"/>
      <c r="F3" s="500"/>
      <c r="G3" s="500"/>
      <c r="H3" s="500"/>
      <c r="I3" s="500"/>
    </row>
    <row r="4" spans="1:19" x14ac:dyDescent="0.3">
      <c r="A4" s="500"/>
      <c r="B4" s="500"/>
      <c r="C4" s="500"/>
      <c r="D4" s="500"/>
      <c r="E4" s="500"/>
      <c r="F4" s="500"/>
      <c r="G4" s="500"/>
      <c r="H4" s="500"/>
      <c r="I4" s="500"/>
    </row>
    <row r="5" spans="1:19" x14ac:dyDescent="0.3">
      <c r="A5" s="500"/>
      <c r="B5" s="500"/>
      <c r="C5" s="500"/>
      <c r="D5" s="500"/>
      <c r="E5" s="500"/>
      <c r="F5" s="500"/>
      <c r="G5" s="500"/>
      <c r="H5" s="500"/>
      <c r="I5" s="500"/>
    </row>
    <row r="6" spans="1:19" x14ac:dyDescent="0.3">
      <c r="A6" s="142"/>
      <c r="E6" s="142" t="s">
        <v>363</v>
      </c>
      <c r="F6" s="200">
        <f>H9+H10</f>
        <v>192.74622801288848</v>
      </c>
      <c r="L6" s="509" t="s">
        <v>297</v>
      </c>
      <c r="M6" s="509"/>
      <c r="N6" s="509"/>
      <c r="O6" s="509"/>
      <c r="P6" s="509"/>
      <c r="Q6" s="509"/>
      <c r="R6" s="509"/>
      <c r="S6" s="509"/>
    </row>
    <row r="7" spans="1:19" ht="15" thickBot="1" x14ac:dyDescent="0.35">
      <c r="A7" s="141"/>
      <c r="B7" s="136"/>
      <c r="C7" s="136"/>
      <c r="D7" s="136"/>
      <c r="E7" s="141" t="s">
        <v>364</v>
      </c>
      <c r="F7" s="200">
        <f>H9</f>
        <v>158.33476601597312</v>
      </c>
      <c r="L7" s="505"/>
      <c r="M7" s="505"/>
      <c r="N7" s="505"/>
      <c r="O7" s="505"/>
      <c r="P7" s="505"/>
      <c r="Q7" s="505"/>
      <c r="R7" s="505"/>
      <c r="S7" s="505"/>
    </row>
    <row r="8" spans="1:19" ht="60" customHeight="1" thickBot="1" x14ac:dyDescent="0.35">
      <c r="A8" s="136" t="s">
        <v>358</v>
      </c>
      <c r="B8" s="520">
        <v>13</v>
      </c>
      <c r="C8" s="136"/>
      <c r="D8" s="136"/>
      <c r="E8" s="136"/>
      <c r="F8" s="127"/>
      <c r="G8" s="523" t="s">
        <v>361</v>
      </c>
      <c r="H8" s="523" t="s">
        <v>362</v>
      </c>
      <c r="L8" s="511"/>
      <c r="M8" s="511"/>
      <c r="N8" s="511"/>
      <c r="O8" s="511"/>
      <c r="P8" s="511"/>
      <c r="Q8" s="511"/>
      <c r="R8" s="511"/>
      <c r="S8" s="511"/>
    </row>
    <row r="9" spans="1:19" ht="15.6" thickBot="1" x14ac:dyDescent="0.4">
      <c r="A9" t="s">
        <v>354</v>
      </c>
      <c r="B9" s="521" t="s">
        <v>355</v>
      </c>
      <c r="C9" t="s">
        <v>265</v>
      </c>
      <c r="D9" s="108">
        <f>Ex_322!I12</f>
        <v>23.328571428571429</v>
      </c>
      <c r="F9" s="312" t="s">
        <v>306</v>
      </c>
      <c r="G9" s="201">
        <f>$P10+$Q10*$B$11+($R10/(1-$B$10/2000))+$S10*100/($D$11*SQRT($B$12))</f>
        <v>0.37518669760342283</v>
      </c>
      <c r="H9">
        <f>G9*$B$8^M10*$D$9^N10*$D$10^O10</f>
        <v>158.33476601597312</v>
      </c>
      <c r="L9" s="311" t="s">
        <v>298</v>
      </c>
      <c r="M9" s="311" t="s">
        <v>299</v>
      </c>
      <c r="N9" s="311" t="s">
        <v>300</v>
      </c>
      <c r="O9" s="311" t="s">
        <v>301</v>
      </c>
      <c r="P9" s="311" t="s">
        <v>302</v>
      </c>
      <c r="Q9" s="311" t="s">
        <v>303</v>
      </c>
      <c r="R9" s="311" t="s">
        <v>304</v>
      </c>
      <c r="S9" s="311" t="s">
        <v>305</v>
      </c>
    </row>
    <row r="10" spans="1:19" x14ac:dyDescent="0.3">
      <c r="A10" t="s">
        <v>356</v>
      </c>
      <c r="B10" s="241">
        <v>30</v>
      </c>
      <c r="C10" t="s">
        <v>359</v>
      </c>
      <c r="D10" s="108">
        <f>Ex_322!I16</f>
        <v>19.821083632184358</v>
      </c>
      <c r="F10" s="312" t="s">
        <v>307</v>
      </c>
      <c r="G10" s="201">
        <f t="shared" ref="G10:G11" si="0">$P11+$Q11*$B$11+($R11/(1-$B$10/2000))+$S11*100/($D$11*SQRT($B$12))</f>
        <v>0.18077213106084694</v>
      </c>
      <c r="H10" s="290">
        <f t="shared" ref="H10:H11" si="1">G10*$B$8^M11*$D$9^N11*$D$10^O11</f>
        <v>34.411461996915371</v>
      </c>
      <c r="L10" s="312" t="s">
        <v>306</v>
      </c>
      <c r="M10" s="312">
        <v>-5.0999999999999997E-2</v>
      </c>
      <c r="N10" s="312">
        <v>0.99819999999999998</v>
      </c>
      <c r="O10" s="312">
        <v>1.0150999999999999</v>
      </c>
      <c r="P10" s="312">
        <v>0.35039999999999999</v>
      </c>
      <c r="Q10" s="312">
        <v>1.1000000000000001E-3</v>
      </c>
      <c r="R10" s="312">
        <v>4.8999999999999998E-3</v>
      </c>
      <c r="S10" s="312">
        <v>9.0800000000000006E-2</v>
      </c>
    </row>
    <row r="11" spans="1:19" x14ac:dyDescent="0.3">
      <c r="A11" t="s">
        <v>95</v>
      </c>
      <c r="B11" s="241">
        <v>0</v>
      </c>
      <c r="C11" t="s">
        <v>360</v>
      </c>
      <c r="D11" s="108">
        <f>Ex_322!I13</f>
        <v>20.496080132356497</v>
      </c>
      <c r="F11" s="312" t="s">
        <v>308</v>
      </c>
      <c r="G11" s="201">
        <f>$P12+$Q12*$B$11+($R12/(1-$B$10/2000))+$S12*100/($D$11*SQRT($B$12))</f>
        <v>5.8969224828925776E-2</v>
      </c>
      <c r="H11" s="290">
        <f t="shared" si="1"/>
        <v>2.7270700251410118</v>
      </c>
      <c r="L11" s="312" t="s">
        <v>307</v>
      </c>
      <c r="M11" s="312">
        <v>-5.4800000000000001E-2</v>
      </c>
      <c r="N11" s="312">
        <v>0.71419999999999995</v>
      </c>
      <c r="O11" s="312">
        <v>1.0512999999999999</v>
      </c>
      <c r="P11" s="312">
        <v>0.1502</v>
      </c>
      <c r="Q11" s="312"/>
      <c r="R11" s="312">
        <v>1.4E-3</v>
      </c>
      <c r="S11" s="312">
        <v>0.1336</v>
      </c>
    </row>
    <row r="12" spans="1:19" ht="15" thickBot="1" x14ac:dyDescent="0.35">
      <c r="A12" t="s">
        <v>357</v>
      </c>
      <c r="B12" s="109">
        <f>10000/(4*5)</f>
        <v>500</v>
      </c>
      <c r="L12" s="312" t="s">
        <v>308</v>
      </c>
      <c r="M12" s="312">
        <v>-8.2100000000000006E-2</v>
      </c>
      <c r="N12" s="312">
        <v>0.34399999999999997</v>
      </c>
      <c r="O12" s="312">
        <v>0.99139999999999995</v>
      </c>
      <c r="P12" s="312">
        <v>5.67E-2</v>
      </c>
      <c r="Q12" s="312">
        <v>-2.0000000000000001E-4</v>
      </c>
      <c r="R12" s="312"/>
      <c r="S12" s="312">
        <v>1.04E-2</v>
      </c>
    </row>
    <row r="13" spans="1:19" ht="67.8" customHeight="1" x14ac:dyDescent="0.3">
      <c r="L13" s="498" t="s">
        <v>309</v>
      </c>
      <c r="M13" s="498"/>
      <c r="N13" s="498"/>
      <c r="O13" s="498"/>
      <c r="P13" s="498"/>
      <c r="Q13" s="498"/>
      <c r="R13" s="498"/>
      <c r="S13" s="498"/>
    </row>
    <row r="15" spans="1:19" ht="26.4" customHeight="1" x14ac:dyDescent="0.3">
      <c r="A15" s="501" t="s">
        <v>234</v>
      </c>
      <c r="B15" s="501"/>
      <c r="C15" s="501"/>
      <c r="D15" s="501"/>
      <c r="E15" s="501"/>
      <c r="F15" s="501"/>
      <c r="G15" s="501"/>
      <c r="H15" s="501"/>
      <c r="L15" s="512" t="s">
        <v>335</v>
      </c>
      <c r="M15" s="512"/>
      <c r="N15" s="512"/>
      <c r="O15" s="512"/>
      <c r="P15" s="512"/>
      <c r="Q15" s="512"/>
      <c r="R15" s="512"/>
      <c r="S15" s="512"/>
    </row>
    <row r="16" spans="1:19" ht="15" thickBot="1" x14ac:dyDescent="0.35">
      <c r="H16" s="142" t="s">
        <v>353</v>
      </c>
      <c r="I16" s="522">
        <f>F22</f>
        <v>81.056471980724041</v>
      </c>
      <c r="L16" s="505"/>
      <c r="M16" s="505"/>
      <c r="N16" s="505"/>
      <c r="O16" s="505"/>
      <c r="P16" s="505"/>
      <c r="Q16" s="505"/>
      <c r="R16" s="505"/>
      <c r="S16" s="505"/>
    </row>
    <row r="17" spans="1:19" x14ac:dyDescent="0.3">
      <c r="H17" s="142" t="s">
        <v>339</v>
      </c>
      <c r="I17" s="522">
        <f>G22-F22</f>
        <v>65.057546542025278</v>
      </c>
      <c r="L17" s="506" t="s">
        <v>310</v>
      </c>
      <c r="M17" s="506"/>
      <c r="N17" s="506"/>
      <c r="O17" s="506"/>
      <c r="P17" s="506"/>
      <c r="Q17" s="506"/>
      <c r="R17" s="506"/>
      <c r="S17" s="506"/>
    </row>
    <row r="18" spans="1:19" s="290" customFormat="1" x14ac:dyDescent="0.3">
      <c r="H18" s="142" t="s">
        <v>340</v>
      </c>
      <c r="I18" s="522">
        <f>H22-G22</f>
        <v>8.4206035498874883</v>
      </c>
      <c r="L18" s="507"/>
      <c r="M18" s="507"/>
      <c r="N18" s="507"/>
      <c r="O18" s="507"/>
      <c r="P18" s="507"/>
      <c r="Q18" s="507"/>
      <c r="R18" s="507"/>
      <c r="S18" s="507"/>
    </row>
    <row r="19" spans="1:19" s="290" customFormat="1" x14ac:dyDescent="0.3">
      <c r="H19" s="141" t="s">
        <v>341</v>
      </c>
      <c r="I19" s="522">
        <f>C22-H22</f>
        <v>1.0730739181952913</v>
      </c>
      <c r="L19" s="507"/>
      <c r="M19" s="507"/>
      <c r="N19" s="507"/>
      <c r="O19" s="507"/>
      <c r="P19" s="507"/>
      <c r="Q19" s="507"/>
      <c r="R19" s="507"/>
      <c r="S19" s="507"/>
    </row>
    <row r="20" spans="1:19" ht="15" thickBot="1" x14ac:dyDescent="0.35">
      <c r="F20" s="485" t="s">
        <v>367</v>
      </c>
      <c r="G20" s="485"/>
      <c r="H20" s="485"/>
      <c r="L20" s="508"/>
      <c r="M20" s="508"/>
      <c r="N20" s="508"/>
      <c r="O20" s="508"/>
      <c r="P20" s="508"/>
      <c r="Q20" s="508"/>
      <c r="R20" s="508"/>
      <c r="S20" s="508"/>
    </row>
    <row r="21" spans="1:19" ht="15.6" thickBot="1" x14ac:dyDescent="0.35">
      <c r="A21" s="67" t="s">
        <v>368</v>
      </c>
      <c r="B21" s="108">
        <f>Ex_322!$I$17</f>
        <v>23.359464775430848</v>
      </c>
      <c r="C21" s="286" t="s">
        <v>366</v>
      </c>
      <c r="D21" s="286" t="s">
        <v>299</v>
      </c>
      <c r="E21" s="286" t="s">
        <v>300</v>
      </c>
      <c r="F21" s="286">
        <v>25</v>
      </c>
      <c r="G21" s="286">
        <v>12</v>
      </c>
      <c r="H21" s="286">
        <v>6</v>
      </c>
      <c r="L21" s="313" t="s">
        <v>298</v>
      </c>
      <c r="M21" s="313" t="s">
        <v>311</v>
      </c>
      <c r="N21" s="313" t="s">
        <v>312</v>
      </c>
      <c r="O21" s="313" t="s">
        <v>313</v>
      </c>
      <c r="P21" s="313" t="s">
        <v>314</v>
      </c>
      <c r="Q21" s="313" t="s">
        <v>315</v>
      </c>
      <c r="R21" s="313" t="s">
        <v>316</v>
      </c>
      <c r="S21" s="313" t="s">
        <v>317</v>
      </c>
    </row>
    <row r="22" spans="1:19" ht="15" thickBot="1" x14ac:dyDescent="0.35">
      <c r="C22" s="161">
        <f>H9-H11</f>
        <v>155.6076959908321</v>
      </c>
      <c r="D22" s="524">
        <f>M22+N22*B11+O22*B12/1000+P22*100/(D11*SQRT(B12))+$Q$22/(1-(B10/2000))</f>
        <v>-0.52538664488848341</v>
      </c>
      <c r="E22">
        <f>R22+S22*B11</f>
        <v>3.1854</v>
      </c>
      <c r="F22" s="522">
        <f>$C$22*EXP($D$22*(F21/$B$21)^$E$22)</f>
        <v>81.056471980724041</v>
      </c>
      <c r="G22" s="522">
        <f>$C$22*EXP($D$22*(G21/$B$21)^$E$22)</f>
        <v>146.11401852274932</v>
      </c>
      <c r="H22" s="522">
        <f>$C$22*EXP($D$22*(H21/$B$21)^$E$22)</f>
        <v>154.53462207263681</v>
      </c>
      <c r="L22" s="314" t="s">
        <v>318</v>
      </c>
      <c r="M22" s="314">
        <v>-1.1074999999999999</v>
      </c>
      <c r="N22" s="314">
        <v>-0.34360000000000002</v>
      </c>
      <c r="O22" s="314">
        <v>7.4099999999999999E-2</v>
      </c>
      <c r="P22" s="314">
        <v>1.2604</v>
      </c>
      <c r="Q22" s="314">
        <v>0.26600000000000001</v>
      </c>
      <c r="R22" s="314">
        <v>3.1854</v>
      </c>
      <c r="S22" s="314">
        <v>0.55130000000000001</v>
      </c>
    </row>
    <row r="23" spans="1:19" ht="22.8" customHeight="1" x14ac:dyDescent="0.3">
      <c r="L23" s="498" t="s">
        <v>365</v>
      </c>
      <c r="M23" s="498"/>
      <c r="N23" s="498"/>
      <c r="O23" s="498"/>
      <c r="P23" s="498"/>
      <c r="Q23" s="498"/>
      <c r="R23" s="498"/>
      <c r="S23" s="498"/>
    </row>
    <row r="24" spans="1:19" x14ac:dyDescent="0.3">
      <c r="L24" s="509"/>
      <c r="M24" s="509"/>
      <c r="N24" s="509"/>
      <c r="O24" s="509"/>
      <c r="P24" s="509"/>
      <c r="Q24" s="509"/>
      <c r="R24" s="509"/>
      <c r="S24" s="509"/>
    </row>
    <row r="25" spans="1:19" x14ac:dyDescent="0.3">
      <c r="L25" s="510"/>
      <c r="M25" s="510"/>
      <c r="N25" s="510"/>
      <c r="O25" s="510"/>
      <c r="P25" s="510"/>
      <c r="Q25" s="510"/>
      <c r="R25" s="510"/>
      <c r="S25" s="510"/>
    </row>
    <row r="26" spans="1:19" ht="16.2" x14ac:dyDescent="0.3">
      <c r="A26" s="67" t="s">
        <v>161</v>
      </c>
      <c r="B26" s="109">
        <f>Ex_322!$I$14</f>
        <v>462.5</v>
      </c>
      <c r="H26" s="141" t="s">
        <v>338</v>
      </c>
      <c r="I26" s="302" t="s">
        <v>300</v>
      </c>
      <c r="J26" t="s">
        <v>371</v>
      </c>
      <c r="L26" s="509" t="s">
        <v>319</v>
      </c>
      <c r="M26" s="509"/>
      <c r="N26" s="509"/>
      <c r="O26" s="509"/>
      <c r="P26" s="509"/>
      <c r="Q26" s="509"/>
      <c r="R26" s="509"/>
      <c r="S26" s="509"/>
    </row>
    <row r="27" spans="1:19" x14ac:dyDescent="0.3">
      <c r="H27" s="141" t="s">
        <v>342</v>
      </c>
      <c r="I27" s="201">
        <f>N35+O35*$B$11+P35*$B$26/1000+Q35*$D$11/1000+R35*$B$8/1000</f>
        <v>1.0253033875472009</v>
      </c>
      <c r="J27" s="161">
        <f>M35*$D$10^I27*$D$9^S35</f>
        <v>87.346887496524545</v>
      </c>
      <c r="L27" s="502"/>
      <c r="M27" s="502"/>
      <c r="N27" s="502"/>
      <c r="O27" s="502"/>
      <c r="P27" s="502"/>
      <c r="Q27" s="502"/>
      <c r="R27" s="502"/>
      <c r="S27" s="502"/>
    </row>
    <row r="28" spans="1:19" x14ac:dyDescent="0.3">
      <c r="H28" s="142" t="s">
        <v>343</v>
      </c>
      <c r="I28" s="201">
        <f t="shared" ref="I28:I30" si="2">N36+O36*$B$11+P36*$B$26/1000+Q36*$D$11/1000+R36*$B$8/1000</f>
        <v>1.2411950431393661</v>
      </c>
      <c r="J28" s="161">
        <f t="shared" ref="J28:J30" si="3">M36*$D$10^I28*$D$9^S36</f>
        <v>12.259278504077169</v>
      </c>
      <c r="L28" s="503" t="s">
        <v>310</v>
      </c>
      <c r="M28" s="503"/>
      <c r="N28" s="503"/>
      <c r="O28" s="503"/>
      <c r="P28" s="503"/>
      <c r="Q28" s="503"/>
      <c r="R28" s="503"/>
      <c r="S28" s="503"/>
    </row>
    <row r="29" spans="1:19" x14ac:dyDescent="0.3">
      <c r="H29" s="142" t="s">
        <v>345</v>
      </c>
      <c r="I29" s="201">
        <f t="shared" si="2"/>
        <v>0.98525133498243245</v>
      </c>
      <c r="J29" s="161">
        <f t="shared" si="3"/>
        <v>7.3906867396346829</v>
      </c>
      <c r="L29" s="504"/>
      <c r="M29" s="504"/>
      <c r="N29" s="504"/>
      <c r="O29" s="504"/>
      <c r="P29" s="504"/>
      <c r="Q29" s="504"/>
      <c r="R29" s="504"/>
      <c r="S29" s="504"/>
    </row>
    <row r="30" spans="1:19" x14ac:dyDescent="0.3">
      <c r="H30" s="142" t="s">
        <v>344</v>
      </c>
      <c r="I30" s="201">
        <f t="shared" si="2"/>
        <v>1.0430343977990264</v>
      </c>
      <c r="J30" s="161">
        <f t="shared" si="3"/>
        <v>8.5127821542130331</v>
      </c>
      <c r="L30" s="504" t="s">
        <v>320</v>
      </c>
      <c r="M30" s="504"/>
      <c r="N30" s="504"/>
      <c r="O30" s="504"/>
      <c r="P30" s="504"/>
      <c r="Q30" s="504"/>
      <c r="R30" s="504"/>
      <c r="S30" s="504"/>
    </row>
    <row r="31" spans="1:19" x14ac:dyDescent="0.3">
      <c r="H31" s="142" t="s">
        <v>347</v>
      </c>
      <c r="I31" s="302"/>
      <c r="J31" s="161">
        <f>SUM(J27:J30)</f>
        <v>115.50963489444943</v>
      </c>
      <c r="L31" s="504" t="s">
        <v>321</v>
      </c>
      <c r="M31" s="504"/>
      <c r="N31" s="504"/>
      <c r="O31" s="504"/>
      <c r="P31" s="504"/>
      <c r="Q31" s="504"/>
      <c r="R31" s="504"/>
      <c r="S31" s="504"/>
    </row>
    <row r="32" spans="1:19" x14ac:dyDescent="0.3">
      <c r="H32" s="142" t="s">
        <v>346</v>
      </c>
      <c r="I32" s="302"/>
      <c r="J32" s="161">
        <f>J31*M39</f>
        <v>28.727246198249574</v>
      </c>
      <c r="L32" s="504" t="s">
        <v>322</v>
      </c>
      <c r="M32" s="504"/>
      <c r="N32" s="504"/>
      <c r="O32" s="504"/>
      <c r="P32" s="504"/>
      <c r="Q32" s="504"/>
      <c r="R32" s="504"/>
      <c r="S32" s="504"/>
    </row>
    <row r="33" spans="2:19" ht="15" thickBot="1" x14ac:dyDescent="0.35">
      <c r="H33" s="142" t="s">
        <v>348</v>
      </c>
      <c r="I33" s="302"/>
      <c r="J33" s="161">
        <f>J31+J32</f>
        <v>144.23688109269901</v>
      </c>
      <c r="L33" s="497"/>
      <c r="M33" s="497"/>
      <c r="N33" s="497"/>
      <c r="O33" s="497"/>
      <c r="P33" s="497"/>
      <c r="Q33" s="497"/>
      <c r="R33" s="497"/>
      <c r="S33" s="497"/>
    </row>
    <row r="34" spans="2:19" ht="15" thickBot="1" x14ac:dyDescent="0.35">
      <c r="L34" s="311" t="s">
        <v>323</v>
      </c>
      <c r="M34" s="311" t="s">
        <v>299</v>
      </c>
      <c r="N34" s="311" t="s">
        <v>324</v>
      </c>
      <c r="O34" s="311" t="s">
        <v>325</v>
      </c>
      <c r="P34" s="311" t="s">
        <v>326</v>
      </c>
      <c r="Q34" s="311" t="s">
        <v>327</v>
      </c>
      <c r="R34" s="311" t="s">
        <v>328</v>
      </c>
      <c r="S34" s="311" t="s">
        <v>301</v>
      </c>
    </row>
    <row r="35" spans="2:19" x14ac:dyDescent="0.3">
      <c r="L35" s="312" t="s">
        <v>329</v>
      </c>
      <c r="M35" s="312">
        <v>9.6699999999999994E-2</v>
      </c>
      <c r="N35" s="312">
        <v>1.0547</v>
      </c>
      <c r="O35" s="312">
        <v>-1.8E-3</v>
      </c>
      <c r="P35" s="312">
        <v>-6.4999999999999997E-3</v>
      </c>
      <c r="Q35" s="312">
        <v>-0.51980000000000004</v>
      </c>
      <c r="R35" s="312">
        <v>-1.2104999999999999</v>
      </c>
      <c r="S35" s="312">
        <v>1.1886000000000001</v>
      </c>
    </row>
    <row r="36" spans="2:19" x14ac:dyDescent="0.3">
      <c r="L36" s="312" t="s">
        <v>330</v>
      </c>
      <c r="M36" s="312">
        <v>3.6360000000000003E-2</v>
      </c>
      <c r="N36" s="312">
        <v>1.1691</v>
      </c>
      <c r="O36" s="312">
        <v>-8.3000000000000001E-3</v>
      </c>
      <c r="P36" s="312">
        <v>-4.5900000000000003E-2</v>
      </c>
      <c r="Q36" s="312">
        <v>3.2288999999999999</v>
      </c>
      <c r="R36" s="312">
        <v>2.0880000000000001</v>
      </c>
      <c r="S36" s="312">
        <v>0.67100000000000004</v>
      </c>
    </row>
    <row r="37" spans="2:19" x14ac:dyDescent="0.3">
      <c r="L37" s="312" t="s">
        <v>331</v>
      </c>
      <c r="M37" s="312">
        <v>1.044</v>
      </c>
      <c r="N37" s="312">
        <v>1.0971</v>
      </c>
      <c r="O37" s="312"/>
      <c r="P37" s="312">
        <v>-1.12E-2</v>
      </c>
      <c r="Q37" s="312">
        <v>-1.2206999999999999</v>
      </c>
      <c r="R37" s="312">
        <v>-6.2807000000000004</v>
      </c>
      <c r="S37" s="312">
        <v>-0.31290000000000001</v>
      </c>
    </row>
    <row r="38" spans="2:19" x14ac:dyDescent="0.3">
      <c r="L38" s="312" t="s">
        <v>332</v>
      </c>
      <c r="M38" s="312">
        <v>0.3972</v>
      </c>
      <c r="N38" s="312">
        <v>1.0004999999999999</v>
      </c>
      <c r="O38" s="312"/>
      <c r="P38" s="312">
        <v>-1.9199999999999998E-2</v>
      </c>
      <c r="Q38" s="312">
        <v>3.3170000000000002</v>
      </c>
      <c r="R38" s="312">
        <v>-1.2746999999999999</v>
      </c>
      <c r="S38" s="312">
        <v>-1.6E-2</v>
      </c>
    </row>
    <row r="39" spans="2:19" ht="15" thickBot="1" x14ac:dyDescent="0.35">
      <c r="L39" s="314" t="s">
        <v>333</v>
      </c>
      <c r="M39" s="314">
        <v>0.2487</v>
      </c>
      <c r="N39" s="314"/>
      <c r="O39" s="314"/>
      <c r="P39" s="314"/>
      <c r="Q39" s="314"/>
      <c r="R39" s="314"/>
      <c r="S39" s="314"/>
    </row>
    <row r="40" spans="2:19" ht="68.400000000000006" customHeight="1" x14ac:dyDescent="0.3">
      <c r="L40" s="498" t="s">
        <v>334</v>
      </c>
      <c r="M40" s="498"/>
      <c r="N40" s="498"/>
      <c r="O40" s="498"/>
      <c r="P40" s="498"/>
      <c r="Q40" s="498"/>
      <c r="R40" s="498"/>
      <c r="S40" s="498"/>
    </row>
    <row r="41" spans="2:19" x14ac:dyDescent="0.3">
      <c r="B41" s="83"/>
      <c r="C41" s="83"/>
      <c r="D41" s="83"/>
      <c r="E41" s="83"/>
      <c r="F41" s="83"/>
      <c r="G41" s="59"/>
      <c r="H41" s="83"/>
      <c r="I41" s="83"/>
      <c r="J41" s="83"/>
      <c r="K41" s="59"/>
      <c r="L41" s="83"/>
      <c r="M41" s="83"/>
    </row>
    <row r="42" spans="2:19" x14ac:dyDescent="0.3"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</row>
    <row r="43" spans="2:19" x14ac:dyDescent="0.3"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</row>
    <row r="44" spans="2:19" x14ac:dyDescent="0.3">
      <c r="B44" s="290"/>
      <c r="C44" s="290"/>
      <c r="D44" s="290"/>
      <c r="E44" s="290"/>
      <c r="F44" s="290"/>
      <c r="G44" s="136"/>
      <c r="H44" s="136"/>
      <c r="I44" s="136"/>
      <c r="J44" s="136"/>
      <c r="K44" s="136"/>
      <c r="L44" s="136"/>
      <c r="M44" s="136"/>
    </row>
    <row r="45" spans="2:19" x14ac:dyDescent="0.3">
      <c r="B45" s="290"/>
      <c r="C45" s="290"/>
      <c r="D45" s="290"/>
      <c r="E45" s="290"/>
      <c r="F45" s="290"/>
      <c r="G45" s="136"/>
      <c r="H45" s="136"/>
      <c r="I45" s="136"/>
      <c r="J45" s="136"/>
      <c r="K45" s="136"/>
      <c r="L45" s="136"/>
      <c r="M45" s="136"/>
    </row>
    <row r="46" spans="2:19" x14ac:dyDescent="0.3">
      <c r="G46" s="136"/>
      <c r="H46" s="136"/>
      <c r="I46" s="136"/>
      <c r="J46" s="136"/>
      <c r="K46" s="136"/>
      <c r="L46" s="136"/>
      <c r="M46" s="136"/>
    </row>
  </sheetData>
  <mergeCells count="24">
    <mergeCell ref="F20:H20"/>
    <mergeCell ref="L26:S26"/>
    <mergeCell ref="L6:S6"/>
    <mergeCell ref="L7:S7"/>
    <mergeCell ref="L8:O8"/>
    <mergeCell ref="P8:S8"/>
    <mergeCell ref="L13:S13"/>
    <mergeCell ref="L15:S15"/>
    <mergeCell ref="L33:S33"/>
    <mergeCell ref="L40:S40"/>
    <mergeCell ref="A2:K2"/>
    <mergeCell ref="A3:I5"/>
    <mergeCell ref="A15:H15"/>
    <mergeCell ref="L27:S27"/>
    <mergeCell ref="L28:S28"/>
    <mergeCell ref="L29:S29"/>
    <mergeCell ref="L30:S30"/>
    <mergeCell ref="L31:S31"/>
    <mergeCell ref="L32:S32"/>
    <mergeCell ref="L16:S16"/>
    <mergeCell ref="L17:S20"/>
    <mergeCell ref="L23:S23"/>
    <mergeCell ref="L24:S24"/>
    <mergeCell ref="L25:S25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7175" r:id="rId4">
          <objectPr defaultSize="0" autoPict="0" r:id="rId5">
            <anchor moveWithCells="1" sizeWithCells="1">
              <from>
                <xdr:col>11</xdr:col>
                <xdr:colOff>0</xdr:colOff>
                <xdr:row>27</xdr:row>
                <xdr:rowOff>0</xdr:rowOff>
              </from>
              <to>
                <xdr:col>13</xdr:col>
                <xdr:colOff>0</xdr:colOff>
                <xdr:row>29</xdr:row>
                <xdr:rowOff>15240</xdr:rowOff>
              </to>
            </anchor>
          </objectPr>
        </oleObject>
      </mc:Choice>
      <mc:Fallback>
        <oleObject progId="Equation.3" shapeId="7175" r:id="rId4"/>
      </mc:Fallback>
    </mc:AlternateContent>
    <mc:AlternateContent xmlns:mc="http://schemas.openxmlformats.org/markup-compatibility/2006">
      <mc:Choice Requires="x14">
        <oleObject progId="Equation.3" shapeId="7174" r:id="rId6">
          <objectPr defaultSize="0" autoPict="0" r:id="rId7">
            <anchor moveWithCells="1" sizeWithCells="1">
              <from>
                <xdr:col>13</xdr:col>
                <xdr:colOff>525780</xdr:colOff>
                <xdr:row>28</xdr:row>
                <xdr:rowOff>38100</xdr:rowOff>
              </from>
              <to>
                <xdr:col>18</xdr:col>
                <xdr:colOff>449580</xdr:colOff>
                <xdr:row>30</xdr:row>
                <xdr:rowOff>129540</xdr:rowOff>
              </to>
            </anchor>
          </objectPr>
        </oleObject>
      </mc:Choice>
      <mc:Fallback>
        <oleObject progId="Equation.3" shapeId="7174" r:id="rId6"/>
      </mc:Fallback>
    </mc:AlternateContent>
    <mc:AlternateContent xmlns:mc="http://schemas.openxmlformats.org/markup-compatibility/2006">
      <mc:Choice Requires="x14">
        <oleObject progId="Equation.3" shapeId="7173" r:id="rId8">
          <objectPr defaultSize="0" autoPict="0" r:id="rId9">
            <anchor moveWithCells="1" sizeWithCells="1">
              <from>
                <xdr:col>11</xdr:col>
                <xdr:colOff>0</xdr:colOff>
                <xdr:row>30</xdr:row>
                <xdr:rowOff>0</xdr:rowOff>
              </from>
              <to>
                <xdr:col>13</xdr:col>
                <xdr:colOff>304800</xdr:colOff>
                <xdr:row>31</xdr:row>
                <xdr:rowOff>45720</xdr:rowOff>
              </to>
            </anchor>
          </objectPr>
        </oleObject>
      </mc:Choice>
      <mc:Fallback>
        <oleObject progId="Equation.3" shapeId="7173" r:id="rId8"/>
      </mc:Fallback>
    </mc:AlternateContent>
    <mc:AlternateContent xmlns:mc="http://schemas.openxmlformats.org/markup-compatibility/2006">
      <mc:Choice Requires="x14">
        <oleObject progId="Equation.3" shapeId="7172" r:id="rId10">
          <objectPr defaultSize="0" autoPict="0" r:id="rId11">
            <anchor moveWithCells="1" sizeWithCells="1">
              <from>
                <xdr:col>11</xdr:col>
                <xdr:colOff>0</xdr:colOff>
                <xdr:row>31</xdr:row>
                <xdr:rowOff>0</xdr:rowOff>
              </from>
              <to>
                <xdr:col>12</xdr:col>
                <xdr:colOff>76200</xdr:colOff>
                <xdr:row>32</xdr:row>
                <xdr:rowOff>45720</xdr:rowOff>
              </to>
            </anchor>
          </objectPr>
        </oleObject>
      </mc:Choice>
      <mc:Fallback>
        <oleObject progId="Equation.3" shapeId="7172" r:id="rId10"/>
      </mc:Fallback>
    </mc:AlternateContent>
    <mc:AlternateContent xmlns:mc="http://schemas.openxmlformats.org/markup-compatibility/2006">
      <mc:Choice Requires="x14">
        <oleObject progId="Equation.3" shapeId="7171" r:id="rId12">
          <objectPr defaultSize="0" autoPict="0" r:id="rId13">
            <anchor moveWithCells="1" sizeWithCells="1">
              <from>
                <xdr:col>11</xdr:col>
                <xdr:colOff>0</xdr:colOff>
                <xdr:row>32</xdr:row>
                <xdr:rowOff>0</xdr:rowOff>
              </from>
              <to>
                <xdr:col>12</xdr:col>
                <xdr:colOff>228600</xdr:colOff>
                <xdr:row>33</xdr:row>
                <xdr:rowOff>114300</xdr:rowOff>
              </to>
            </anchor>
          </objectPr>
        </oleObject>
      </mc:Choice>
      <mc:Fallback>
        <oleObject progId="Equation.3" shapeId="7171" r:id="rId12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8"/>
  <sheetViews>
    <sheetView tabSelected="1" workbookViewId="0">
      <selection activeCell="O15" sqref="O15"/>
    </sheetView>
  </sheetViews>
  <sheetFormatPr defaultRowHeight="14.4" x14ac:dyDescent="0.3"/>
  <sheetData>
    <row r="1" spans="1:23" s="290" customFormat="1" ht="14.4" customHeight="1" x14ac:dyDescent="0.3">
      <c r="A1" s="489" t="s">
        <v>372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</row>
    <row r="2" spans="1:23" s="290" customFormat="1" x14ac:dyDescent="0.3">
      <c r="A2" s="489"/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O2" s="488" t="s">
        <v>374</v>
      </c>
      <c r="P2" s="488"/>
      <c r="Q2" s="488"/>
      <c r="R2" s="488"/>
      <c r="S2" s="488"/>
      <c r="T2" s="488"/>
      <c r="U2" s="488"/>
      <c r="V2" s="488"/>
      <c r="W2" s="488"/>
    </row>
    <row r="3" spans="1:23" s="290" customFormat="1" x14ac:dyDescent="0.3">
      <c r="A3" s="529" t="s">
        <v>373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O3" s="488" t="s">
        <v>375</v>
      </c>
      <c r="P3" s="488"/>
      <c r="Q3" s="488"/>
      <c r="R3" s="488"/>
      <c r="S3" s="488"/>
      <c r="T3" s="488"/>
      <c r="U3" s="488"/>
      <c r="V3" s="488"/>
      <c r="W3" s="488"/>
    </row>
    <row r="4" spans="1:23" s="290" customFormat="1" ht="15" thickBot="1" x14ac:dyDescent="0.35">
      <c r="A4" s="530"/>
      <c r="B4" s="530"/>
      <c r="C4" s="530"/>
      <c r="D4" s="530"/>
      <c r="E4" s="530"/>
      <c r="F4" s="530"/>
      <c r="G4" s="530"/>
      <c r="H4" s="530"/>
      <c r="I4" s="530"/>
      <c r="J4" s="530"/>
      <c r="K4" s="530"/>
      <c r="L4" s="530"/>
      <c r="M4" s="530"/>
      <c r="O4" s="488" t="s">
        <v>376</v>
      </c>
      <c r="P4" s="488"/>
      <c r="Q4" s="488"/>
      <c r="R4" s="488"/>
      <c r="S4" s="488"/>
      <c r="T4" s="488"/>
      <c r="U4" s="488"/>
      <c r="V4" s="488"/>
      <c r="W4" s="488"/>
    </row>
    <row r="5" spans="1:23" ht="15.6" thickTop="1" thickBot="1" x14ac:dyDescent="0.35">
      <c r="A5" s="451" t="s">
        <v>135</v>
      </c>
      <c r="B5" s="452"/>
      <c r="C5" s="452"/>
      <c r="D5" s="452"/>
      <c r="E5" s="452"/>
      <c r="F5" s="452"/>
      <c r="G5" s="452"/>
      <c r="H5" s="452"/>
      <c r="I5" s="452"/>
      <c r="J5" s="452"/>
      <c r="K5" s="452"/>
      <c r="L5" s="452"/>
      <c r="M5" s="453"/>
      <c r="O5" s="532" t="s">
        <v>377</v>
      </c>
      <c r="P5" s="532"/>
      <c r="Q5" s="532"/>
      <c r="R5" s="532"/>
      <c r="S5" s="532"/>
      <c r="T5" s="532"/>
      <c r="U5" s="532"/>
      <c r="V5" s="532"/>
      <c r="W5" s="532"/>
    </row>
    <row r="6" spans="1:23" ht="15.6" thickTop="1" thickBot="1" x14ac:dyDescent="0.35">
      <c r="A6" s="464" t="s">
        <v>136</v>
      </c>
      <c r="B6" s="464" t="s">
        <v>77</v>
      </c>
      <c r="C6" s="464" t="s">
        <v>11</v>
      </c>
      <c r="D6" s="527" t="s">
        <v>369</v>
      </c>
      <c r="E6" s="526"/>
      <c r="F6" s="466" t="s">
        <v>137</v>
      </c>
      <c r="G6" s="467"/>
      <c r="H6" s="467"/>
      <c r="I6" s="468"/>
      <c r="J6" s="466" t="s">
        <v>138</v>
      </c>
      <c r="K6" s="467"/>
      <c r="L6" s="467"/>
      <c r="M6" s="468"/>
      <c r="O6" s="532"/>
      <c r="P6" s="532"/>
      <c r="Q6" s="532"/>
      <c r="R6" s="532"/>
      <c r="S6" s="532"/>
      <c r="T6" s="532"/>
      <c r="U6" s="532"/>
      <c r="V6" s="532"/>
      <c r="W6" s="532"/>
    </row>
    <row r="7" spans="1:23" ht="15.6" thickTop="1" thickBot="1" x14ac:dyDescent="0.35">
      <c r="A7" s="465"/>
      <c r="B7" s="465"/>
      <c r="C7" s="465"/>
      <c r="D7" s="528" t="s">
        <v>139</v>
      </c>
      <c r="E7" s="213" t="s">
        <v>370</v>
      </c>
      <c r="F7" s="93" t="s">
        <v>140</v>
      </c>
      <c r="G7" s="93" t="s">
        <v>141</v>
      </c>
      <c r="H7" s="93" t="s">
        <v>142</v>
      </c>
      <c r="I7" s="93" t="s">
        <v>143</v>
      </c>
      <c r="J7" s="93" t="s">
        <v>144</v>
      </c>
      <c r="K7" s="93" t="s">
        <v>145</v>
      </c>
      <c r="L7" s="93" t="s">
        <v>146</v>
      </c>
      <c r="M7" s="93" t="s">
        <v>147</v>
      </c>
    </row>
    <row r="8" spans="1:23" ht="15" thickBot="1" x14ac:dyDescent="0.35">
      <c r="A8" s="212">
        <v>1</v>
      </c>
      <c r="B8" s="113" t="s">
        <v>148</v>
      </c>
      <c r="C8" s="93">
        <v>25.46</v>
      </c>
      <c r="D8" s="525">
        <v>2.5</v>
      </c>
      <c r="E8" s="525">
        <v>28.2</v>
      </c>
      <c r="F8" s="93">
        <v>7.4</v>
      </c>
      <c r="G8" s="93">
        <v>2.7</v>
      </c>
      <c r="H8" s="93">
        <v>2.2000000000000002</v>
      </c>
      <c r="I8" s="93">
        <v>1.8</v>
      </c>
      <c r="J8" s="93">
        <v>3</v>
      </c>
      <c r="K8" s="93">
        <v>4.4000000000000004</v>
      </c>
      <c r="L8" s="93">
        <v>2.2999999999999998</v>
      </c>
      <c r="M8" s="93">
        <v>4.7</v>
      </c>
    </row>
    <row r="9" spans="1:23" ht="15" thickBot="1" x14ac:dyDescent="0.35">
      <c r="A9" s="212">
        <v>2</v>
      </c>
      <c r="B9" s="113" t="s">
        <v>148</v>
      </c>
      <c r="C9" s="93">
        <v>42.02</v>
      </c>
      <c r="D9" s="525">
        <v>-1.1000000000000001</v>
      </c>
      <c r="E9" s="525">
        <v>20.5</v>
      </c>
      <c r="F9" s="93">
        <v>9.8000000000000007</v>
      </c>
      <c r="G9" s="93">
        <v>3</v>
      </c>
      <c r="H9" s="93">
        <v>3.1</v>
      </c>
      <c r="I9" s="93">
        <v>3.6</v>
      </c>
      <c r="J9" s="93">
        <v>5.2</v>
      </c>
      <c r="K9" s="93">
        <v>7.4</v>
      </c>
      <c r="L9" s="93">
        <v>4.5</v>
      </c>
      <c r="M9" s="93">
        <v>6.2</v>
      </c>
    </row>
    <row r="10" spans="1:23" ht="15" thickBot="1" x14ac:dyDescent="0.35">
      <c r="A10" s="212">
        <v>3</v>
      </c>
      <c r="B10" s="113" t="s">
        <v>148</v>
      </c>
      <c r="C10" s="93">
        <v>34.06</v>
      </c>
      <c r="D10" s="525">
        <v>-13.9</v>
      </c>
      <c r="E10" s="525">
        <v>7.1</v>
      </c>
      <c r="F10" s="93">
        <v>9.3000000000000007</v>
      </c>
      <c r="G10" s="93">
        <v>3.1</v>
      </c>
      <c r="H10" s="93">
        <v>2.9</v>
      </c>
      <c r="I10" s="93">
        <v>2.2000000000000002</v>
      </c>
      <c r="J10" s="93">
        <v>4.5999999999999996</v>
      </c>
      <c r="K10" s="93">
        <v>6.2</v>
      </c>
      <c r="L10" s="93">
        <v>2.7</v>
      </c>
      <c r="M10" s="93">
        <v>3.9</v>
      </c>
    </row>
    <row r="11" spans="1:23" ht="15" thickBot="1" x14ac:dyDescent="0.35">
      <c r="A11" s="212">
        <v>4</v>
      </c>
      <c r="B11" s="113" t="s">
        <v>148</v>
      </c>
      <c r="C11" s="93">
        <v>22.6</v>
      </c>
      <c r="D11" s="525">
        <v>-6</v>
      </c>
      <c r="E11" s="525">
        <v>1.7</v>
      </c>
      <c r="F11" s="93">
        <v>7.1</v>
      </c>
      <c r="G11" s="93">
        <v>2.1</v>
      </c>
      <c r="H11" s="93">
        <v>1.6</v>
      </c>
      <c r="I11" s="93">
        <v>1.5</v>
      </c>
      <c r="J11" s="93">
        <v>1.9</v>
      </c>
      <c r="K11" s="93">
        <v>3</v>
      </c>
      <c r="L11" s="93">
        <v>3.1</v>
      </c>
      <c r="M11" s="93">
        <v>3.3</v>
      </c>
    </row>
    <row r="12" spans="1:23" ht="15" thickBot="1" x14ac:dyDescent="0.35">
      <c r="A12" s="212">
        <v>5</v>
      </c>
      <c r="B12" s="113" t="s">
        <v>148</v>
      </c>
      <c r="C12" s="93">
        <v>44.56</v>
      </c>
      <c r="D12" s="525">
        <v>-2.1</v>
      </c>
      <c r="E12" s="525">
        <v>-9.1999999999999993</v>
      </c>
      <c r="F12" s="93">
        <v>8.8000000000000007</v>
      </c>
      <c r="G12" s="93">
        <v>3</v>
      </c>
      <c r="H12" s="93">
        <v>1.4</v>
      </c>
      <c r="I12" s="93">
        <v>2.7</v>
      </c>
      <c r="J12" s="93">
        <v>2</v>
      </c>
      <c r="K12" s="93">
        <v>4.2</v>
      </c>
      <c r="L12" s="93">
        <v>4.0999999999999996</v>
      </c>
      <c r="M12" s="93">
        <v>5.4</v>
      </c>
    </row>
    <row r="13" spans="1:23" ht="15" thickBot="1" x14ac:dyDescent="0.35">
      <c r="A13" s="212">
        <v>6</v>
      </c>
      <c r="B13" s="113" t="s">
        <v>148</v>
      </c>
      <c r="C13" s="93">
        <v>44.88</v>
      </c>
      <c r="D13" s="525">
        <v>-2.4</v>
      </c>
      <c r="E13" s="525">
        <v>-19.399999999999999</v>
      </c>
      <c r="F13" s="93">
        <v>7.8</v>
      </c>
      <c r="G13" s="93">
        <v>2.4</v>
      </c>
      <c r="H13" s="93">
        <v>1.9</v>
      </c>
      <c r="I13" s="93">
        <v>2.4</v>
      </c>
      <c r="J13" s="93">
        <v>5</v>
      </c>
      <c r="K13" s="93">
        <v>4.9000000000000004</v>
      </c>
      <c r="L13" s="93">
        <v>5.6</v>
      </c>
      <c r="M13" s="93">
        <v>4.9000000000000004</v>
      </c>
    </row>
    <row r="14" spans="1:23" ht="15" thickBot="1" x14ac:dyDescent="0.35">
      <c r="A14" s="212">
        <v>7</v>
      </c>
      <c r="B14" s="113" t="s">
        <v>148</v>
      </c>
      <c r="C14" s="93">
        <v>31.19</v>
      </c>
      <c r="D14" s="525">
        <v>6.3</v>
      </c>
      <c r="E14" s="525">
        <v>-21.9</v>
      </c>
      <c r="F14" s="93">
        <v>10.4</v>
      </c>
      <c r="G14" s="93">
        <v>4.2</v>
      </c>
      <c r="H14" s="93">
        <v>5.0999999999999996</v>
      </c>
      <c r="I14" s="93">
        <v>2.7</v>
      </c>
      <c r="J14" s="93">
        <v>2.5</v>
      </c>
      <c r="K14" s="93">
        <v>6.5</v>
      </c>
      <c r="L14" s="93">
        <v>2.2000000000000002</v>
      </c>
      <c r="M14" s="93">
        <v>4.2</v>
      </c>
    </row>
    <row r="15" spans="1:23" ht="15" thickBot="1" x14ac:dyDescent="0.35">
      <c r="A15" s="212">
        <v>8</v>
      </c>
      <c r="B15" s="113" t="s">
        <v>148</v>
      </c>
      <c r="C15" s="93">
        <v>60.8</v>
      </c>
      <c r="D15" s="525">
        <v>18.5</v>
      </c>
      <c r="E15" s="525">
        <v>-6</v>
      </c>
      <c r="F15" s="93">
        <v>14</v>
      </c>
      <c r="G15" s="93">
        <v>2.4</v>
      </c>
      <c r="H15" s="93">
        <v>2.2000000000000002</v>
      </c>
      <c r="I15" s="93">
        <v>3.4</v>
      </c>
      <c r="J15" s="93">
        <v>6.6</v>
      </c>
      <c r="K15" s="93">
        <v>9.1</v>
      </c>
      <c r="L15" s="93">
        <v>8.3000000000000007</v>
      </c>
      <c r="M15" s="93">
        <v>7.8</v>
      </c>
    </row>
    <row r="16" spans="1:23" ht="15" thickBot="1" x14ac:dyDescent="0.35">
      <c r="A16" s="212">
        <v>9</v>
      </c>
      <c r="B16" s="113" t="s">
        <v>148</v>
      </c>
      <c r="C16" s="93">
        <v>27.69</v>
      </c>
      <c r="D16" s="525">
        <v>-16.3</v>
      </c>
      <c r="E16" s="525">
        <v>-16.3</v>
      </c>
      <c r="F16" s="93">
        <v>8.4</v>
      </c>
      <c r="G16" s="93">
        <v>3.3</v>
      </c>
      <c r="H16" s="93">
        <v>2.5</v>
      </c>
      <c r="I16" s="93">
        <v>2.2000000000000002</v>
      </c>
      <c r="J16" s="93">
        <v>2.4</v>
      </c>
      <c r="K16" s="93">
        <v>4.2</v>
      </c>
      <c r="L16" s="93">
        <v>5.0999999999999996</v>
      </c>
      <c r="M16" s="93">
        <v>3.8</v>
      </c>
    </row>
    <row r="17" spans="1:13" ht="15" thickBot="1" x14ac:dyDescent="0.35">
      <c r="A17" s="212">
        <v>10</v>
      </c>
      <c r="B17" s="113" t="s">
        <v>148</v>
      </c>
      <c r="C17" s="93">
        <v>27.37</v>
      </c>
      <c r="D17" s="525">
        <v>-18.899999999999999</v>
      </c>
      <c r="E17" s="525">
        <v>-21</v>
      </c>
      <c r="F17" s="93">
        <v>7.2</v>
      </c>
      <c r="G17" s="93">
        <v>2.8</v>
      </c>
      <c r="H17" s="93">
        <v>1.6</v>
      </c>
      <c r="I17" s="93">
        <v>2</v>
      </c>
      <c r="J17" s="93">
        <v>2.9</v>
      </c>
      <c r="K17" s="93">
        <v>5.5</v>
      </c>
      <c r="L17" s="93">
        <v>2.6</v>
      </c>
      <c r="M17" s="93">
        <v>3.8</v>
      </c>
    </row>
    <row r="18" spans="1:13" ht="15" thickBot="1" x14ac:dyDescent="0.35">
      <c r="A18" s="212">
        <v>11</v>
      </c>
      <c r="B18" s="113" t="s">
        <v>148</v>
      </c>
      <c r="C18" s="93">
        <v>48.38</v>
      </c>
      <c r="D18" s="525">
        <v>-39.5</v>
      </c>
      <c r="E18" s="525">
        <v>-2.8</v>
      </c>
      <c r="F18" s="93">
        <v>8.5</v>
      </c>
      <c r="G18" s="93">
        <v>3.5</v>
      </c>
      <c r="H18" s="93">
        <v>2</v>
      </c>
      <c r="I18" s="93">
        <v>2.2999999999999998</v>
      </c>
      <c r="J18" s="93">
        <v>5.4</v>
      </c>
      <c r="K18" s="93">
        <v>3.6</v>
      </c>
      <c r="L18" s="93">
        <v>2.8</v>
      </c>
      <c r="M18" s="93">
        <v>4.3</v>
      </c>
    </row>
    <row r="19" spans="1:13" ht="15" thickBot="1" x14ac:dyDescent="0.35">
      <c r="A19" s="212">
        <v>12</v>
      </c>
      <c r="B19" s="113" t="s">
        <v>148</v>
      </c>
      <c r="C19" s="93">
        <v>52.84</v>
      </c>
      <c r="D19" s="525">
        <v>-37.700000000000003</v>
      </c>
      <c r="E19" s="525">
        <v>-20</v>
      </c>
      <c r="F19" s="93">
        <v>11.3</v>
      </c>
      <c r="G19" s="93">
        <v>3.7</v>
      </c>
      <c r="H19" s="93">
        <v>2.5</v>
      </c>
      <c r="I19" s="93">
        <v>3.5</v>
      </c>
      <c r="J19" s="93">
        <v>5.6</v>
      </c>
      <c r="K19" s="93">
        <v>5.7</v>
      </c>
      <c r="L19" s="93">
        <v>8.1</v>
      </c>
      <c r="M19" s="93">
        <v>4.7</v>
      </c>
    </row>
    <row r="20" spans="1:13" ht="15" thickBot="1" x14ac:dyDescent="0.35">
      <c r="A20" s="212">
        <v>13</v>
      </c>
      <c r="B20" s="113" t="s">
        <v>148</v>
      </c>
      <c r="C20" s="93">
        <v>42.65</v>
      </c>
      <c r="D20" s="525">
        <v>-26.9</v>
      </c>
      <c r="E20" s="525">
        <v>-27.8</v>
      </c>
      <c r="F20" s="93">
        <v>10.3</v>
      </c>
      <c r="G20" s="93">
        <v>3.9</v>
      </c>
      <c r="H20" s="93">
        <v>2.7</v>
      </c>
      <c r="I20" s="93">
        <v>2</v>
      </c>
      <c r="J20" s="93">
        <v>3.7</v>
      </c>
      <c r="K20" s="93">
        <v>6.1</v>
      </c>
      <c r="L20" s="93">
        <v>4.7</v>
      </c>
      <c r="M20" s="93">
        <v>2</v>
      </c>
    </row>
    <row r="21" spans="1:13" ht="15" thickBot="1" x14ac:dyDescent="0.35">
      <c r="A21" s="212">
        <v>14</v>
      </c>
      <c r="B21" s="113" t="s">
        <v>148</v>
      </c>
      <c r="C21" s="93">
        <v>54.43</v>
      </c>
      <c r="D21" s="525">
        <v>-19.7</v>
      </c>
      <c r="E21" s="525">
        <v>-42.1</v>
      </c>
      <c r="F21" s="93">
        <v>10.9</v>
      </c>
      <c r="G21" s="93">
        <v>3.6</v>
      </c>
      <c r="H21" s="93">
        <v>1.6</v>
      </c>
      <c r="I21" s="93">
        <v>2.5</v>
      </c>
      <c r="J21" s="93">
        <v>5.0999999999999996</v>
      </c>
      <c r="K21" s="93">
        <v>7.1</v>
      </c>
      <c r="L21" s="93">
        <v>6.7</v>
      </c>
      <c r="M21" s="93">
        <v>5.5</v>
      </c>
    </row>
    <row r="22" spans="1:13" ht="15" thickBot="1" x14ac:dyDescent="0.35">
      <c r="A22" s="212">
        <v>15</v>
      </c>
      <c r="B22" s="113" t="s">
        <v>148</v>
      </c>
      <c r="C22" s="93">
        <v>58.25</v>
      </c>
      <c r="D22" s="525">
        <v>2.6</v>
      </c>
      <c r="E22" s="525">
        <v>-36.799999999999997</v>
      </c>
      <c r="F22" s="93">
        <v>7.7</v>
      </c>
      <c r="G22" s="93">
        <v>1.8</v>
      </c>
      <c r="H22" s="93">
        <v>1.6</v>
      </c>
      <c r="I22" s="93">
        <v>3.6</v>
      </c>
      <c r="J22" s="93">
        <v>6.7</v>
      </c>
      <c r="K22" s="93">
        <v>7.1</v>
      </c>
      <c r="L22" s="93">
        <v>7.2</v>
      </c>
      <c r="M22" s="93">
        <v>6.6</v>
      </c>
    </row>
    <row r="23" spans="1:13" ht="15" thickBot="1" x14ac:dyDescent="0.35">
      <c r="A23" s="212">
        <v>16</v>
      </c>
      <c r="B23" s="113" t="s">
        <v>148</v>
      </c>
      <c r="C23" s="93">
        <v>47.43</v>
      </c>
      <c r="D23" s="525">
        <v>7.5</v>
      </c>
      <c r="E23" s="525">
        <v>-53.5</v>
      </c>
      <c r="F23" s="93">
        <v>6.5</v>
      </c>
      <c r="G23" s="93">
        <v>3.4</v>
      </c>
      <c r="H23" s="93">
        <v>2.6</v>
      </c>
      <c r="I23" s="93">
        <v>2.9</v>
      </c>
      <c r="J23" s="93">
        <v>5.0999999999999996</v>
      </c>
      <c r="K23" s="93">
        <v>5.5</v>
      </c>
      <c r="L23" s="93">
        <v>4.3</v>
      </c>
      <c r="M23" s="93">
        <v>5.4</v>
      </c>
    </row>
    <row r="24" spans="1:13" ht="15" thickBot="1" x14ac:dyDescent="0.35">
      <c r="A24" s="212">
        <v>17</v>
      </c>
      <c r="B24" s="113" t="s">
        <v>148</v>
      </c>
      <c r="C24" s="93">
        <v>35.97</v>
      </c>
      <c r="D24" s="525">
        <v>26.4</v>
      </c>
      <c r="E24" s="525">
        <v>-31.5</v>
      </c>
      <c r="F24" s="93">
        <v>7.4</v>
      </c>
      <c r="G24" s="93">
        <v>2.2000000000000002</v>
      </c>
      <c r="H24" s="93">
        <v>2.6</v>
      </c>
      <c r="I24" s="93">
        <v>3.1</v>
      </c>
      <c r="J24" s="93">
        <v>5.0999999999999996</v>
      </c>
      <c r="K24" s="93">
        <v>4.5</v>
      </c>
      <c r="L24" s="93">
        <v>5.7</v>
      </c>
      <c r="M24" s="93">
        <v>4.5</v>
      </c>
    </row>
    <row r="25" spans="1:13" ht="15" thickBot="1" x14ac:dyDescent="0.35">
      <c r="A25" s="212">
        <v>18</v>
      </c>
      <c r="B25" s="113" t="s">
        <v>148</v>
      </c>
      <c r="C25" s="93">
        <v>31.83</v>
      </c>
      <c r="D25" s="525">
        <v>26.8</v>
      </c>
      <c r="E25" s="525">
        <v>-20.2</v>
      </c>
      <c r="F25" s="93">
        <v>7.4</v>
      </c>
      <c r="G25" s="93">
        <v>3.2</v>
      </c>
      <c r="H25" s="93">
        <v>3.2</v>
      </c>
      <c r="I25" s="93">
        <v>2.8</v>
      </c>
      <c r="J25" s="93">
        <v>6.1</v>
      </c>
      <c r="K25" s="93">
        <v>5.9</v>
      </c>
      <c r="L25" s="93">
        <v>5.4</v>
      </c>
      <c r="M25" s="93">
        <v>5.0999999999999996</v>
      </c>
    </row>
    <row r="26" spans="1:13" ht="15" thickBot="1" x14ac:dyDescent="0.35">
      <c r="A26" s="212">
        <v>19</v>
      </c>
      <c r="B26" s="113" t="s">
        <v>148</v>
      </c>
      <c r="C26" s="93">
        <v>25.78</v>
      </c>
      <c r="D26" s="525">
        <v>39.700000000000003</v>
      </c>
      <c r="E26" s="525">
        <v>-41.1</v>
      </c>
      <c r="F26" s="93">
        <v>6.4</v>
      </c>
      <c r="G26" s="93">
        <v>1.8</v>
      </c>
      <c r="H26" s="93">
        <v>2.2000000000000002</v>
      </c>
      <c r="I26" s="93">
        <v>2.4</v>
      </c>
      <c r="J26" s="93">
        <v>2.9</v>
      </c>
      <c r="K26" s="93">
        <v>4.8</v>
      </c>
      <c r="L26" s="93">
        <v>4</v>
      </c>
      <c r="M26" s="93">
        <v>3.6</v>
      </c>
    </row>
    <row r="27" spans="1:13" ht="15" thickBot="1" x14ac:dyDescent="0.35">
      <c r="A27" s="212">
        <v>20</v>
      </c>
      <c r="B27" s="113" t="s">
        <v>148</v>
      </c>
      <c r="C27" s="93">
        <v>74.17</v>
      </c>
      <c r="D27" s="525">
        <v>47</v>
      </c>
      <c r="E27" s="525">
        <v>-17.100000000000001</v>
      </c>
      <c r="F27" s="93">
        <v>9.4</v>
      </c>
      <c r="G27" s="93">
        <v>3.3</v>
      </c>
      <c r="H27" s="93">
        <v>1.3</v>
      </c>
      <c r="I27" s="93">
        <v>2.8</v>
      </c>
      <c r="J27" s="93">
        <v>7.5</v>
      </c>
      <c r="K27" s="93">
        <v>9.6</v>
      </c>
      <c r="L27" s="93">
        <v>5.3</v>
      </c>
      <c r="M27" s="93">
        <v>7.9</v>
      </c>
    </row>
    <row r="28" spans="1:13" ht="15" thickBot="1" x14ac:dyDescent="0.35">
      <c r="A28" s="212">
        <v>21</v>
      </c>
      <c r="B28" s="113" t="s">
        <v>148</v>
      </c>
      <c r="C28" s="93">
        <v>22.28</v>
      </c>
      <c r="D28" s="525">
        <v>19.399999999999999</v>
      </c>
      <c r="E28" s="525">
        <v>-19.399999999999999</v>
      </c>
      <c r="F28" s="93">
        <v>5.4</v>
      </c>
      <c r="G28" s="93">
        <v>1.9</v>
      </c>
      <c r="H28" s="93">
        <v>2.4</v>
      </c>
      <c r="I28" s="93">
        <v>1.2</v>
      </c>
      <c r="J28" s="93">
        <v>2.6</v>
      </c>
      <c r="K28" s="93">
        <v>1.4</v>
      </c>
      <c r="L28" s="93">
        <v>1.9</v>
      </c>
      <c r="M28" s="93">
        <v>2.4</v>
      </c>
    </row>
    <row r="29" spans="1:13" ht="15" thickBot="1" x14ac:dyDescent="0.35">
      <c r="A29" s="212">
        <v>22</v>
      </c>
      <c r="B29" s="113" t="s">
        <v>148</v>
      </c>
      <c r="C29" s="93">
        <v>16.87</v>
      </c>
      <c r="D29" s="525">
        <v>-35.5</v>
      </c>
      <c r="E29" s="525">
        <v>0</v>
      </c>
      <c r="F29" s="93">
        <v>6.7</v>
      </c>
      <c r="G29" s="93">
        <v>2.4</v>
      </c>
      <c r="H29" s="93">
        <v>1.9</v>
      </c>
      <c r="I29" s="93">
        <v>1.2</v>
      </c>
      <c r="J29" s="93">
        <v>2</v>
      </c>
      <c r="K29" s="93">
        <v>0.3</v>
      </c>
      <c r="L29" s="93">
        <v>1.8</v>
      </c>
      <c r="M29" s="93">
        <v>0.8</v>
      </c>
    </row>
    <row r="30" spans="1:13" ht="15" thickBot="1" x14ac:dyDescent="0.35">
      <c r="A30" s="212">
        <v>23</v>
      </c>
      <c r="B30" s="113" t="s">
        <v>148</v>
      </c>
      <c r="C30" s="93">
        <v>20.37</v>
      </c>
      <c r="D30" s="525">
        <v>-4.0999999999999996</v>
      </c>
      <c r="E30" s="525">
        <v>38.700000000000003</v>
      </c>
      <c r="F30" s="93">
        <v>7</v>
      </c>
      <c r="G30" s="93">
        <v>2.5</v>
      </c>
      <c r="H30" s="93">
        <v>2.5</v>
      </c>
      <c r="I30" s="93">
        <v>1.3</v>
      </c>
      <c r="J30" s="93">
        <v>0.8</v>
      </c>
      <c r="K30" s="93">
        <v>2.1</v>
      </c>
      <c r="L30" s="93">
        <v>2</v>
      </c>
      <c r="M30" s="93">
        <v>1.6</v>
      </c>
    </row>
    <row r="31" spans="1:13" ht="15" thickBot="1" x14ac:dyDescent="0.35">
      <c r="A31" s="212">
        <v>24</v>
      </c>
      <c r="B31" s="531" t="s">
        <v>149</v>
      </c>
      <c r="C31" s="93">
        <v>25.46</v>
      </c>
      <c r="D31" s="525">
        <v>5.7</v>
      </c>
      <c r="E31" s="525">
        <v>13.4</v>
      </c>
      <c r="F31" s="93">
        <v>6.9</v>
      </c>
      <c r="G31" s="93">
        <v>2.1</v>
      </c>
      <c r="H31" s="93">
        <v>2.1</v>
      </c>
      <c r="I31" s="93" t="s">
        <v>150</v>
      </c>
      <c r="J31" s="93">
        <v>3.4</v>
      </c>
      <c r="K31" s="93">
        <v>2.9</v>
      </c>
      <c r="L31" s="93">
        <v>3.5</v>
      </c>
      <c r="M31" s="93">
        <v>3</v>
      </c>
    </row>
    <row r="32" spans="1:13" ht="15" thickBot="1" x14ac:dyDescent="0.35">
      <c r="A32" s="212">
        <v>25</v>
      </c>
      <c r="B32" s="531" t="s">
        <v>149</v>
      </c>
      <c r="C32" s="93">
        <v>30.24</v>
      </c>
      <c r="D32" s="525">
        <v>30.7</v>
      </c>
      <c r="E32" s="525">
        <v>-2.7</v>
      </c>
      <c r="F32" s="93">
        <v>7.5</v>
      </c>
      <c r="G32" s="93">
        <v>1.8</v>
      </c>
      <c r="H32" s="93">
        <v>1.8</v>
      </c>
      <c r="I32" s="93" t="s">
        <v>150</v>
      </c>
      <c r="J32" s="93">
        <v>4.8</v>
      </c>
      <c r="K32" s="93">
        <v>3.4</v>
      </c>
      <c r="L32" s="93">
        <v>4.3</v>
      </c>
      <c r="M32" s="93">
        <v>3.9</v>
      </c>
    </row>
    <row r="33" spans="1:13" ht="15" thickBot="1" x14ac:dyDescent="0.35">
      <c r="A33" s="212">
        <v>26</v>
      </c>
      <c r="B33" s="531" t="s">
        <v>149</v>
      </c>
      <c r="C33" s="93">
        <v>17.190000000000001</v>
      </c>
      <c r="D33" s="525">
        <v>30</v>
      </c>
      <c r="E33" s="525">
        <v>-14.6</v>
      </c>
      <c r="F33" s="93">
        <v>4.7</v>
      </c>
      <c r="G33" s="93">
        <v>1.5</v>
      </c>
      <c r="H33" s="93">
        <v>1.5</v>
      </c>
      <c r="I33" s="93" t="s">
        <v>150</v>
      </c>
      <c r="J33" s="93">
        <v>1.9</v>
      </c>
      <c r="K33" s="93">
        <v>1.7</v>
      </c>
      <c r="L33" s="93">
        <v>2.1</v>
      </c>
      <c r="M33" s="93">
        <v>1.7</v>
      </c>
    </row>
    <row r="34" spans="1:13" ht="15" thickBot="1" x14ac:dyDescent="0.35">
      <c r="A34" s="212">
        <v>27</v>
      </c>
      <c r="B34" s="531" t="s">
        <v>149</v>
      </c>
      <c r="C34" s="93">
        <v>20.37</v>
      </c>
      <c r="D34" s="525">
        <v>10.3</v>
      </c>
      <c r="E34" s="525">
        <v>-31.6</v>
      </c>
      <c r="F34" s="93">
        <v>5.3</v>
      </c>
      <c r="G34" s="93">
        <v>1.8</v>
      </c>
      <c r="H34" s="93">
        <v>1.8</v>
      </c>
      <c r="I34" s="93" t="s">
        <v>150</v>
      </c>
      <c r="J34" s="93">
        <v>2.6</v>
      </c>
      <c r="K34" s="93">
        <v>2.5</v>
      </c>
      <c r="L34" s="93">
        <v>2.7</v>
      </c>
      <c r="M34" s="93">
        <v>2</v>
      </c>
    </row>
    <row r="35" spans="1:13" ht="15" thickBot="1" x14ac:dyDescent="0.35">
      <c r="A35" s="212">
        <v>28</v>
      </c>
      <c r="B35" s="531" t="s">
        <v>149</v>
      </c>
      <c r="C35" s="93">
        <v>13.69</v>
      </c>
      <c r="D35" s="525">
        <v>4</v>
      </c>
      <c r="E35" s="525">
        <v>-13.8</v>
      </c>
      <c r="F35" s="93">
        <v>4.2</v>
      </c>
      <c r="G35" s="93">
        <v>1.5</v>
      </c>
      <c r="H35" s="93">
        <v>1.5</v>
      </c>
      <c r="I35" s="93" t="s">
        <v>150</v>
      </c>
      <c r="J35" s="93">
        <v>1.4</v>
      </c>
      <c r="K35" s="93">
        <v>1.7</v>
      </c>
      <c r="L35" s="93">
        <v>1.6</v>
      </c>
      <c r="M35" s="93">
        <v>1.9</v>
      </c>
    </row>
    <row r="36" spans="1:13" ht="15" thickBot="1" x14ac:dyDescent="0.35">
      <c r="A36" s="212">
        <v>29</v>
      </c>
      <c r="B36" s="531" t="s">
        <v>149</v>
      </c>
      <c r="C36" s="93">
        <v>48.06</v>
      </c>
      <c r="D36" s="525">
        <v>-1.6</v>
      </c>
      <c r="E36" s="525">
        <v>-0.1</v>
      </c>
      <c r="F36" s="93">
        <v>10.6</v>
      </c>
      <c r="G36" s="93">
        <v>2.2999999999999998</v>
      </c>
      <c r="H36" s="93">
        <v>2.2999999999999998</v>
      </c>
      <c r="I36" s="93" t="s">
        <v>150</v>
      </c>
      <c r="J36" s="93">
        <v>5.3</v>
      </c>
      <c r="K36" s="93">
        <v>6.1</v>
      </c>
      <c r="L36" s="93">
        <v>5.8</v>
      </c>
      <c r="M36" s="93">
        <v>4.5999999999999996</v>
      </c>
    </row>
    <row r="37" spans="1:13" ht="15" thickBot="1" x14ac:dyDescent="0.35">
      <c r="A37" s="212">
        <v>30</v>
      </c>
      <c r="B37" s="531" t="s">
        <v>149</v>
      </c>
      <c r="C37" s="93">
        <v>18.46</v>
      </c>
      <c r="D37" s="525">
        <v>-9.8000000000000007</v>
      </c>
      <c r="E37" s="525">
        <v>15.7</v>
      </c>
      <c r="F37" s="93">
        <v>5.5</v>
      </c>
      <c r="G37" s="93">
        <v>1.7</v>
      </c>
      <c r="H37" s="93">
        <v>1.7</v>
      </c>
      <c r="I37" s="93" t="s">
        <v>150</v>
      </c>
      <c r="J37" s="93">
        <v>2.1</v>
      </c>
      <c r="K37" s="93">
        <v>2.2999999999999998</v>
      </c>
      <c r="L37" s="93">
        <v>2</v>
      </c>
      <c r="M37" s="93">
        <v>2.4</v>
      </c>
    </row>
    <row r="38" spans="1:13" ht="15" thickBot="1" x14ac:dyDescent="0.35">
      <c r="A38" s="212">
        <v>31</v>
      </c>
      <c r="B38" s="531" t="s">
        <v>149</v>
      </c>
      <c r="C38" s="93">
        <v>21.96</v>
      </c>
      <c r="D38" s="525">
        <v>-9.8000000000000007</v>
      </c>
      <c r="E38" s="525">
        <v>30.1</v>
      </c>
      <c r="F38" s="93">
        <v>5.0999999999999996</v>
      </c>
      <c r="G38" s="93">
        <v>1.5</v>
      </c>
      <c r="H38" s="93">
        <v>1.5</v>
      </c>
      <c r="I38" s="93" t="s">
        <v>150</v>
      </c>
      <c r="J38" s="93">
        <v>2.2000000000000002</v>
      </c>
      <c r="K38" s="93">
        <v>2.7</v>
      </c>
      <c r="L38" s="93">
        <v>2.2000000000000002</v>
      </c>
      <c r="M38" s="93">
        <v>2.4</v>
      </c>
    </row>
  </sheetData>
  <mergeCells count="13">
    <mergeCell ref="O5:W6"/>
    <mergeCell ref="A1:M2"/>
    <mergeCell ref="A3:M4"/>
    <mergeCell ref="O2:W2"/>
    <mergeCell ref="O3:W3"/>
    <mergeCell ref="O4:W4"/>
    <mergeCell ref="A5:M5"/>
    <mergeCell ref="A6:A7"/>
    <mergeCell ref="B6:B7"/>
    <mergeCell ref="C6:C7"/>
    <mergeCell ref="D6:E6"/>
    <mergeCell ref="F6:I6"/>
    <mergeCell ref="J6:M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ficha de campo</vt:lpstr>
      <vt:lpstr>Ex_321</vt:lpstr>
      <vt:lpstr>Ex_322</vt:lpstr>
      <vt:lpstr>Ex_322_k</vt:lpstr>
      <vt:lpstr>Ex_323</vt:lpstr>
      <vt:lpstr>Ex_324</vt:lpstr>
      <vt:lpstr>Ex_327</vt:lpstr>
      <vt:lpstr>Ex_324!_Ref35538758</vt:lpstr>
      <vt:lpstr>Ex_324!_Toc35591890</vt:lpstr>
      <vt:lpstr>Ex_324!_Toc35591891</vt:lpstr>
      <vt:lpstr>Ex_321!_Toc36579243</vt:lpstr>
      <vt:lpstr>Ex_324!_Toc36579246</vt:lpstr>
      <vt:lpstr>Ex_327!_Toc36579249</vt:lpstr>
    </vt:vector>
  </TitlesOfParts>
  <Company>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smb</dc:creator>
  <cp:lastModifiedBy>smb</cp:lastModifiedBy>
  <cp:lastPrinted>2021-03-03T15:02:35Z</cp:lastPrinted>
  <dcterms:created xsi:type="dcterms:W3CDTF">2021-03-03T15:01:09Z</dcterms:created>
  <dcterms:modified xsi:type="dcterms:W3CDTF">2021-03-23T18:02:44Z</dcterms:modified>
</cp:coreProperties>
</file>