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0-2021_Inventario\"/>
    </mc:Choice>
  </mc:AlternateContent>
  <bookViews>
    <workbookView xWindow="0" yWindow="0" windowWidth="23040" windowHeight="8904" activeTab="2"/>
  </bookViews>
  <sheets>
    <sheet name="ficha de campo" sheetId="2" r:id="rId1"/>
    <sheet name="Ex_321" sheetId="1" r:id="rId2"/>
    <sheet name="Ex_322" sheetId="4" r:id="rId3"/>
  </sheets>
  <definedNames>
    <definedName name="_xlnm._FilterDatabase" localSheetId="2" hidden="1">Ex_322!$A$21:$AL$101</definedName>
    <definedName name="_Toc36579243" localSheetId="1">Ex_321!$A$2</definedName>
    <definedName name="_Toc36579243" localSheetId="2">Ex_322!#REF!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4" l="1"/>
  <c r="H27" i="4"/>
  <c r="G2" i="4"/>
  <c r="H32" i="4" l="1"/>
  <c r="H22" i="4" l="1"/>
  <c r="H24" i="4"/>
  <c r="H25" i="4"/>
  <c r="H26" i="4"/>
  <c r="H28" i="4"/>
  <c r="H29" i="4"/>
  <c r="H30" i="4"/>
  <c r="H31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D3" i="4"/>
  <c r="F100" i="4"/>
  <c r="J100" i="4" s="1"/>
  <c r="E100" i="4"/>
  <c r="F99" i="4"/>
  <c r="J99" i="4" s="1"/>
  <c r="E99" i="4"/>
  <c r="F98" i="4"/>
  <c r="J98" i="4" s="1"/>
  <c r="E98" i="4"/>
  <c r="F97" i="4"/>
  <c r="J97" i="4" s="1"/>
  <c r="E97" i="4"/>
  <c r="F96" i="4"/>
  <c r="I96" i="4" s="1"/>
  <c r="E96" i="4"/>
  <c r="F95" i="4"/>
  <c r="I95" i="4" s="1"/>
  <c r="E95" i="4"/>
  <c r="F93" i="4"/>
  <c r="J93" i="4" s="1"/>
  <c r="E93" i="4"/>
  <c r="F91" i="4"/>
  <c r="J91" i="4" s="1"/>
  <c r="E91" i="4"/>
  <c r="F90" i="4"/>
  <c r="J90" i="4" s="1"/>
  <c r="E90" i="4"/>
  <c r="F89" i="4"/>
  <c r="J89" i="4" s="1"/>
  <c r="E89" i="4"/>
  <c r="F88" i="4"/>
  <c r="I88" i="4" s="1"/>
  <c r="E88" i="4"/>
  <c r="F87" i="4"/>
  <c r="I87" i="4" s="1"/>
  <c r="E87" i="4"/>
  <c r="F86" i="4"/>
  <c r="I86" i="4" s="1"/>
  <c r="E86" i="4"/>
  <c r="F84" i="4"/>
  <c r="J84" i="4" s="1"/>
  <c r="E84" i="4"/>
  <c r="K84" i="4" s="1"/>
  <c r="F83" i="4"/>
  <c r="J83" i="4" s="1"/>
  <c r="E83" i="4"/>
  <c r="F82" i="4"/>
  <c r="J82" i="4" s="1"/>
  <c r="E82" i="4"/>
  <c r="F81" i="4"/>
  <c r="J81" i="4" s="1"/>
  <c r="E81" i="4"/>
  <c r="F80" i="4"/>
  <c r="I80" i="4" s="1"/>
  <c r="E80" i="4"/>
  <c r="F78" i="4"/>
  <c r="I78" i="4" s="1"/>
  <c r="E78" i="4"/>
  <c r="F77" i="4"/>
  <c r="J77" i="4" s="1"/>
  <c r="E77" i="4"/>
  <c r="F76" i="4"/>
  <c r="J76" i="4" s="1"/>
  <c r="E76" i="4"/>
  <c r="F75" i="4"/>
  <c r="J75" i="4" s="1"/>
  <c r="E75" i="4"/>
  <c r="F74" i="4"/>
  <c r="J74" i="4" s="1"/>
  <c r="E74" i="4"/>
  <c r="F72" i="4"/>
  <c r="I72" i="4" s="1"/>
  <c r="E72" i="4"/>
  <c r="K72" i="4" s="1"/>
  <c r="F71" i="4"/>
  <c r="I71" i="4" s="1"/>
  <c r="E71" i="4"/>
  <c r="K71" i="4" s="1"/>
  <c r="F70" i="4"/>
  <c r="I70" i="4" s="1"/>
  <c r="E70" i="4"/>
  <c r="F69" i="4"/>
  <c r="J69" i="4" s="1"/>
  <c r="E69" i="4"/>
  <c r="F68" i="4"/>
  <c r="J68" i="4" s="1"/>
  <c r="E68" i="4"/>
  <c r="F67" i="4"/>
  <c r="J67" i="4" s="1"/>
  <c r="E67" i="4"/>
  <c r="F66" i="4"/>
  <c r="J66" i="4" s="1"/>
  <c r="E66" i="4"/>
  <c r="F65" i="4"/>
  <c r="J65" i="4" s="1"/>
  <c r="E65" i="4"/>
  <c r="F64" i="4"/>
  <c r="J64" i="4" s="1"/>
  <c r="E64" i="4"/>
  <c r="F63" i="4"/>
  <c r="I63" i="4" s="1"/>
  <c r="E63" i="4"/>
  <c r="F62" i="4"/>
  <c r="I62" i="4" s="1"/>
  <c r="E62" i="4"/>
  <c r="F61" i="4"/>
  <c r="J61" i="4" s="1"/>
  <c r="E61" i="4"/>
  <c r="F59" i="4"/>
  <c r="J59" i="4" s="1"/>
  <c r="E59" i="4"/>
  <c r="F58" i="4"/>
  <c r="J58" i="4" s="1"/>
  <c r="E58" i="4"/>
  <c r="F57" i="4"/>
  <c r="J57" i="4" s="1"/>
  <c r="E57" i="4"/>
  <c r="F56" i="4"/>
  <c r="I56" i="4" s="1"/>
  <c r="E56" i="4"/>
  <c r="F55" i="4"/>
  <c r="I55" i="4" s="1"/>
  <c r="E55" i="4"/>
  <c r="F51" i="4"/>
  <c r="J51" i="4" s="1"/>
  <c r="E51" i="4"/>
  <c r="F50" i="4"/>
  <c r="J50" i="4" s="1"/>
  <c r="E50" i="4"/>
  <c r="F49" i="4"/>
  <c r="J49" i="4" s="1"/>
  <c r="E49" i="4"/>
  <c r="K49" i="4" s="1"/>
  <c r="F48" i="4"/>
  <c r="I48" i="4" s="1"/>
  <c r="E48" i="4"/>
  <c r="F47" i="4"/>
  <c r="I47" i="4" s="1"/>
  <c r="E47" i="4"/>
  <c r="F46" i="4"/>
  <c r="I46" i="4" s="1"/>
  <c r="E46" i="4"/>
  <c r="F45" i="4"/>
  <c r="J45" i="4" s="1"/>
  <c r="E45" i="4"/>
  <c r="F44" i="4"/>
  <c r="J44" i="4" s="1"/>
  <c r="E44" i="4"/>
  <c r="F43" i="4"/>
  <c r="J43" i="4" s="1"/>
  <c r="E43" i="4"/>
  <c r="F40" i="4"/>
  <c r="I40" i="4" s="1"/>
  <c r="E40" i="4"/>
  <c r="F39" i="4"/>
  <c r="I39" i="4" s="1"/>
  <c r="E39" i="4"/>
  <c r="F38" i="4"/>
  <c r="I38" i="4" s="1"/>
  <c r="E38" i="4"/>
  <c r="F37" i="4"/>
  <c r="J37" i="4" s="1"/>
  <c r="E37" i="4"/>
  <c r="F36" i="4"/>
  <c r="J36" i="4" s="1"/>
  <c r="E36" i="4"/>
  <c r="F35" i="4"/>
  <c r="J35" i="4" s="1"/>
  <c r="E35" i="4"/>
  <c r="K35" i="4" s="1"/>
  <c r="F34" i="4"/>
  <c r="J34" i="4" s="1"/>
  <c r="E34" i="4"/>
  <c r="F33" i="4"/>
  <c r="J33" i="4" s="1"/>
  <c r="E33" i="4"/>
  <c r="F31" i="4"/>
  <c r="I31" i="4" s="1"/>
  <c r="E31" i="4"/>
  <c r="K31" i="4" s="1"/>
  <c r="F28" i="4"/>
  <c r="J28" i="4" s="1"/>
  <c r="E28" i="4"/>
  <c r="F27" i="4"/>
  <c r="J27" i="4" s="1"/>
  <c r="E27" i="4"/>
  <c r="F26" i="4"/>
  <c r="J26" i="4" s="1"/>
  <c r="E26" i="4"/>
  <c r="F25" i="4"/>
  <c r="J25" i="4" s="1"/>
  <c r="E25" i="4"/>
  <c r="F23" i="4"/>
  <c r="I23" i="4" s="1"/>
  <c r="E23" i="4"/>
  <c r="F92" i="4"/>
  <c r="J92" i="4" s="1"/>
  <c r="E92" i="4"/>
  <c r="F79" i="4"/>
  <c r="I79" i="4" s="1"/>
  <c r="E79" i="4"/>
  <c r="F32" i="4"/>
  <c r="I32" i="4" s="1"/>
  <c r="E32" i="4"/>
  <c r="F85" i="4"/>
  <c r="J85" i="4" s="1"/>
  <c r="E85" i="4"/>
  <c r="F52" i="4"/>
  <c r="J52" i="4" s="1"/>
  <c r="E52" i="4"/>
  <c r="F29" i="4"/>
  <c r="J29" i="4" s="1"/>
  <c r="E29" i="4"/>
  <c r="F94" i="4"/>
  <c r="I94" i="4" s="1"/>
  <c r="E94" i="4"/>
  <c r="F42" i="4"/>
  <c r="J42" i="4" s="1"/>
  <c r="E42" i="4"/>
  <c r="F24" i="4"/>
  <c r="I24" i="4" s="1"/>
  <c r="E24" i="4"/>
  <c r="F101" i="4"/>
  <c r="J101" i="4" s="1"/>
  <c r="E101" i="4"/>
  <c r="F73" i="4"/>
  <c r="J73" i="4" s="1"/>
  <c r="E73" i="4"/>
  <c r="F60" i="4"/>
  <c r="J60" i="4" s="1"/>
  <c r="E60" i="4"/>
  <c r="F53" i="4"/>
  <c r="J53" i="4" s="1"/>
  <c r="E53" i="4"/>
  <c r="F22" i="4"/>
  <c r="I22" i="4" s="1"/>
  <c r="E22" i="4"/>
  <c r="F30" i="4"/>
  <c r="I30" i="4" s="1"/>
  <c r="E30" i="4"/>
  <c r="F54" i="4"/>
  <c r="I54" i="4" s="1"/>
  <c r="E54" i="4"/>
  <c r="F41" i="4"/>
  <c r="J41" i="4" s="1"/>
  <c r="E41" i="4"/>
  <c r="T5" i="1"/>
  <c r="S5" i="1"/>
  <c r="J13" i="4" l="1"/>
  <c r="I13" i="4" s="1"/>
  <c r="I101" i="4"/>
  <c r="I29" i="4"/>
  <c r="I93" i="4"/>
  <c r="J96" i="4"/>
  <c r="J14" i="4"/>
  <c r="I14" i="4" s="1"/>
  <c r="I85" i="4"/>
  <c r="J88" i="4"/>
  <c r="I69" i="4"/>
  <c r="J80" i="4"/>
  <c r="I61" i="4"/>
  <c r="J56" i="4"/>
  <c r="I45" i="4"/>
  <c r="J40" i="4"/>
  <c r="I37" i="4"/>
  <c r="J32" i="4"/>
  <c r="I53" i="4"/>
  <c r="J48" i="4"/>
  <c r="I100" i="4"/>
  <c r="I92" i="4"/>
  <c r="I84" i="4"/>
  <c r="I76" i="4"/>
  <c r="I68" i="4"/>
  <c r="I60" i="4"/>
  <c r="I52" i="4"/>
  <c r="I44" i="4"/>
  <c r="I36" i="4"/>
  <c r="I28" i="4"/>
  <c r="I11" i="4"/>
  <c r="J95" i="4"/>
  <c r="J87" i="4"/>
  <c r="J79" i="4"/>
  <c r="J71" i="4"/>
  <c r="J63" i="4"/>
  <c r="J55" i="4"/>
  <c r="J47" i="4"/>
  <c r="J39" i="4"/>
  <c r="J31" i="4"/>
  <c r="J23" i="4"/>
  <c r="I77" i="4"/>
  <c r="J24" i="4"/>
  <c r="I99" i="4"/>
  <c r="I91" i="4"/>
  <c r="I83" i="4"/>
  <c r="I75" i="4"/>
  <c r="I67" i="4"/>
  <c r="I59" i="4"/>
  <c r="I51" i="4"/>
  <c r="I43" i="4"/>
  <c r="I35" i="4"/>
  <c r="I27" i="4"/>
  <c r="J22" i="4"/>
  <c r="J94" i="4"/>
  <c r="J86" i="4"/>
  <c r="J78" i="4"/>
  <c r="J70" i="4"/>
  <c r="J62" i="4"/>
  <c r="J54" i="4"/>
  <c r="J46" i="4"/>
  <c r="J38" i="4"/>
  <c r="J30" i="4"/>
  <c r="I98" i="4"/>
  <c r="I90" i="4"/>
  <c r="I82" i="4"/>
  <c r="I74" i="4"/>
  <c r="I66" i="4"/>
  <c r="I58" i="4"/>
  <c r="I50" i="4"/>
  <c r="I42" i="4"/>
  <c r="I34" i="4"/>
  <c r="I26" i="4"/>
  <c r="I97" i="4"/>
  <c r="I89" i="4"/>
  <c r="I81" i="4"/>
  <c r="I73" i="4"/>
  <c r="I65" i="4"/>
  <c r="I57" i="4"/>
  <c r="I49" i="4"/>
  <c r="I41" i="4"/>
  <c r="I33" i="4"/>
  <c r="I25" i="4"/>
  <c r="J72" i="4"/>
  <c r="I64" i="4"/>
  <c r="I17" i="4" l="1"/>
  <c r="I12" i="4"/>
  <c r="J15" i="4"/>
  <c r="I15" i="4" s="1"/>
  <c r="I16" i="4" s="1"/>
  <c r="K57" i="4" s="1"/>
  <c r="K101" i="4"/>
  <c r="K60" i="4"/>
  <c r="K82" i="4"/>
  <c r="K67" i="4"/>
  <c r="K24" i="4"/>
  <c r="K75" i="4"/>
  <c r="K45" i="4"/>
  <c r="K76" i="4"/>
  <c r="K29" i="4"/>
  <c r="K98" i="4"/>
  <c r="K92" i="4"/>
  <c r="K78" i="4"/>
  <c r="K53" i="4"/>
  <c r="K58" i="4"/>
  <c r="K97" i="4"/>
  <c r="K27" i="4"/>
  <c r="K100" i="4"/>
  <c r="K99" i="4"/>
  <c r="K36" i="4"/>
  <c r="K94" i="4"/>
  <c r="K48" i="4"/>
  <c r="K34" i="4"/>
  <c r="K43" i="4"/>
  <c r="K87" i="4"/>
  <c r="K50" i="4"/>
  <c r="K90" i="4"/>
  <c r="K51" i="4"/>
  <c r="K44" i="4"/>
  <c r="K38" i="4"/>
  <c r="K37" i="4"/>
  <c r="K47" i="4"/>
  <c r="K74" i="4"/>
  <c r="K89" i="4"/>
  <c r="K28" i="4"/>
  <c r="K86" i="4"/>
  <c r="K56" i="4"/>
  <c r="K42" i="4"/>
  <c r="K95" i="4"/>
  <c r="K66" i="4"/>
  <c r="K25" i="4"/>
  <c r="K59" i="4"/>
  <c r="K52" i="4"/>
  <c r="K46" i="4"/>
  <c r="K61" i="4"/>
  <c r="K69" i="4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37" i="1"/>
  <c r="T38" i="1"/>
  <c r="T53" i="1"/>
  <c r="T54" i="1"/>
  <c r="T69" i="1"/>
  <c r="T70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S38" i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S54" i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S70" i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5" i="1"/>
  <c r="K93" i="4" l="1"/>
  <c r="K83" i="4"/>
  <c r="K40" i="4"/>
  <c r="K70" i="4"/>
  <c r="K77" i="4"/>
  <c r="K81" i="4"/>
  <c r="K33" i="4"/>
  <c r="K80" i="4"/>
  <c r="K63" i="4"/>
  <c r="K64" i="4"/>
  <c r="K30" i="4"/>
  <c r="K96" i="4"/>
  <c r="K55" i="4"/>
  <c r="K54" i="4"/>
  <c r="K23" i="4"/>
  <c r="K73" i="4"/>
  <c r="K91" i="4"/>
  <c r="K32" i="4"/>
  <c r="K41" i="4"/>
  <c r="K22" i="4"/>
  <c r="K79" i="4"/>
  <c r="K68" i="4"/>
  <c r="K65" i="4"/>
  <c r="K62" i="4"/>
  <c r="K85" i="4"/>
  <c r="K39" i="4"/>
  <c r="K88" i="4"/>
  <c r="K26" i="4"/>
  <c r="P22" i="1"/>
  <c r="P13" i="1"/>
  <c r="P23" i="1"/>
  <c r="P24" i="1"/>
  <c r="P25" i="1"/>
  <c r="P26" i="1"/>
  <c r="P16" i="1"/>
  <c r="P7" i="1"/>
  <c r="P27" i="1"/>
  <c r="P19" i="1"/>
  <c r="P28" i="1"/>
  <c r="P29" i="1"/>
  <c r="P30" i="1"/>
  <c r="P31" i="1"/>
  <c r="P32" i="1"/>
  <c r="P33" i="1"/>
  <c r="P34" i="1"/>
  <c r="P35" i="1"/>
  <c r="P5" i="1"/>
  <c r="P14" i="1"/>
  <c r="P36" i="1"/>
  <c r="P37" i="1"/>
  <c r="P38" i="1"/>
  <c r="P39" i="1"/>
  <c r="P40" i="1"/>
  <c r="P41" i="1"/>
  <c r="P42" i="1"/>
  <c r="P43" i="1"/>
  <c r="P44" i="1"/>
  <c r="P17" i="1"/>
  <c r="P9" i="1"/>
  <c r="P6" i="1"/>
  <c r="P45" i="1"/>
  <c r="P46" i="1"/>
  <c r="P47" i="1"/>
  <c r="P48" i="1"/>
  <c r="P49" i="1"/>
  <c r="P10" i="1"/>
  <c r="P50" i="1"/>
  <c r="P51" i="1"/>
  <c r="P52" i="1"/>
  <c r="P53" i="1"/>
  <c r="P54" i="1"/>
  <c r="P55" i="1"/>
  <c r="P56" i="1"/>
  <c r="P57" i="1"/>
  <c r="P58" i="1"/>
  <c r="P59" i="1"/>
  <c r="P60" i="1"/>
  <c r="P61" i="1"/>
  <c r="P11" i="1"/>
  <c r="P62" i="1"/>
  <c r="P63" i="1"/>
  <c r="P64" i="1"/>
  <c r="P65" i="1"/>
  <c r="P66" i="1"/>
  <c r="P20" i="1"/>
  <c r="P67" i="1"/>
  <c r="P68" i="1"/>
  <c r="P69" i="1"/>
  <c r="P70" i="1"/>
  <c r="P71" i="1"/>
  <c r="P18" i="1"/>
  <c r="P72" i="1"/>
  <c r="P73" i="1"/>
  <c r="P74" i="1"/>
  <c r="P75" i="1"/>
  <c r="P76" i="1"/>
  <c r="P77" i="1"/>
  <c r="P21" i="1"/>
  <c r="P78" i="1"/>
  <c r="P15" i="1"/>
  <c r="P79" i="1"/>
  <c r="P80" i="1"/>
  <c r="P81" i="1"/>
  <c r="P82" i="1"/>
  <c r="P83" i="1"/>
  <c r="P84" i="1"/>
  <c r="P12" i="1"/>
  <c r="P8" i="1"/>
  <c r="O22" i="1"/>
  <c r="O13" i="1"/>
  <c r="O23" i="1"/>
  <c r="O24" i="1"/>
  <c r="O25" i="1"/>
  <c r="O26" i="1"/>
  <c r="O16" i="1"/>
  <c r="O7" i="1"/>
  <c r="O27" i="1"/>
  <c r="O19" i="1"/>
  <c r="O28" i="1"/>
  <c r="O29" i="1"/>
  <c r="O30" i="1"/>
  <c r="O31" i="1"/>
  <c r="O32" i="1"/>
  <c r="O33" i="1"/>
  <c r="O34" i="1"/>
  <c r="O35" i="1"/>
  <c r="O5" i="1"/>
  <c r="O14" i="1"/>
  <c r="O36" i="1"/>
  <c r="O37" i="1"/>
  <c r="O38" i="1"/>
  <c r="O39" i="1"/>
  <c r="O40" i="1"/>
  <c r="O41" i="1"/>
  <c r="O42" i="1"/>
  <c r="O43" i="1"/>
  <c r="O44" i="1"/>
  <c r="O17" i="1"/>
  <c r="O9" i="1"/>
  <c r="O6" i="1"/>
  <c r="O45" i="1"/>
  <c r="O46" i="1"/>
  <c r="O47" i="1"/>
  <c r="O48" i="1"/>
  <c r="O49" i="1"/>
  <c r="O10" i="1"/>
  <c r="O50" i="1"/>
  <c r="O51" i="1"/>
  <c r="O52" i="1"/>
  <c r="O53" i="1"/>
  <c r="O54" i="1"/>
  <c r="O55" i="1"/>
  <c r="O56" i="1"/>
  <c r="O57" i="1"/>
  <c r="O58" i="1"/>
  <c r="O59" i="1"/>
  <c r="O60" i="1"/>
  <c r="O61" i="1"/>
  <c r="O11" i="1"/>
  <c r="O62" i="1"/>
  <c r="O63" i="1"/>
  <c r="O64" i="1"/>
  <c r="O65" i="1"/>
  <c r="O66" i="1"/>
  <c r="O20" i="1"/>
  <c r="O67" i="1"/>
  <c r="O68" i="1"/>
  <c r="O69" i="1"/>
  <c r="O70" i="1"/>
  <c r="O71" i="1"/>
  <c r="O18" i="1"/>
  <c r="O72" i="1"/>
  <c r="O73" i="1"/>
  <c r="O74" i="1"/>
  <c r="O75" i="1"/>
  <c r="O76" i="1"/>
  <c r="O77" i="1"/>
  <c r="O21" i="1"/>
  <c r="O78" i="1"/>
  <c r="O15" i="1"/>
  <c r="O79" i="1"/>
  <c r="O80" i="1"/>
  <c r="O81" i="1"/>
  <c r="O82" i="1"/>
  <c r="O83" i="1"/>
  <c r="O84" i="1"/>
  <c r="O12" i="1"/>
  <c r="O8" i="1"/>
</calcChain>
</file>

<file path=xl/sharedStrings.xml><?xml version="1.0" encoding="utf-8"?>
<sst xmlns="http://schemas.openxmlformats.org/spreadsheetml/2006/main" count="166" uniqueCount="135">
  <si>
    <t>Com os dados das árvores modelo da ficha de medição da parcela de um ensaio de compassos (Figura 10):</t>
  </si>
  <si>
    <r>
      <t>3.2.1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Relações hipsométricas locais</t>
    </r>
  </si>
  <si>
    <r>
      <t>a)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 xml:space="preserve">represente graficamente a relação entre a altura e o diâmetro das árvores modelo (relação hipsométrica). </t>
    </r>
  </si>
  <si>
    <r>
      <t>b)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Ajuste a esta relação o modelo de Prodan (1965) linearisado:</t>
    </r>
  </si>
  <si>
    <t>(mm)</t>
  </si>
  <si>
    <t>Altura</t>
  </si>
  <si>
    <t>(m)</t>
  </si>
  <si>
    <t>id_arv</t>
  </si>
  <si>
    <t>d1 c/casca</t>
  </si>
  <si>
    <t>d2 c/casca</t>
  </si>
  <si>
    <t>id_morta</t>
  </si>
  <si>
    <t>d (cm)</t>
  </si>
  <si>
    <t>1/d</t>
  </si>
  <si>
    <t>1/h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</si>
  <si>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</si>
  <si>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</si>
  <si>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</si>
  <si>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</si>
  <si>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</si>
  <si>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</si>
  <si>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</si>
  <si>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</si>
  <si>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</si>
  <si>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</si>
  <si>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</si>
  <si>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</si>
  <si>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</si>
  <si>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</si>
  <si>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</si>
  <si>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</si>
  <si>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</si>
  <si>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</si>
  <si>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</si>
  <si>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</si>
  <si>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</si>
  <si>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</si>
  <si>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</si>
  <si>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</si>
  <si>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</si>
  <si>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</si>
  <si>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</si>
  <si>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</si>
  <si>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</si>
  <si>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PROBABILITY OUTPUT</t>
  </si>
  <si>
    <t>Percentile</t>
  </si>
  <si>
    <t>Y</t>
  </si>
  <si>
    <t>beta1</t>
  </si>
  <si>
    <t>beta2</t>
  </si>
  <si>
    <t>h_est</t>
  </si>
  <si>
    <t>h</t>
  </si>
  <si>
    <r>
      <t xml:space="preserve">PARCELA nº: </t>
    </r>
    <r>
      <rPr>
        <sz val="11"/>
        <color rgb="FF0000FF"/>
        <rFont val="Monotype Corsiva"/>
        <family val="4"/>
      </rPr>
      <t>35</t>
    </r>
  </si>
  <si>
    <t>Distribuição de diâmetros</t>
  </si>
  <si>
    <t xml:space="preserve">Medição de d´s </t>
  </si>
  <si>
    <t>Classe d</t>
  </si>
  <si>
    <r>
      <t>Espécie principal</t>
    </r>
    <r>
      <rPr>
        <b/>
        <sz val="10"/>
        <color rgb="FF333399"/>
        <rFont val="Monotype Corsiva"/>
        <family val="4"/>
      </rPr>
      <t xml:space="preserve">: </t>
    </r>
    <r>
      <rPr>
        <sz val="12"/>
        <color rgb="FF0000FF"/>
        <rFont val="Monotype Corsiva"/>
        <family val="4"/>
      </rPr>
      <t>Pb</t>
    </r>
  </si>
  <si>
    <t>Outras:</t>
  </si>
  <si>
    <r>
      <t xml:space="preserve">Espécie principal: </t>
    </r>
    <r>
      <rPr>
        <sz val="12"/>
        <color rgb="FF0000FF"/>
        <rFont val="Monotype Corsiva"/>
        <family val="4"/>
      </rPr>
      <t>Pb</t>
    </r>
  </si>
  <si>
    <r>
      <t xml:space="preserve">Outras: </t>
    </r>
    <r>
      <rPr>
        <sz val="11"/>
        <color rgb="FF0000FF"/>
        <rFont val="Monotype Corsiva"/>
        <family val="4"/>
      </rPr>
      <t>Pm</t>
    </r>
  </si>
  <si>
    <t>2.5-7.4</t>
  </si>
  <si>
    <t>II</t>
  </si>
  <si>
    <t>7.5-12.4</t>
  </si>
  <si>
    <t>12.5-17.4</t>
  </si>
  <si>
    <t>IIII</t>
  </si>
  <si>
    <t>17.5-22.4</t>
  </si>
  <si>
    <t>22.5-27.4</t>
  </si>
  <si>
    <t>27.5-32.4</t>
  </si>
  <si>
    <t>I</t>
  </si>
  <si>
    <t>32.5-37.4</t>
  </si>
  <si>
    <t>37.5-42.4</t>
  </si>
  <si>
    <t>42.5-47.4</t>
  </si>
  <si>
    <t>47.5-52.4</t>
  </si>
  <si>
    <t>52.5-57.4</t>
  </si>
  <si>
    <t>57.5-62.4</t>
  </si>
  <si>
    <t>62.5-67.4</t>
  </si>
  <si>
    <t>&gt;=67.4</t>
  </si>
  <si>
    <t>Árvores modelo</t>
  </si>
  <si>
    <t>Nº</t>
  </si>
  <si>
    <t>Esp</t>
  </si>
  <si>
    <t>d</t>
  </si>
  <si>
    <r>
      <t>h</t>
    </r>
    <r>
      <rPr>
        <b/>
        <vertAlign val="subscript"/>
        <sz val="9"/>
        <color theme="1"/>
        <rFont val="Arial"/>
        <family val="2"/>
      </rPr>
      <t>copa</t>
    </r>
  </si>
  <si>
    <t>casc</t>
  </si>
  <si>
    <r>
      <t>i</t>
    </r>
    <r>
      <rPr>
        <b/>
        <vertAlign val="subscript"/>
        <sz val="9"/>
        <color theme="1"/>
        <rFont val="Arial"/>
        <family val="2"/>
      </rPr>
      <t>d</t>
    </r>
  </si>
  <si>
    <t>Pb</t>
  </si>
  <si>
    <t>IIIII</t>
  </si>
  <si>
    <t xml:space="preserve">Para fazer a regressão: </t>
  </si>
  <si>
    <t>1 ) Data\data analysis \ regression</t>
  </si>
  <si>
    <r>
      <t>2) Na janela da regressão seleccionar o</t>
    </r>
    <r>
      <rPr>
        <sz val="11"/>
        <color theme="5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e o </t>
    </r>
    <r>
      <rPr>
        <sz val="11"/>
        <color theme="7"/>
        <rFont val="Calibri"/>
        <family val="2"/>
        <scheme val="minor"/>
      </rPr>
      <t>yy</t>
    </r>
    <r>
      <rPr>
        <sz val="11"/>
        <rFont val="Calibri"/>
        <family val="2"/>
        <scheme val="minor"/>
      </rPr>
      <t xml:space="preserve">, bem como a célula da folha do excel onde querem que o output seja colocado </t>
    </r>
    <r>
      <rPr>
        <i/>
        <sz val="11"/>
        <color theme="1" tint="0.499984740745262"/>
        <rFont val="Calibri"/>
        <family val="2"/>
        <scheme val="minor"/>
      </rPr>
      <t>(neste caso foi a celula x12)</t>
    </r>
  </si>
  <si>
    <r>
      <t xml:space="preserve">Se compararem a </t>
    </r>
    <r>
      <rPr>
        <sz val="11"/>
        <color rgb="FF0000FF"/>
        <rFont val="Calibri"/>
        <family val="2"/>
        <scheme val="minor"/>
      </rPr>
      <t>Altura</t>
    </r>
    <r>
      <rPr>
        <sz val="11"/>
        <color theme="1"/>
        <rFont val="Calibri"/>
        <family val="2"/>
        <scheme val="minor"/>
      </rPr>
      <t xml:space="preserve"> com a </t>
    </r>
    <r>
      <rPr>
        <sz val="11"/>
        <color theme="9"/>
        <rFont val="Calibri"/>
        <family val="2"/>
        <scheme val="minor"/>
      </rPr>
      <t>altura estimada com a hipsométrica local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9"/>
        <rFont val="Calibri"/>
        <family val="2"/>
        <scheme val="minor"/>
      </rPr>
      <t>h_est</t>
    </r>
    <r>
      <rPr>
        <sz val="11"/>
        <color theme="1"/>
        <rFont val="Calibri"/>
        <family val="2"/>
        <scheme val="minor"/>
      </rPr>
      <t>) veem que os valores não são exactamente iguais. Isto acontece porque existe um erro associado a cada equação. Assim, sempre que temos a possibilidade de recorrer aos valores medidos no campo, optamos por estes, e aplicamos apenas a equação às árvores para as quais não se procedeu à medição da altura (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).</t>
    </r>
  </si>
  <si>
    <t>Relação diâmetro altura para todas as árvores da parcela</t>
  </si>
  <si>
    <t>Relação diâmetro altura para as árvores modelo</t>
  </si>
  <si>
    <t>Variaveis da árvore</t>
  </si>
  <si>
    <t>Variáveis do povoamento</t>
  </si>
  <si>
    <r>
      <t>Área da parcela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=</t>
    </r>
  </si>
  <si>
    <t xml:space="preserve">nº de árvores dominantes = </t>
  </si>
  <si>
    <t>n_dom</t>
  </si>
  <si>
    <t>rotação =</t>
  </si>
  <si>
    <t xml:space="preserve">Região globulus = </t>
  </si>
  <si>
    <t>3CL</t>
  </si>
  <si>
    <t>idade =</t>
  </si>
  <si>
    <t>b) O índice de qualidade da estação (idade padrão 10 anos para Ec), S =</t>
  </si>
  <si>
    <t>f exp =</t>
  </si>
  <si>
    <r>
      <t>A_circulo = PI() r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</si>
  <si>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PI() (d/2)</t>
    </r>
    <r>
      <rPr>
        <vertAlign val="superscript"/>
        <sz val="11"/>
        <color theme="1"/>
        <rFont val="Calibri"/>
        <family val="2"/>
        <scheme val="minor"/>
      </rPr>
      <t>2</t>
    </r>
  </si>
  <si>
    <t>PI() (d/200)2</t>
  </si>
  <si>
    <r>
      <t>PI() 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/40000</t>
    </r>
  </si>
  <si>
    <t>extra) ddom =</t>
  </si>
  <si>
    <t>pag 19</t>
  </si>
  <si>
    <t>pag 29</t>
  </si>
  <si>
    <t>Dados</t>
  </si>
  <si>
    <t>Anexo I, Tabela 15</t>
  </si>
  <si>
    <t>Anexo I, Tabela 2</t>
  </si>
  <si>
    <r>
      <t>β</t>
    </r>
    <r>
      <rPr>
        <b/>
        <vertAlign val="subscript"/>
        <sz val="9"/>
        <color theme="1"/>
        <rFont val="Arial"/>
        <family val="2"/>
      </rPr>
      <t>0</t>
    </r>
  </si>
  <si>
    <r>
      <t>β</t>
    </r>
    <r>
      <rPr>
        <b/>
        <vertAlign val="subscript"/>
        <sz val="9"/>
        <color theme="1"/>
        <rFont val="Arial"/>
        <family val="2"/>
      </rPr>
      <t>1</t>
    </r>
  </si>
  <si>
    <r>
      <t>β</t>
    </r>
    <r>
      <rPr>
        <b/>
        <vertAlign val="subscript"/>
        <sz val="9"/>
        <color theme="1"/>
        <rFont val="Arial"/>
        <family val="2"/>
      </rPr>
      <t>2</t>
    </r>
  </si>
  <si>
    <r>
      <t>β</t>
    </r>
    <r>
      <rPr>
        <b/>
        <vertAlign val="subscript"/>
        <sz val="9"/>
        <color theme="1"/>
        <rFont val="Arial"/>
        <family val="2"/>
      </rPr>
      <t>3</t>
    </r>
  </si>
  <si>
    <t>hdom aux</t>
  </si>
  <si>
    <t>ddom     aux</t>
  </si>
  <si>
    <t>id     morta</t>
  </si>
  <si>
    <t>d             (cm)</t>
  </si>
  <si>
    <t>d2            (mm)</t>
  </si>
  <si>
    <t>Altura (m)</t>
  </si>
  <si>
    <t>d1            (mm)</t>
  </si>
  <si>
    <r>
      <t>a)</t>
    </r>
    <r>
      <rPr>
        <sz val="7"/>
        <color theme="9"/>
        <rFont val="Calibri"/>
        <family val="2"/>
        <scheme val="minor"/>
      </rPr>
      <t>  </t>
    </r>
    <r>
      <rPr>
        <sz val="11"/>
        <color theme="9"/>
        <rFont val="Calibri"/>
        <family val="2"/>
        <scheme val="minor"/>
      </rPr>
      <t>A altura dominante do povoamento (m), hdom =</t>
    </r>
  </si>
  <si>
    <r>
      <t>c)</t>
    </r>
    <r>
      <rPr>
        <sz val="7"/>
        <color theme="9"/>
        <rFont val="Calibri"/>
        <family val="2"/>
        <scheme val="minor"/>
      </rPr>
      <t xml:space="preserve">     </t>
    </r>
    <r>
      <rPr>
        <sz val="11"/>
        <color theme="9"/>
        <rFont val="Calibri"/>
        <family val="2"/>
        <scheme val="minor"/>
      </rPr>
      <t>O número de árvores vivas por ha, N_vivas =</t>
    </r>
  </si>
  <si>
    <r>
      <t>d)</t>
    </r>
    <r>
      <rPr>
        <sz val="7"/>
        <color theme="9"/>
        <rFont val="Calibri"/>
        <family val="2"/>
        <scheme val="minor"/>
      </rPr>
      <t xml:space="preserve">   </t>
    </r>
    <r>
      <rPr>
        <sz val="11"/>
        <color theme="9"/>
        <rFont val="Calibri"/>
        <family val="2"/>
        <scheme val="minor"/>
      </rPr>
      <t>O número de árvores mortas por ha, N_mortas =</t>
    </r>
  </si>
  <si>
    <r>
      <t>e)</t>
    </r>
    <r>
      <rPr>
        <sz val="7"/>
        <color theme="9"/>
        <rFont val="Calibri"/>
        <family val="2"/>
        <scheme val="minor"/>
      </rPr>
      <t xml:space="preserve">     </t>
    </r>
    <r>
      <rPr>
        <sz val="11"/>
        <color theme="9"/>
        <rFont val="Calibri"/>
        <family val="2"/>
        <scheme val="minor"/>
      </rPr>
      <t>A área basal por hectare (m</t>
    </r>
    <r>
      <rPr>
        <vertAlign val="superscript"/>
        <sz val="11"/>
        <color theme="9"/>
        <rFont val="Calibri"/>
        <family val="2"/>
        <scheme val="minor"/>
      </rPr>
      <t>2</t>
    </r>
    <r>
      <rPr>
        <sz val="11"/>
        <color theme="9"/>
        <rFont val="Calibri"/>
        <family val="2"/>
        <scheme val="minor"/>
      </rPr>
      <t xml:space="preserve"> ha</t>
    </r>
    <r>
      <rPr>
        <vertAlign val="superscript"/>
        <sz val="11"/>
        <color theme="9"/>
        <rFont val="Calibri"/>
        <family val="2"/>
        <scheme val="minor"/>
      </rPr>
      <t>-1</t>
    </r>
    <r>
      <rPr>
        <sz val="11"/>
        <color theme="9"/>
        <rFont val="Calibri"/>
        <family val="2"/>
        <scheme val="minor"/>
      </rPr>
      <t>), G =</t>
    </r>
  </si>
  <si>
    <r>
      <t>f)</t>
    </r>
    <r>
      <rPr>
        <sz val="7"/>
        <color theme="9"/>
        <rFont val="Calibri"/>
        <family val="2"/>
        <scheme val="minor"/>
      </rPr>
      <t xml:space="preserve">     </t>
    </r>
    <r>
      <rPr>
        <sz val="11"/>
        <color theme="9"/>
        <rFont val="Calibri"/>
        <family val="2"/>
        <scheme val="minor"/>
      </rPr>
      <t>O diâmetro quadrático médio =</t>
    </r>
  </si>
  <si>
    <t>= (np_vivas)</t>
  </si>
  <si>
    <t>= (np_mortas)</t>
  </si>
  <si>
    <t>= (Gp_vivas)</t>
  </si>
  <si>
    <r>
      <t>gi              (m</t>
    </r>
    <r>
      <rPr>
        <vertAlign val="superscript"/>
        <sz val="10"/>
        <color theme="9"/>
        <rFont val="Calibri"/>
        <family val="2"/>
        <scheme val="minor"/>
      </rPr>
      <t>2</t>
    </r>
    <r>
      <rPr>
        <sz val="10"/>
        <color theme="9"/>
        <rFont val="Calibri"/>
        <family val="2"/>
        <scheme val="minor"/>
      </rPr>
      <t>)</t>
    </r>
  </si>
  <si>
    <t>h_est      (m)</t>
  </si>
  <si>
    <t>A</t>
  </si>
  <si>
    <t>n</t>
  </si>
  <si>
    <t>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</si>
</sst>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0.000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color rgb="FF0000FF"/>
      <name val="Monotype Corsiva"/>
      <family val="4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FF"/>
      <name val="Monotype Corsiva"/>
      <family val="4"/>
    </font>
    <font>
      <b/>
      <sz val="9"/>
      <color theme="1"/>
      <name val="Arial"/>
      <family val="2"/>
    </font>
    <font>
      <b/>
      <sz val="10"/>
      <color rgb="FF333399"/>
      <name val="Monotype Corsiva"/>
      <family val="4"/>
    </font>
    <font>
      <sz val="12"/>
      <color rgb="FF0000FF"/>
      <name val="Monotype Corsiva"/>
      <family val="4"/>
    </font>
    <font>
      <sz val="10"/>
      <color rgb="FF0000FF"/>
      <name val="Arial"/>
      <family val="2"/>
    </font>
    <font>
      <strike/>
      <sz val="10"/>
      <color rgb="FF0000FF"/>
      <name val="Arial"/>
      <family val="2"/>
    </font>
    <font>
      <b/>
      <vertAlign val="subscript"/>
      <sz val="9"/>
      <color theme="1"/>
      <name val="Arial"/>
      <family val="2"/>
    </font>
    <font>
      <i/>
      <sz val="10"/>
      <color rgb="FF0000FF"/>
      <name val="Monotype Corsiva"/>
      <family val="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Monotype Corsiva"/>
      <family val="4"/>
    </font>
    <font>
      <sz val="10"/>
      <color theme="1"/>
      <name val="Monotype Corsiva"/>
      <family val="4"/>
    </font>
    <font>
      <sz val="11"/>
      <color theme="5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7"/>
      <name val="Calibri"/>
      <family val="2"/>
      <scheme val="minor"/>
    </font>
    <font>
      <i/>
      <sz val="11"/>
      <color theme="9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rgb="FF0000FF"/>
      <name val="Arial"/>
      <family val="2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7"/>
      <color theme="9"/>
      <name val="Calibri"/>
      <family val="2"/>
      <scheme val="minor"/>
    </font>
    <font>
      <vertAlign val="superscript"/>
      <sz val="11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vertAlign val="superscript"/>
      <sz val="10"/>
      <color theme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Alignment="1">
      <alignment horizontal="center"/>
    </xf>
    <xf numFmtId="0" fontId="5" fillId="2" borderId="0" xfId="0" applyFont="1" applyFill="1"/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Fill="1" applyBorder="1" applyAlignment="1"/>
    <xf numFmtId="0" fontId="0" fillId="0" borderId="4" xfId="0" applyFill="1" applyBorder="1" applyAlignment="1"/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Continuous"/>
    </xf>
    <xf numFmtId="0" fontId="3" fillId="2" borderId="0" xfId="0" applyFont="1" applyFill="1" applyAlignment="1">
      <alignment vertical="center"/>
    </xf>
    <xf numFmtId="0" fontId="5" fillId="0" borderId="0" xfId="0" applyFont="1" applyFill="1"/>
    <xf numFmtId="0" fontId="0" fillId="0" borderId="0" xfId="0" applyFill="1"/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26" fillId="0" borderId="0" xfId="0" applyFont="1"/>
    <xf numFmtId="164" fontId="25" fillId="0" borderId="7" xfId="0" applyNumberFormat="1" applyFont="1" applyBorder="1"/>
    <xf numFmtId="164" fontId="29" fillId="0" borderId="47" xfId="0" applyNumberFormat="1" applyFont="1" applyBorder="1"/>
    <xf numFmtId="165" fontId="27" fillId="0" borderId="7" xfId="0" applyNumberFormat="1" applyFont="1" applyBorder="1" applyAlignment="1">
      <alignment horizontal="center"/>
    </xf>
    <xf numFmtId="164" fontId="27" fillId="0" borderId="7" xfId="0" applyNumberFormat="1" applyFont="1" applyBorder="1" applyAlignment="1">
      <alignment horizontal="center"/>
    </xf>
    <xf numFmtId="0" fontId="0" fillId="7" borderId="0" xfId="0" applyFill="1" applyBorder="1" applyAlignment="1"/>
    <xf numFmtId="0" fontId="0" fillId="7" borderId="4" xfId="0" applyFill="1" applyBorder="1" applyAlignment="1"/>
    <xf numFmtId="0" fontId="30" fillId="0" borderId="8" xfId="0" applyFont="1" applyFill="1" applyBorder="1" applyAlignment="1">
      <alignment horizontal="center"/>
    </xf>
    <xf numFmtId="0" fontId="32" fillId="0" borderId="7" xfId="0" applyFont="1" applyBorder="1" applyAlignment="1">
      <alignment horizontal="center" vertical="center" wrapText="1"/>
    </xf>
    <xf numFmtId="2" fontId="31" fillId="0" borderId="7" xfId="0" applyNumberFormat="1" applyFont="1" applyBorder="1" applyAlignment="1">
      <alignment horizontal="center"/>
    </xf>
    <xf numFmtId="2" fontId="27" fillId="0" borderId="7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21" fillId="0" borderId="0" xfId="0" applyFont="1"/>
    <xf numFmtId="0" fontId="35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0" fontId="36" fillId="0" borderId="7" xfId="0" applyFont="1" applyBorder="1" applyAlignment="1">
      <alignment horizontal="center" vertical="center" wrapText="1"/>
    </xf>
    <xf numFmtId="0" fontId="37" fillId="0" borderId="0" xfId="0" applyFont="1"/>
    <xf numFmtId="0" fontId="21" fillId="0" borderId="4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/>
    <xf numFmtId="0" fontId="42" fillId="0" borderId="0" xfId="0" applyFont="1" applyAlignment="1">
      <alignment horizontal="center"/>
    </xf>
    <xf numFmtId="0" fontId="9" fillId="0" borderId="0" xfId="0" applyFont="1"/>
    <xf numFmtId="0" fontId="38" fillId="0" borderId="0" xfId="0" applyFont="1" applyAlignment="1">
      <alignment horizontal="center" vertical="center"/>
    </xf>
    <xf numFmtId="0" fontId="0" fillId="0" borderId="47" xfId="0" applyBorder="1"/>
    <xf numFmtId="2" fontId="41" fillId="0" borderId="0" xfId="0" applyNumberFormat="1" applyFont="1" applyAlignment="1">
      <alignment horizontal="left"/>
    </xf>
    <xf numFmtId="0" fontId="41" fillId="0" borderId="0" xfId="0" applyFont="1" applyAlignment="1">
      <alignment horizontal="left" vertical="center"/>
    </xf>
    <xf numFmtId="1" fontId="41" fillId="0" borderId="0" xfId="0" applyNumberFormat="1" applyFont="1" applyAlignment="1">
      <alignment horizontal="left" vertical="center"/>
    </xf>
    <xf numFmtId="2" fontId="41" fillId="0" borderId="0" xfId="0" applyNumberFormat="1" applyFont="1" applyAlignment="1">
      <alignment horizontal="left" vertical="center"/>
    </xf>
    <xf numFmtId="0" fontId="0" fillId="0" borderId="0" xfId="0" quotePrefix="1"/>
    <xf numFmtId="0" fontId="32" fillId="0" borderId="7" xfId="0" applyFont="1" applyBorder="1" applyAlignment="1">
      <alignment vertical="center" wrapText="1"/>
    </xf>
    <xf numFmtId="1" fontId="41" fillId="0" borderId="7" xfId="0" applyNumberFormat="1" applyFont="1" applyBorder="1" applyAlignment="1">
      <alignment horizontal="center"/>
    </xf>
    <xf numFmtId="2" fontId="41" fillId="0" borderId="7" xfId="0" applyNumberFormat="1" applyFont="1" applyBorder="1" applyAlignment="1">
      <alignment horizontal="center"/>
    </xf>
    <xf numFmtId="0" fontId="45" fillId="0" borderId="7" xfId="0" applyFont="1" applyBorder="1" applyAlignment="1">
      <alignment horizontal="center" vertical="center" wrapText="1"/>
    </xf>
    <xf numFmtId="0" fontId="21" fillId="0" borderId="4" xfId="0" applyFont="1" applyBorder="1"/>
    <xf numFmtId="0" fontId="21" fillId="0" borderId="4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166" fontId="6" fillId="0" borderId="7" xfId="0" applyNumberFormat="1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3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left" vertical="center"/>
    </xf>
    <xf numFmtId="0" fontId="1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7" fillId="0" borderId="33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3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3" fillId="5" borderId="33" xfId="0" applyFont="1" applyFill="1" applyBorder="1" applyAlignment="1">
      <alignment horizontal="justify" vertical="center" wrapText="1"/>
    </xf>
    <xf numFmtId="0" fontId="23" fillId="5" borderId="1" xfId="0" applyFont="1" applyFill="1" applyBorder="1" applyAlignment="1">
      <alignment horizontal="justify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justify" vertical="center" wrapText="1"/>
    </xf>
    <xf numFmtId="0" fontId="23" fillId="7" borderId="1" xfId="0" applyFont="1" applyFill="1" applyBorder="1" applyAlignment="1">
      <alignment horizontal="justify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 wrapText="1"/>
    </xf>
    <xf numFmtId="0" fontId="24" fillId="5" borderId="33" xfId="0" applyFont="1" applyFill="1" applyBorder="1" applyAlignment="1">
      <alignment horizontal="justify" vertical="center" wrapText="1"/>
    </xf>
    <xf numFmtId="0" fontId="24" fillId="5" borderId="1" xfId="0" applyFont="1" applyFill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0" xfId="0" applyFont="1" applyBorder="1" applyAlignment="1">
      <alignment horizontal="justify" vertical="center" wrapText="1"/>
    </xf>
    <xf numFmtId="0" fontId="23" fillId="4" borderId="31" xfId="0" applyFont="1" applyFill="1" applyBorder="1" applyAlignment="1">
      <alignment horizontal="justify" vertical="center" wrapText="1"/>
    </xf>
    <xf numFmtId="0" fontId="23" fillId="4" borderId="30" xfId="0" applyFont="1" applyFill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justify" vertical="center" wrapText="1"/>
    </xf>
    <xf numFmtId="0" fontId="17" fillId="0" borderId="36" xfId="0" applyFont="1" applyBorder="1" applyAlignment="1">
      <alignment horizontal="justify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justify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7" fillId="0" borderId="39" xfId="0" applyFont="1" applyBorder="1" applyAlignment="1">
      <alignment horizontal="justify" vertical="center" wrapText="1"/>
    </xf>
    <xf numFmtId="0" fontId="17" fillId="0" borderId="30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2" fillId="8" borderId="7" xfId="0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2" fillId="9" borderId="7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2" fontId="0" fillId="0" borderId="7" xfId="0" applyNumberFormat="1" applyFill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24613212627535"/>
          <c:y val="4.1714069017823284E-2"/>
          <c:w val="0.77481794674002169"/>
          <c:h val="0.76382849754702165"/>
        </c:manualLayout>
      </c:layout>
      <c:scatterChart>
        <c:scatterStyle val="lineMarker"/>
        <c:varyColors val="0"/>
        <c:ser>
          <c:idx val="0"/>
          <c:order val="0"/>
          <c:tx>
            <c:v>observados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Ex_321!$P$5:$P$21</c:f>
              <c:numCache>
                <c:formatCode>General</c:formatCode>
                <c:ptCount val="17"/>
                <c:pt idx="0">
                  <c:v>4.05</c:v>
                </c:pt>
                <c:pt idx="1">
                  <c:v>8.15</c:v>
                </c:pt>
                <c:pt idx="2">
                  <c:v>14.3</c:v>
                </c:pt>
                <c:pt idx="3">
                  <c:v>22.6</c:v>
                </c:pt>
                <c:pt idx="4">
                  <c:v>19.55</c:v>
                </c:pt>
                <c:pt idx="5">
                  <c:v>24.9</c:v>
                </c:pt>
                <c:pt idx="6">
                  <c:v>26.9</c:v>
                </c:pt>
                <c:pt idx="7">
                  <c:v>24.35</c:v>
                </c:pt>
                <c:pt idx="8">
                  <c:v>21.45</c:v>
                </c:pt>
                <c:pt idx="9">
                  <c:v>21.25</c:v>
                </c:pt>
                <c:pt idx="10">
                  <c:v>27.1</c:v>
                </c:pt>
                <c:pt idx="11">
                  <c:v>26.45</c:v>
                </c:pt>
                <c:pt idx="12">
                  <c:v>26.9</c:v>
                </c:pt>
                <c:pt idx="13">
                  <c:v>28</c:v>
                </c:pt>
                <c:pt idx="14">
                  <c:v>29.4</c:v>
                </c:pt>
                <c:pt idx="15">
                  <c:v>28.15</c:v>
                </c:pt>
                <c:pt idx="16">
                  <c:v>28.65</c:v>
                </c:pt>
              </c:numCache>
            </c:numRef>
          </c:xVal>
          <c:yVal>
            <c:numRef>
              <c:f>Ex_321!$N$5:$N$21</c:f>
              <c:numCache>
                <c:formatCode>General</c:formatCode>
                <c:ptCount val="17"/>
                <c:pt idx="0">
                  <c:v>5.5</c:v>
                </c:pt>
                <c:pt idx="1">
                  <c:v>11.5</c:v>
                </c:pt>
                <c:pt idx="2">
                  <c:v>15.5</c:v>
                </c:pt>
                <c:pt idx="3">
                  <c:v>18.5</c:v>
                </c:pt>
                <c:pt idx="4">
                  <c:v>20.5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22.5</c:v>
                </c:pt>
                <c:pt idx="9">
                  <c:v>22.5</c:v>
                </c:pt>
                <c:pt idx="10">
                  <c:v>22.5</c:v>
                </c:pt>
                <c:pt idx="11">
                  <c:v>23</c:v>
                </c:pt>
                <c:pt idx="12">
                  <c:v>23</c:v>
                </c:pt>
                <c:pt idx="13">
                  <c:v>23.3</c:v>
                </c:pt>
                <c:pt idx="14">
                  <c:v>23.5</c:v>
                </c:pt>
                <c:pt idx="15">
                  <c:v>23.5</c:v>
                </c:pt>
                <c:pt idx="16">
                  <c:v>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ED7-491E-9691-8661AB3C32C1}"/>
            </c:ext>
          </c:extLst>
        </c:ser>
        <c:ser>
          <c:idx val="1"/>
          <c:order val="1"/>
          <c:tx>
            <c:v>estimados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Ex_321!$P$5:$P$21</c:f>
              <c:numCache>
                <c:formatCode>General</c:formatCode>
                <c:ptCount val="17"/>
                <c:pt idx="0">
                  <c:v>4.05</c:v>
                </c:pt>
                <c:pt idx="1">
                  <c:v>8.15</c:v>
                </c:pt>
                <c:pt idx="2">
                  <c:v>14.3</c:v>
                </c:pt>
                <c:pt idx="3">
                  <c:v>22.6</c:v>
                </c:pt>
                <c:pt idx="4">
                  <c:v>19.55</c:v>
                </c:pt>
                <c:pt idx="5">
                  <c:v>24.9</c:v>
                </c:pt>
                <c:pt idx="6">
                  <c:v>26.9</c:v>
                </c:pt>
                <c:pt idx="7">
                  <c:v>24.35</c:v>
                </c:pt>
                <c:pt idx="8">
                  <c:v>21.45</c:v>
                </c:pt>
                <c:pt idx="9">
                  <c:v>21.25</c:v>
                </c:pt>
                <c:pt idx="10">
                  <c:v>27.1</c:v>
                </c:pt>
                <c:pt idx="11">
                  <c:v>26.45</c:v>
                </c:pt>
                <c:pt idx="12">
                  <c:v>26.9</c:v>
                </c:pt>
                <c:pt idx="13">
                  <c:v>28</c:v>
                </c:pt>
                <c:pt idx="14">
                  <c:v>29.4</c:v>
                </c:pt>
                <c:pt idx="15">
                  <c:v>28.15</c:v>
                </c:pt>
                <c:pt idx="16">
                  <c:v>28.65</c:v>
                </c:pt>
              </c:numCache>
            </c:numRef>
          </c:xVal>
          <c:yVal>
            <c:numRef>
              <c:f>Ex_321!$S$5:$S$21</c:f>
              <c:numCache>
                <c:formatCode>0.0</c:formatCode>
                <c:ptCount val="17"/>
                <c:pt idx="0">
                  <c:v>5.6406972267481983</c:v>
                </c:pt>
                <c:pt idx="1">
                  <c:v>10.253995621963208</c:v>
                </c:pt>
                <c:pt idx="2">
                  <c:v>15.713667861685131</c:v>
                </c:pt>
                <c:pt idx="3">
                  <c:v>21.209885372272701</c:v>
                </c:pt>
                <c:pt idx="4">
                  <c:v>19.387197133614734</c:v>
                </c:pt>
                <c:pt idx="5">
                  <c:v>22.46009965188993</c:v>
                </c:pt>
                <c:pt idx="6">
                  <c:v>23.470824149150516</c:v>
                </c:pt>
                <c:pt idx="7">
                  <c:v>22.170060030372795</c:v>
                </c:pt>
                <c:pt idx="8">
                  <c:v>20.546075494465143</c:v>
                </c:pt>
                <c:pt idx="9">
                  <c:v>20.427823318148331</c:v>
                </c:pt>
                <c:pt idx="10">
                  <c:v>23.568273497352223</c:v>
                </c:pt>
                <c:pt idx="11">
                  <c:v>23.249216056718005</c:v>
                </c:pt>
                <c:pt idx="12">
                  <c:v>23.470824149150516</c:v>
                </c:pt>
                <c:pt idx="13">
                  <c:v>23.999049400064745</c:v>
                </c:pt>
                <c:pt idx="14">
                  <c:v>24.644939877447204</c:v>
                </c:pt>
                <c:pt idx="15">
                  <c:v>24.069637716968057</c:v>
                </c:pt>
                <c:pt idx="16">
                  <c:v>24.302501482358025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ED7-491E-9691-8661AB3C3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910319"/>
        <c:axId val="450908239"/>
      </c:scatterChart>
      <c:valAx>
        <c:axId val="45091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08239"/>
        <c:crosses val="autoZero"/>
        <c:crossBetween val="midCat"/>
      </c:valAx>
      <c:valAx>
        <c:axId val="45090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Altura</a:t>
                </a:r>
              </a:p>
              <a:p>
                <a:pPr>
                  <a:defRPr/>
                </a:pPr>
                <a:r>
                  <a:rPr lang="en-US"/>
                  <a:t>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1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X Variable 1  Residual 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78180227471564"/>
          <c:y val="0.2136739373095605"/>
          <c:w val="0.63238495188101485"/>
          <c:h val="0.640683923130298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Ex_321!$Q$5:$Q$21</c:f>
              <c:numCache>
                <c:formatCode>0.0000</c:formatCode>
                <c:ptCount val="17"/>
                <c:pt idx="0">
                  <c:v>0.24691358024691359</c:v>
                </c:pt>
                <c:pt idx="1">
                  <c:v>0.12269938650306748</c:v>
                </c:pt>
                <c:pt idx="2">
                  <c:v>6.9930069930069921E-2</c:v>
                </c:pt>
                <c:pt idx="3">
                  <c:v>4.4247787610619468E-2</c:v>
                </c:pt>
                <c:pt idx="4">
                  <c:v>5.1150895140664961E-2</c:v>
                </c:pt>
                <c:pt idx="5">
                  <c:v>4.0160642570281124E-2</c:v>
                </c:pt>
                <c:pt idx="6">
                  <c:v>3.717472118959108E-2</c:v>
                </c:pt>
                <c:pt idx="7">
                  <c:v>4.1067761806981518E-2</c:v>
                </c:pt>
                <c:pt idx="8">
                  <c:v>4.6620046620046623E-2</c:v>
                </c:pt>
                <c:pt idx="9">
                  <c:v>4.7058823529411764E-2</c:v>
                </c:pt>
                <c:pt idx="10">
                  <c:v>3.6900369003690037E-2</c:v>
                </c:pt>
                <c:pt idx="11">
                  <c:v>3.780718336483932E-2</c:v>
                </c:pt>
                <c:pt idx="12">
                  <c:v>3.717472118959108E-2</c:v>
                </c:pt>
                <c:pt idx="13">
                  <c:v>3.5714285714285712E-2</c:v>
                </c:pt>
                <c:pt idx="14">
                  <c:v>3.4013605442176874E-2</c:v>
                </c:pt>
                <c:pt idx="15">
                  <c:v>3.5523978685612793E-2</c:v>
                </c:pt>
                <c:pt idx="16">
                  <c:v>3.4904013961605584E-2</c:v>
                </c:pt>
              </c:numCache>
            </c:numRef>
          </c:xVal>
          <c:yVal>
            <c:numRef>
              <c:f>Ex_321!$AA$36:$AA$52</c:f>
              <c:numCache>
                <c:formatCode>General</c:formatCode>
                <c:ptCount val="17"/>
                <c:pt idx="0">
                  <c:v>4.5351333223331292E-3</c:v>
                </c:pt>
                <c:pt idx="1">
                  <c:v>-1.0566437784870431E-2</c:v>
                </c:pt>
                <c:pt idx="2">
                  <c:v>8.7726324979393866E-4</c:v>
                </c:pt>
                <c:pt idx="3">
                  <c:v>6.9062273473957658E-3</c:v>
                </c:pt>
                <c:pt idx="4">
                  <c:v>-2.7999440186647906E-3</c:v>
                </c:pt>
                <c:pt idx="5">
                  <c:v>9.3114549198768104E-4</c:v>
                </c:pt>
                <c:pt idx="6">
                  <c:v>2.8484574175306476E-3</c:v>
                </c:pt>
                <c:pt idx="7">
                  <c:v>3.4866849119900845E-4</c:v>
                </c:pt>
                <c:pt idx="8">
                  <c:v>-4.2266509318665962E-3</c:v>
                </c:pt>
                <c:pt idx="9">
                  <c:v>-4.5083971983353593E-3</c:v>
                </c:pt>
                <c:pt idx="10">
                  <c:v>2.0145227061234353E-3</c:v>
                </c:pt>
                <c:pt idx="11">
                  <c:v>4.6605789633662187E-4</c:v>
                </c:pt>
                <c:pt idx="12">
                  <c:v>8.7217283255040801E-4</c:v>
                </c:pt>
                <c:pt idx="13">
                  <c:v>1.2501378564757568E-3</c:v>
                </c:pt>
                <c:pt idx="14">
                  <c:v>1.9769107204599748E-3</c:v>
                </c:pt>
                <c:pt idx="15">
                  <c:v>1.0070738552336519E-3</c:v>
                </c:pt>
                <c:pt idx="16">
                  <c:v>-1.9323412536824125E-3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8C-4A9D-911B-0339F174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33647"/>
        <c:axId val="557936143"/>
      </c:scatterChart>
      <c:valAx>
        <c:axId val="557933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>
            <c:manualLayout>
              <c:xMode val="edge"/>
              <c:yMode val="edge"/>
              <c:x val="0.44908521434820642"/>
              <c:y val="0.83520077231725343"/>
            </c:manualLayout>
          </c:layout>
          <c:overlay val="0"/>
        </c:title>
        <c:numFmt formatCode="0.0000" sourceLinked="1"/>
        <c:majorTickMark val="out"/>
        <c:minorTickMark val="none"/>
        <c:tickLblPos val="nextTo"/>
        <c:crossAx val="557936143"/>
        <c:crosses val="autoZero"/>
        <c:crossBetween val="midCat"/>
      </c:valAx>
      <c:valAx>
        <c:axId val="55793614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7933647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Normal Probability 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123843810967481"/>
          <c:y val="0.23691578026430907"/>
          <c:w val="0.69585175516162079"/>
          <c:h val="0.4389449125876809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Ex_321!$AC$36:$AC$52</c:f>
              <c:numCache>
                <c:formatCode>General</c:formatCode>
                <c:ptCount val="17"/>
                <c:pt idx="0">
                  <c:v>2.9411764705882355</c:v>
                </c:pt>
                <c:pt idx="1">
                  <c:v>8.8235294117647065</c:v>
                </c:pt>
                <c:pt idx="2">
                  <c:v>14.705882352941178</c:v>
                </c:pt>
                <c:pt idx="3">
                  <c:v>20.588235294117649</c:v>
                </c:pt>
                <c:pt idx="4">
                  <c:v>26.47058823529412</c:v>
                </c:pt>
                <c:pt idx="5">
                  <c:v>32.352941176470594</c:v>
                </c:pt>
                <c:pt idx="6">
                  <c:v>38.235294117647058</c:v>
                </c:pt>
                <c:pt idx="7">
                  <c:v>44.117647058823536</c:v>
                </c:pt>
                <c:pt idx="8">
                  <c:v>50</c:v>
                </c:pt>
                <c:pt idx="9">
                  <c:v>55.882352941176478</c:v>
                </c:pt>
                <c:pt idx="10">
                  <c:v>61.764705882352942</c:v>
                </c:pt>
                <c:pt idx="11">
                  <c:v>67.64705882352942</c:v>
                </c:pt>
                <c:pt idx="12">
                  <c:v>73.529411764705884</c:v>
                </c:pt>
                <c:pt idx="13">
                  <c:v>79.411764705882348</c:v>
                </c:pt>
                <c:pt idx="14">
                  <c:v>85.294117647058826</c:v>
                </c:pt>
                <c:pt idx="15">
                  <c:v>91.176470588235304</c:v>
                </c:pt>
                <c:pt idx="16">
                  <c:v>97.058823529411768</c:v>
                </c:pt>
              </c:numCache>
            </c:numRef>
          </c:xVal>
          <c:yVal>
            <c:numRef>
              <c:f>Ex_321!$AD$36:$AD$52</c:f>
              <c:numCache>
                <c:formatCode>General</c:formatCode>
                <c:ptCount val="17"/>
                <c:pt idx="0">
                  <c:v>3.9215686274509803E-2</c:v>
                </c:pt>
                <c:pt idx="1">
                  <c:v>4.2553191489361701E-2</c:v>
                </c:pt>
                <c:pt idx="2">
                  <c:v>4.2553191489361701E-2</c:v>
                </c:pt>
                <c:pt idx="3">
                  <c:v>4.2918454935622317E-2</c:v>
                </c:pt>
                <c:pt idx="4">
                  <c:v>4.3478260869565216E-2</c:v>
                </c:pt>
                <c:pt idx="5">
                  <c:v>4.3478260869565216E-2</c:v>
                </c:pt>
                <c:pt idx="6">
                  <c:v>4.4444444444444446E-2</c:v>
                </c:pt>
                <c:pt idx="7">
                  <c:v>4.4444444444444446E-2</c:v>
                </c:pt>
                <c:pt idx="8">
                  <c:v>4.4444444444444446E-2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4.878048780487805E-2</c:v>
                </c:pt>
                <c:pt idx="13">
                  <c:v>5.4054054054054057E-2</c:v>
                </c:pt>
                <c:pt idx="14">
                  <c:v>6.4516129032258063E-2</c:v>
                </c:pt>
                <c:pt idx="15">
                  <c:v>8.6956521739130432E-2</c:v>
                </c:pt>
                <c:pt idx="16">
                  <c:v>0.18181818181818182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A7-4D96-B0C2-EDF1C53F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32815"/>
        <c:axId val="557940303"/>
      </c:scatterChart>
      <c:valAx>
        <c:axId val="557932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>
            <c:manualLayout>
              <c:xMode val="edge"/>
              <c:yMode val="edge"/>
              <c:x val="0.38463865145199094"/>
              <c:y val="0.842056146490460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7940303"/>
        <c:crosses val="autoZero"/>
        <c:crossBetween val="midCat"/>
      </c:valAx>
      <c:valAx>
        <c:axId val="55794030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7932815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0257082005227"/>
          <c:y val="4.1714069017823284E-2"/>
          <c:w val="0.70396150804624469"/>
          <c:h val="0.76382849754702165"/>
        </c:manualLayout>
      </c:layout>
      <c:scatterChart>
        <c:scatterStyle val="lineMarker"/>
        <c:varyColors val="0"/>
        <c:ser>
          <c:idx val="0"/>
          <c:order val="0"/>
          <c:tx>
            <c:v>observados (árv modelo)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  <a:effectLst/>
            </c:spPr>
          </c:marker>
          <c:xVal>
            <c:numRef>
              <c:f>Ex_321!$P$5:$P$21</c:f>
              <c:numCache>
                <c:formatCode>General</c:formatCode>
                <c:ptCount val="17"/>
                <c:pt idx="0">
                  <c:v>4.05</c:v>
                </c:pt>
                <c:pt idx="1">
                  <c:v>8.15</c:v>
                </c:pt>
                <c:pt idx="2">
                  <c:v>14.3</c:v>
                </c:pt>
                <c:pt idx="3">
                  <c:v>22.6</c:v>
                </c:pt>
                <c:pt idx="4">
                  <c:v>19.55</c:v>
                </c:pt>
                <c:pt idx="5">
                  <c:v>24.9</c:v>
                </c:pt>
                <c:pt idx="6">
                  <c:v>26.9</c:v>
                </c:pt>
                <c:pt idx="7">
                  <c:v>24.35</c:v>
                </c:pt>
                <c:pt idx="8">
                  <c:v>21.45</c:v>
                </c:pt>
                <c:pt idx="9">
                  <c:v>21.25</c:v>
                </c:pt>
                <c:pt idx="10">
                  <c:v>27.1</c:v>
                </c:pt>
                <c:pt idx="11">
                  <c:v>26.45</c:v>
                </c:pt>
                <c:pt idx="12">
                  <c:v>26.9</c:v>
                </c:pt>
                <c:pt idx="13">
                  <c:v>28</c:v>
                </c:pt>
                <c:pt idx="14">
                  <c:v>29.4</c:v>
                </c:pt>
                <c:pt idx="15">
                  <c:v>28.15</c:v>
                </c:pt>
                <c:pt idx="16">
                  <c:v>28.65</c:v>
                </c:pt>
              </c:numCache>
            </c:numRef>
          </c:xVal>
          <c:yVal>
            <c:numRef>
              <c:f>Ex_321!$T$5:$T$21</c:f>
              <c:numCache>
                <c:formatCode>0.00</c:formatCode>
                <c:ptCount val="17"/>
                <c:pt idx="0">
                  <c:v>5.5</c:v>
                </c:pt>
                <c:pt idx="1">
                  <c:v>11.5</c:v>
                </c:pt>
                <c:pt idx="2">
                  <c:v>15.5</c:v>
                </c:pt>
                <c:pt idx="3">
                  <c:v>18.5</c:v>
                </c:pt>
                <c:pt idx="4">
                  <c:v>20.5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22.5</c:v>
                </c:pt>
                <c:pt idx="9">
                  <c:v>22.5</c:v>
                </c:pt>
                <c:pt idx="10">
                  <c:v>22.5</c:v>
                </c:pt>
                <c:pt idx="11">
                  <c:v>23</c:v>
                </c:pt>
                <c:pt idx="12">
                  <c:v>23</c:v>
                </c:pt>
                <c:pt idx="13">
                  <c:v>23.3</c:v>
                </c:pt>
                <c:pt idx="14">
                  <c:v>23.5</c:v>
                </c:pt>
                <c:pt idx="15">
                  <c:v>23.5</c:v>
                </c:pt>
                <c:pt idx="16">
                  <c:v>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7C-4E10-8ABB-5A31AA54483B}"/>
            </c:ext>
          </c:extLst>
        </c:ser>
        <c:ser>
          <c:idx val="1"/>
          <c:order val="1"/>
          <c:tx>
            <c:v>h estimada (restantes árv)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Ex_321!$P$22:$P$84</c:f>
              <c:numCache>
                <c:formatCode>General</c:formatCode>
                <c:ptCount val="63"/>
                <c:pt idx="0">
                  <c:v>27.2</c:v>
                </c:pt>
                <c:pt idx="1">
                  <c:v>21.7</c:v>
                </c:pt>
                <c:pt idx="2">
                  <c:v>25.8</c:v>
                </c:pt>
                <c:pt idx="3">
                  <c:v>26.85</c:v>
                </c:pt>
                <c:pt idx="4">
                  <c:v>24.75</c:v>
                </c:pt>
                <c:pt idx="5">
                  <c:v>0</c:v>
                </c:pt>
                <c:pt idx="6">
                  <c:v>22.15</c:v>
                </c:pt>
                <c:pt idx="7">
                  <c:v>20.5</c:v>
                </c:pt>
                <c:pt idx="8">
                  <c:v>0</c:v>
                </c:pt>
                <c:pt idx="9">
                  <c:v>25</c:v>
                </c:pt>
                <c:pt idx="10">
                  <c:v>28.35</c:v>
                </c:pt>
                <c:pt idx="11">
                  <c:v>20.75</c:v>
                </c:pt>
                <c:pt idx="12">
                  <c:v>24.7</c:v>
                </c:pt>
                <c:pt idx="13">
                  <c:v>25.2</c:v>
                </c:pt>
                <c:pt idx="14">
                  <c:v>21.95</c:v>
                </c:pt>
                <c:pt idx="15">
                  <c:v>22.75</c:v>
                </c:pt>
                <c:pt idx="16">
                  <c:v>14.65</c:v>
                </c:pt>
                <c:pt idx="17">
                  <c:v>20.05</c:v>
                </c:pt>
                <c:pt idx="18">
                  <c:v>20.100000000000001</c:v>
                </c:pt>
                <c:pt idx="19">
                  <c:v>22.6</c:v>
                </c:pt>
                <c:pt idx="20">
                  <c:v>0</c:v>
                </c:pt>
                <c:pt idx="21">
                  <c:v>17.350000000000001</c:v>
                </c:pt>
                <c:pt idx="22">
                  <c:v>24.5</c:v>
                </c:pt>
                <c:pt idx="23">
                  <c:v>22.95</c:v>
                </c:pt>
                <c:pt idx="24">
                  <c:v>24.25</c:v>
                </c:pt>
                <c:pt idx="25">
                  <c:v>21.95</c:v>
                </c:pt>
                <c:pt idx="26">
                  <c:v>22.6</c:v>
                </c:pt>
                <c:pt idx="27">
                  <c:v>23.3</c:v>
                </c:pt>
                <c:pt idx="28">
                  <c:v>21.85</c:v>
                </c:pt>
                <c:pt idx="29">
                  <c:v>28.5</c:v>
                </c:pt>
                <c:pt idx="30">
                  <c:v>21.4</c:v>
                </c:pt>
                <c:pt idx="31">
                  <c:v>19.05</c:v>
                </c:pt>
                <c:pt idx="32">
                  <c:v>24.75</c:v>
                </c:pt>
                <c:pt idx="33">
                  <c:v>25.85</c:v>
                </c:pt>
                <c:pt idx="34">
                  <c:v>25.2</c:v>
                </c:pt>
                <c:pt idx="35">
                  <c:v>20.399999999999999</c:v>
                </c:pt>
                <c:pt idx="36">
                  <c:v>21.4</c:v>
                </c:pt>
                <c:pt idx="37">
                  <c:v>24.25</c:v>
                </c:pt>
                <c:pt idx="38">
                  <c:v>0</c:v>
                </c:pt>
                <c:pt idx="39">
                  <c:v>0</c:v>
                </c:pt>
                <c:pt idx="40">
                  <c:v>28.75</c:v>
                </c:pt>
                <c:pt idx="41">
                  <c:v>23.6</c:v>
                </c:pt>
                <c:pt idx="42">
                  <c:v>26.5</c:v>
                </c:pt>
                <c:pt idx="43">
                  <c:v>14.05</c:v>
                </c:pt>
                <c:pt idx="44">
                  <c:v>22.8</c:v>
                </c:pt>
                <c:pt idx="45">
                  <c:v>21</c:v>
                </c:pt>
                <c:pt idx="46">
                  <c:v>25.55</c:v>
                </c:pt>
                <c:pt idx="47">
                  <c:v>22.7</c:v>
                </c:pt>
                <c:pt idx="48">
                  <c:v>28.15</c:v>
                </c:pt>
                <c:pt idx="49">
                  <c:v>0</c:v>
                </c:pt>
                <c:pt idx="50">
                  <c:v>23.75</c:v>
                </c:pt>
                <c:pt idx="51">
                  <c:v>28.95</c:v>
                </c:pt>
                <c:pt idx="52">
                  <c:v>27.2</c:v>
                </c:pt>
                <c:pt idx="53">
                  <c:v>19.3</c:v>
                </c:pt>
                <c:pt idx="54">
                  <c:v>16.25</c:v>
                </c:pt>
                <c:pt idx="55">
                  <c:v>23.7</c:v>
                </c:pt>
                <c:pt idx="56">
                  <c:v>20.45</c:v>
                </c:pt>
                <c:pt idx="57">
                  <c:v>24</c:v>
                </c:pt>
                <c:pt idx="58">
                  <c:v>23.8</c:v>
                </c:pt>
                <c:pt idx="59">
                  <c:v>22.2</c:v>
                </c:pt>
                <c:pt idx="60">
                  <c:v>17.5</c:v>
                </c:pt>
                <c:pt idx="61">
                  <c:v>29.75</c:v>
                </c:pt>
                <c:pt idx="62">
                  <c:v>18.600000000000001</c:v>
                </c:pt>
              </c:numCache>
            </c:numRef>
          </c:xVal>
          <c:yVal>
            <c:numRef>
              <c:f>Ex_321!$T$22:$T$84</c:f>
              <c:numCache>
                <c:formatCode>0.00</c:formatCode>
                <c:ptCount val="63"/>
                <c:pt idx="0">
                  <c:v>23.616760384419262</c:v>
                </c:pt>
                <c:pt idx="1">
                  <c:v>20.692702333865157</c:v>
                </c:pt>
                <c:pt idx="2">
                  <c:v>22.923254066641434</c:v>
                </c:pt>
                <c:pt idx="3">
                  <c:v>23.446362166830244</c:v>
                </c:pt>
                <c:pt idx="4">
                  <c:v>22.381534013825537</c:v>
                </c:pt>
                <c:pt idx="5">
                  <c:v>0</c:v>
                </c:pt>
                <c:pt idx="6">
                  <c:v>20.953356254542971</c:v>
                </c:pt>
                <c:pt idx="7">
                  <c:v>19.976686349765561</c:v>
                </c:pt>
                <c:pt idx="8">
                  <c:v>0</c:v>
                </c:pt>
                <c:pt idx="9">
                  <c:v>22.512255828044896</c:v>
                </c:pt>
                <c:pt idx="10">
                  <c:v>24.163229445792371</c:v>
                </c:pt>
                <c:pt idx="11">
                  <c:v>20.128431857865017</c:v>
                </c:pt>
                <c:pt idx="12">
                  <c:v>22.355256651920158</c:v>
                </c:pt>
                <c:pt idx="13">
                  <c:v>22.616041993968718</c:v>
                </c:pt>
                <c:pt idx="14">
                  <c:v>20.838025189860652</c:v>
                </c:pt>
                <c:pt idx="15">
                  <c:v>21.294495333752671</c:v>
                </c:pt>
                <c:pt idx="16">
                  <c:v>15.983098722347828</c:v>
                </c:pt>
                <c:pt idx="17">
                  <c:v>19.70002473771347</c:v>
                </c:pt>
                <c:pt idx="18">
                  <c:v>19.730991061200267</c:v>
                </c:pt>
                <c:pt idx="19">
                  <c:v>21.209885372272701</c:v>
                </c:pt>
                <c:pt idx="20">
                  <c:v>0</c:v>
                </c:pt>
                <c:pt idx="21">
                  <c:v>17.938764195284346</c:v>
                </c:pt>
                <c:pt idx="22">
                  <c:v>22.249700102525477</c:v>
                </c:pt>
                <c:pt idx="23">
                  <c:v>21.406618598056042</c:v>
                </c:pt>
                <c:pt idx="24">
                  <c:v>22.116739842011171</c:v>
                </c:pt>
                <c:pt idx="25">
                  <c:v>20.838025189860652</c:v>
                </c:pt>
                <c:pt idx="26">
                  <c:v>21.209885372272701</c:v>
                </c:pt>
                <c:pt idx="27">
                  <c:v>21.600959833430675</c:v>
                </c:pt>
                <c:pt idx="28">
                  <c:v>20.780051410213805</c:v>
                </c:pt>
                <c:pt idx="29">
                  <c:v>24.233031864578518</c:v>
                </c:pt>
                <c:pt idx="30">
                  <c:v>20.516592102702916</c:v>
                </c:pt>
                <c:pt idx="31">
                  <c:v>19.0685028382136</c:v>
                </c:pt>
                <c:pt idx="32">
                  <c:v>22.381534013825537</c:v>
                </c:pt>
                <c:pt idx="33">
                  <c:v>22.948578294307026</c:v>
                </c:pt>
                <c:pt idx="34">
                  <c:v>22.616041993968718</c:v>
                </c:pt>
                <c:pt idx="35">
                  <c:v>19.915599572603977</c:v>
                </c:pt>
                <c:pt idx="36">
                  <c:v>20.516592102702916</c:v>
                </c:pt>
                <c:pt idx="37">
                  <c:v>22.116739842011171</c:v>
                </c:pt>
                <c:pt idx="38">
                  <c:v>0</c:v>
                </c:pt>
                <c:pt idx="39">
                  <c:v>0</c:v>
                </c:pt>
                <c:pt idx="40">
                  <c:v>24.348630844908673</c:v>
                </c:pt>
                <c:pt idx="41">
                  <c:v>21.765667102943084</c:v>
                </c:pt>
                <c:pt idx="42">
                  <c:v>23.274001245187499</c:v>
                </c:pt>
                <c:pt idx="43">
                  <c:v>15.518827677284445</c:v>
                </c:pt>
                <c:pt idx="44">
                  <c:v>21.322599821218272</c:v>
                </c:pt>
                <c:pt idx="45">
                  <c:v>20.278804666519004</c:v>
                </c:pt>
                <c:pt idx="46">
                  <c:v>22.795997945858677</c:v>
                </c:pt>
                <c:pt idx="47">
                  <c:v>21.266341516510444</c:v>
                </c:pt>
                <c:pt idx="48">
                  <c:v>24.069637716968057</c:v>
                </c:pt>
                <c:pt idx="49">
                  <c:v>0</c:v>
                </c:pt>
                <c:pt idx="50">
                  <c:v>21.847382036653329</c:v>
                </c:pt>
                <c:pt idx="51">
                  <c:v>24.440451790009053</c:v>
                </c:pt>
                <c:pt idx="52">
                  <c:v>23.616760384419262</c:v>
                </c:pt>
                <c:pt idx="53">
                  <c:v>19.228593588800152</c:v>
                </c:pt>
                <c:pt idx="54">
                  <c:v>17.167243918294471</c:v>
                </c:pt>
                <c:pt idx="55">
                  <c:v>21.820190710167253</c:v>
                </c:pt>
                <c:pt idx="56">
                  <c:v>19.946170868624602</c:v>
                </c:pt>
                <c:pt idx="57">
                  <c:v>21.982638735572408</c:v>
                </c:pt>
                <c:pt idx="58">
                  <c:v>21.874526540202393</c:v>
                </c:pt>
                <c:pt idx="59">
                  <c:v>20.982061380344906</c:v>
                </c:pt>
                <c:pt idx="60">
                  <c:v>18.041431378809918</c:v>
                </c:pt>
                <c:pt idx="61">
                  <c:v>24.801998792801605</c:v>
                </c:pt>
                <c:pt idx="62">
                  <c:v>18.776524390021837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91-499A-B017-05EE0D4C5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910319"/>
        <c:axId val="450908239"/>
      </c:scatterChart>
      <c:valAx>
        <c:axId val="45091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08239"/>
        <c:crosses val="autoZero"/>
        <c:crossBetween val="midCat"/>
      </c:valAx>
      <c:valAx>
        <c:axId val="45090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1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22860</xdr:colOff>
          <xdr:row>1</xdr:row>
          <xdr:rowOff>114300</xdr:rowOff>
        </xdr:from>
        <xdr:to>
          <xdr:col>30</xdr:col>
          <xdr:colOff>22860</xdr:colOff>
          <xdr:row>4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594360</xdr:colOff>
      <xdr:row>8</xdr:row>
      <xdr:rowOff>11430</xdr:rowOff>
    </xdr:from>
    <xdr:to>
      <xdr:col>7</xdr:col>
      <xdr:colOff>449580</xdr:colOff>
      <xdr:row>26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449580</xdr:colOff>
      <xdr:row>13</xdr:row>
      <xdr:rowOff>83820</xdr:rowOff>
    </xdr:from>
    <xdr:to>
      <xdr:col>31</xdr:col>
      <xdr:colOff>259080</xdr:colOff>
      <xdr:row>20</xdr:row>
      <xdr:rowOff>121920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320040</xdr:colOff>
      <xdr:row>13</xdr:row>
      <xdr:rowOff>83820</xdr:rowOff>
    </xdr:from>
    <xdr:to>
      <xdr:col>35</xdr:col>
      <xdr:colOff>594360</xdr:colOff>
      <xdr:row>20</xdr:row>
      <xdr:rowOff>106680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601980</xdr:colOff>
      <xdr:row>29</xdr:row>
      <xdr:rowOff>22860</xdr:rowOff>
    </xdr:from>
    <xdr:to>
      <xdr:col>7</xdr:col>
      <xdr:colOff>457200</xdr:colOff>
      <xdr:row>47</xdr:row>
      <xdr:rowOff>118110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144780</xdr:colOff>
          <xdr:row>0</xdr:row>
          <xdr:rowOff>190500</xdr:rowOff>
        </xdr:from>
        <xdr:to>
          <xdr:col>9</xdr:col>
          <xdr:colOff>594360</xdr:colOff>
          <xdr:row>5</xdr:row>
          <xdr:rowOff>60960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369623</xdr:colOff>
      <xdr:row>0</xdr:row>
      <xdr:rowOff>97972</xdr:rowOff>
    </xdr:from>
    <xdr:to>
      <xdr:col>18</xdr:col>
      <xdr:colOff>361110</xdr:colOff>
      <xdr:row>3</xdr:row>
      <xdr:rowOff>138371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607" t="59587" r="61321" b="29846"/>
        <a:stretch/>
      </xdr:blipFill>
      <xdr:spPr>
        <a:xfrm>
          <a:off x="9600709" y="97972"/>
          <a:ext cx="1384858" cy="6391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</xdr:row>
          <xdr:rowOff>15240</xdr:rowOff>
        </xdr:from>
        <xdr:to>
          <xdr:col>16</xdr:col>
          <xdr:colOff>7620</xdr:colOff>
          <xdr:row>3</xdr:row>
          <xdr:rowOff>91440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8"/>
  <sheetViews>
    <sheetView zoomScale="95" zoomScaleNormal="95" workbookViewId="0">
      <selection activeCell="AH3" sqref="AH3"/>
    </sheetView>
  </sheetViews>
  <sheetFormatPr defaultRowHeight="14.4" x14ac:dyDescent="0.3"/>
  <cols>
    <col min="1" max="1" width="1.77734375" customWidth="1"/>
    <col min="2" max="3" width="4.5546875" customWidth="1"/>
    <col min="4" max="12" width="2.33203125" customWidth="1"/>
    <col min="13" max="13" width="3" customWidth="1"/>
    <col min="14" max="16" width="2.33203125" customWidth="1"/>
    <col min="17" max="17" width="5.5546875" customWidth="1"/>
    <col min="18" max="19" width="3.109375" customWidth="1"/>
    <col min="20" max="32" width="3" customWidth="1"/>
    <col min="34" max="41" width="4.21875" customWidth="1"/>
  </cols>
  <sheetData>
    <row r="2" spans="2:41" ht="15" thickBot="1" x14ac:dyDescent="0.35">
      <c r="B2" s="101" t="s">
        <v>50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41" ht="15.6" thickTop="1" thickBot="1" x14ac:dyDescent="0.35">
      <c r="B3" s="183" t="s">
        <v>51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  <c r="Q3" s="144" t="s">
        <v>52</v>
      </c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7"/>
    </row>
    <row r="4" spans="2:41" ht="16.2" customHeight="1" thickTop="1" thickBot="1" x14ac:dyDescent="0.35">
      <c r="B4" s="186" t="s">
        <v>53</v>
      </c>
      <c r="C4" s="143"/>
      <c r="D4" s="187" t="s">
        <v>54</v>
      </c>
      <c r="E4" s="188"/>
      <c r="F4" s="188"/>
      <c r="G4" s="188"/>
      <c r="H4" s="188"/>
      <c r="I4" s="188"/>
      <c r="J4" s="188"/>
      <c r="K4" s="188"/>
      <c r="L4" s="188"/>
      <c r="M4" s="189"/>
      <c r="N4" s="190" t="s">
        <v>55</v>
      </c>
      <c r="O4" s="191"/>
      <c r="P4" s="192"/>
      <c r="Q4" s="193" t="s">
        <v>56</v>
      </c>
      <c r="R4" s="194"/>
      <c r="S4" s="194"/>
      <c r="T4" s="194"/>
      <c r="U4" s="194"/>
      <c r="V4" s="194"/>
      <c r="W4" s="194"/>
      <c r="X4" s="194"/>
      <c r="Y4" s="194"/>
      <c r="Z4" s="194"/>
      <c r="AA4" s="195"/>
      <c r="AB4" s="190" t="s">
        <v>57</v>
      </c>
      <c r="AC4" s="191"/>
      <c r="AD4" s="191"/>
      <c r="AE4" s="191"/>
      <c r="AF4" s="192"/>
    </row>
    <row r="5" spans="2:41" ht="15.6" thickTop="1" thickBot="1" x14ac:dyDescent="0.35">
      <c r="B5" s="198" t="s">
        <v>58</v>
      </c>
      <c r="C5" s="199"/>
      <c r="D5" s="93"/>
      <c r="E5" s="94"/>
      <c r="F5" s="95"/>
      <c r="G5" s="94"/>
      <c r="H5" s="95"/>
      <c r="I5" s="94"/>
      <c r="J5" s="95"/>
      <c r="K5" s="94"/>
      <c r="L5" s="159"/>
      <c r="M5" s="160"/>
      <c r="N5" s="174"/>
      <c r="O5" s="175"/>
      <c r="P5" s="17"/>
      <c r="Q5" s="39">
        <v>30.6</v>
      </c>
      <c r="R5" s="176">
        <v>19.600000000000001</v>
      </c>
      <c r="S5" s="177"/>
      <c r="T5" s="178"/>
      <c r="U5" s="179"/>
      <c r="V5" s="176"/>
      <c r="W5" s="177"/>
      <c r="X5" s="178"/>
      <c r="Y5" s="179"/>
      <c r="Z5" s="176"/>
      <c r="AA5" s="177"/>
      <c r="AB5" s="178">
        <v>8.4</v>
      </c>
      <c r="AC5" s="179"/>
      <c r="AD5" s="176"/>
      <c r="AE5" s="177"/>
      <c r="AF5" s="18"/>
      <c r="AH5" s="180" t="s">
        <v>59</v>
      </c>
      <c r="AI5" s="181"/>
      <c r="AJ5" s="182"/>
      <c r="AK5" s="175"/>
      <c r="AL5" s="182"/>
      <c r="AM5" s="175"/>
      <c r="AN5" s="182"/>
      <c r="AO5" s="175"/>
    </row>
    <row r="6" spans="2:41" ht="15" thickBot="1" x14ac:dyDescent="0.35">
      <c r="B6" s="196" t="s">
        <v>60</v>
      </c>
      <c r="C6" s="197"/>
      <c r="D6" s="93"/>
      <c r="E6" s="94"/>
      <c r="F6" s="95"/>
      <c r="G6" s="94"/>
      <c r="H6" s="95"/>
      <c r="I6" s="94"/>
      <c r="J6" s="95"/>
      <c r="K6" s="94"/>
      <c r="L6" s="159"/>
      <c r="M6" s="160"/>
      <c r="N6" s="155"/>
      <c r="O6" s="156"/>
      <c r="P6" s="17"/>
      <c r="Q6" s="40">
        <v>26.4</v>
      </c>
      <c r="R6" s="122">
        <v>21.7</v>
      </c>
      <c r="S6" s="123"/>
      <c r="T6" s="126"/>
      <c r="U6" s="127"/>
      <c r="V6" s="122"/>
      <c r="W6" s="123"/>
      <c r="X6" s="126"/>
      <c r="Y6" s="127"/>
      <c r="Z6" s="122"/>
      <c r="AA6" s="123"/>
      <c r="AB6" s="126"/>
      <c r="AC6" s="127"/>
      <c r="AD6" s="122"/>
      <c r="AE6" s="123"/>
      <c r="AF6" s="18"/>
      <c r="AH6" s="157" t="s">
        <v>59</v>
      </c>
      <c r="AI6" s="153"/>
      <c r="AJ6" s="158"/>
      <c r="AK6" s="156"/>
      <c r="AL6" s="158"/>
      <c r="AM6" s="156"/>
      <c r="AN6" s="158"/>
      <c r="AO6" s="156"/>
    </row>
    <row r="7" spans="2:41" ht="15" thickBot="1" x14ac:dyDescent="0.35">
      <c r="B7" s="167" t="s">
        <v>61</v>
      </c>
      <c r="C7" s="168"/>
      <c r="D7" s="93" t="s">
        <v>59</v>
      </c>
      <c r="E7" s="94"/>
      <c r="F7" s="95"/>
      <c r="G7" s="94"/>
      <c r="H7" s="95"/>
      <c r="I7" s="94"/>
      <c r="J7" s="95"/>
      <c r="K7" s="94"/>
      <c r="L7" s="159"/>
      <c r="M7" s="160"/>
      <c r="N7" s="155"/>
      <c r="O7" s="156"/>
      <c r="P7" s="17"/>
      <c r="Q7" s="41">
        <v>14.6</v>
      </c>
      <c r="R7" s="122">
        <v>23.2</v>
      </c>
      <c r="S7" s="123"/>
      <c r="T7" s="126"/>
      <c r="U7" s="127"/>
      <c r="V7" s="122"/>
      <c r="W7" s="123"/>
      <c r="X7" s="126"/>
      <c r="Y7" s="127"/>
      <c r="Z7" s="122"/>
      <c r="AA7" s="123"/>
      <c r="AB7" s="126"/>
      <c r="AC7" s="127"/>
      <c r="AD7" s="122"/>
      <c r="AE7" s="123"/>
      <c r="AF7" s="18"/>
      <c r="AH7" s="157" t="s">
        <v>62</v>
      </c>
      <c r="AI7" s="153"/>
      <c r="AJ7" s="158"/>
      <c r="AK7" s="156"/>
      <c r="AL7" s="158"/>
      <c r="AM7" s="156"/>
      <c r="AN7" s="158"/>
      <c r="AO7" s="156"/>
    </row>
    <row r="8" spans="2:41" ht="15" thickBot="1" x14ac:dyDescent="0.35">
      <c r="B8" s="165" t="s">
        <v>63</v>
      </c>
      <c r="C8" s="166"/>
      <c r="D8" s="93"/>
      <c r="E8" s="94"/>
      <c r="F8" s="95"/>
      <c r="G8" s="94"/>
      <c r="H8" s="95"/>
      <c r="I8" s="94"/>
      <c r="J8" s="95"/>
      <c r="K8" s="94"/>
      <c r="L8" s="159"/>
      <c r="M8" s="160"/>
      <c r="N8" s="155"/>
      <c r="O8" s="156"/>
      <c r="P8" s="17"/>
      <c r="Q8" s="26">
        <v>24.1</v>
      </c>
      <c r="R8" s="122">
        <v>25.4</v>
      </c>
      <c r="S8" s="123"/>
      <c r="T8" s="126"/>
      <c r="U8" s="127"/>
      <c r="V8" s="122"/>
      <c r="W8" s="123"/>
      <c r="X8" s="126"/>
      <c r="Y8" s="127"/>
      <c r="Z8" s="122"/>
      <c r="AA8" s="123"/>
      <c r="AB8" s="126"/>
      <c r="AC8" s="127"/>
      <c r="AD8" s="122"/>
      <c r="AE8" s="123"/>
      <c r="AF8" s="18"/>
      <c r="AH8" s="169" t="s">
        <v>62</v>
      </c>
      <c r="AI8" s="170"/>
      <c r="AJ8" s="158" t="s">
        <v>62</v>
      </c>
      <c r="AK8" s="156"/>
      <c r="AL8" s="158"/>
      <c r="AM8" s="156"/>
      <c r="AN8" s="158"/>
      <c r="AO8" s="156"/>
    </row>
    <row r="9" spans="2:41" ht="15" thickBot="1" x14ac:dyDescent="0.35">
      <c r="B9" s="163" t="s">
        <v>64</v>
      </c>
      <c r="C9" s="164"/>
      <c r="D9" s="93" t="s">
        <v>83</v>
      </c>
      <c r="E9" s="94"/>
      <c r="F9" s="95" t="s">
        <v>59</v>
      </c>
      <c r="G9" s="94"/>
      <c r="H9" s="95"/>
      <c r="I9" s="94"/>
      <c r="J9" s="95"/>
      <c r="K9" s="94"/>
      <c r="L9" s="159"/>
      <c r="M9" s="160"/>
      <c r="N9" s="155"/>
      <c r="O9" s="156"/>
      <c r="P9" s="17"/>
      <c r="Q9" s="26">
        <v>26</v>
      </c>
      <c r="R9" s="122">
        <v>14.5</v>
      </c>
      <c r="S9" s="123"/>
      <c r="T9" s="126"/>
      <c r="U9" s="127"/>
      <c r="V9" s="122"/>
      <c r="W9" s="123"/>
      <c r="X9" s="126"/>
      <c r="Y9" s="127"/>
      <c r="Z9" s="122"/>
      <c r="AA9" s="123"/>
      <c r="AB9" s="126"/>
      <c r="AC9" s="127"/>
      <c r="AD9" s="122"/>
      <c r="AE9" s="123"/>
      <c r="AF9" s="18"/>
      <c r="AH9" s="169" t="s">
        <v>62</v>
      </c>
      <c r="AI9" s="170"/>
      <c r="AJ9" s="171" t="s">
        <v>62</v>
      </c>
      <c r="AK9" s="170"/>
      <c r="AL9" s="172" t="s">
        <v>62</v>
      </c>
      <c r="AM9" s="173"/>
      <c r="AN9" s="158"/>
      <c r="AO9" s="156"/>
    </row>
    <row r="10" spans="2:41" ht="15" thickBot="1" x14ac:dyDescent="0.35">
      <c r="B10" s="161" t="s">
        <v>65</v>
      </c>
      <c r="C10" s="162"/>
      <c r="D10" s="93" t="s">
        <v>66</v>
      </c>
      <c r="E10" s="94"/>
      <c r="F10" s="95"/>
      <c r="G10" s="94"/>
      <c r="H10" s="95"/>
      <c r="I10" s="94"/>
      <c r="J10" s="95"/>
      <c r="K10" s="94"/>
      <c r="L10" s="159"/>
      <c r="M10" s="160"/>
      <c r="N10" s="155"/>
      <c r="O10" s="156"/>
      <c r="P10" s="17"/>
      <c r="Q10" s="26">
        <v>23.8</v>
      </c>
      <c r="R10" s="122">
        <v>22.1</v>
      </c>
      <c r="S10" s="123"/>
      <c r="T10" s="126"/>
      <c r="U10" s="127"/>
      <c r="V10" s="122"/>
      <c r="W10" s="123"/>
      <c r="X10" s="126"/>
      <c r="Y10" s="127"/>
      <c r="Z10" s="122"/>
      <c r="AA10" s="123"/>
      <c r="AB10" s="126"/>
      <c r="AC10" s="127"/>
      <c r="AD10" s="122"/>
      <c r="AE10" s="123"/>
      <c r="AF10" s="18"/>
      <c r="AH10" s="157" t="s">
        <v>59</v>
      </c>
      <c r="AI10" s="153"/>
      <c r="AJ10" s="158"/>
      <c r="AK10" s="156"/>
      <c r="AL10" s="158"/>
      <c r="AM10" s="156"/>
      <c r="AN10" s="158"/>
      <c r="AO10" s="156"/>
    </row>
    <row r="11" spans="2:41" ht="15" thickBot="1" x14ac:dyDescent="0.35">
      <c r="B11" s="139" t="s">
        <v>67</v>
      </c>
      <c r="C11" s="140"/>
      <c r="D11" s="93"/>
      <c r="E11" s="94"/>
      <c r="F11" s="95"/>
      <c r="G11" s="94"/>
      <c r="H11" s="95"/>
      <c r="I11" s="94"/>
      <c r="J11" s="95"/>
      <c r="K11" s="94"/>
      <c r="L11" s="159"/>
      <c r="M11" s="160"/>
      <c r="N11" s="155"/>
      <c r="O11" s="156"/>
      <c r="P11" s="17"/>
      <c r="Q11" s="27">
        <v>13.9</v>
      </c>
      <c r="R11" s="122">
        <v>20.3</v>
      </c>
      <c r="S11" s="123"/>
      <c r="T11" s="126"/>
      <c r="U11" s="127"/>
      <c r="V11" s="122"/>
      <c r="W11" s="123"/>
      <c r="X11" s="126"/>
      <c r="Y11" s="127"/>
      <c r="Z11" s="122"/>
      <c r="AA11" s="123"/>
      <c r="AB11" s="126"/>
      <c r="AC11" s="127"/>
      <c r="AD11" s="122"/>
      <c r="AE11" s="123"/>
      <c r="AF11" s="18"/>
      <c r="AH11" s="157"/>
      <c r="AI11" s="153"/>
      <c r="AJ11" s="158"/>
      <c r="AK11" s="156"/>
      <c r="AL11" s="158"/>
      <c r="AM11" s="156"/>
      <c r="AN11" s="158"/>
      <c r="AO11" s="156"/>
    </row>
    <row r="12" spans="2:41" ht="15" thickBot="1" x14ac:dyDescent="0.35">
      <c r="B12" s="139" t="s">
        <v>68</v>
      </c>
      <c r="C12" s="140"/>
      <c r="D12" s="93"/>
      <c r="E12" s="94"/>
      <c r="F12" s="95"/>
      <c r="G12" s="94"/>
      <c r="H12" s="95"/>
      <c r="I12" s="94"/>
      <c r="J12" s="95"/>
      <c r="K12" s="94"/>
      <c r="L12" s="159"/>
      <c r="M12" s="160"/>
      <c r="N12" s="155"/>
      <c r="O12" s="156"/>
      <c r="P12" s="17"/>
      <c r="Q12" s="26">
        <v>22.7</v>
      </c>
      <c r="R12" s="122">
        <v>23.5</v>
      </c>
      <c r="S12" s="123"/>
      <c r="T12" s="126"/>
      <c r="U12" s="127"/>
      <c r="V12" s="122"/>
      <c r="W12" s="123"/>
      <c r="X12" s="126"/>
      <c r="Y12" s="127"/>
      <c r="Z12" s="122"/>
      <c r="AA12" s="123"/>
      <c r="AB12" s="126"/>
      <c r="AC12" s="127"/>
      <c r="AD12" s="122"/>
      <c r="AE12" s="123"/>
      <c r="AF12" s="18"/>
      <c r="AH12" s="157"/>
      <c r="AI12" s="153"/>
      <c r="AJ12" s="158"/>
      <c r="AK12" s="156"/>
      <c r="AL12" s="158"/>
      <c r="AM12" s="156"/>
      <c r="AN12" s="158"/>
      <c r="AO12" s="156"/>
    </row>
    <row r="13" spans="2:41" ht="15" thickBot="1" x14ac:dyDescent="0.35">
      <c r="B13" s="139" t="s">
        <v>69</v>
      </c>
      <c r="C13" s="140"/>
      <c r="D13" s="93"/>
      <c r="E13" s="94"/>
      <c r="F13" s="95"/>
      <c r="G13" s="94"/>
      <c r="H13" s="95"/>
      <c r="I13" s="94"/>
      <c r="J13" s="95"/>
      <c r="K13" s="94"/>
      <c r="L13" s="159"/>
      <c r="M13" s="160"/>
      <c r="N13" s="155"/>
      <c r="O13" s="156"/>
      <c r="P13" s="17"/>
      <c r="Q13" s="42">
        <v>25.7</v>
      </c>
      <c r="R13" s="122">
        <v>17.100000000000001</v>
      </c>
      <c r="S13" s="123"/>
      <c r="T13" s="126"/>
      <c r="U13" s="127"/>
      <c r="V13" s="122"/>
      <c r="W13" s="123"/>
      <c r="X13" s="126"/>
      <c r="Y13" s="127"/>
      <c r="Z13" s="122"/>
      <c r="AA13" s="123"/>
      <c r="AB13" s="126"/>
      <c r="AC13" s="127"/>
      <c r="AD13" s="122"/>
      <c r="AE13" s="123"/>
      <c r="AF13" s="18"/>
      <c r="AH13" s="157"/>
      <c r="AI13" s="153"/>
      <c r="AJ13" s="158"/>
      <c r="AK13" s="156"/>
      <c r="AL13" s="158"/>
      <c r="AM13" s="156"/>
      <c r="AN13" s="158"/>
      <c r="AO13" s="156"/>
    </row>
    <row r="14" spans="2:41" ht="15" thickBot="1" x14ac:dyDescent="0.35">
      <c r="B14" s="139" t="s">
        <v>70</v>
      </c>
      <c r="C14" s="140"/>
      <c r="D14" s="93"/>
      <c r="E14" s="94"/>
      <c r="F14" s="95"/>
      <c r="G14" s="94"/>
      <c r="H14" s="95"/>
      <c r="I14" s="94"/>
      <c r="J14" s="95"/>
      <c r="K14" s="94"/>
      <c r="L14" s="159"/>
      <c r="M14" s="160"/>
      <c r="N14" s="155"/>
      <c r="O14" s="156"/>
      <c r="P14" s="17"/>
      <c r="Q14" s="32">
        <v>22.7</v>
      </c>
      <c r="R14" s="122">
        <v>24.1</v>
      </c>
      <c r="S14" s="123"/>
      <c r="T14" s="126"/>
      <c r="U14" s="127"/>
      <c r="V14" s="122"/>
      <c r="W14" s="123"/>
      <c r="X14" s="126"/>
      <c r="Y14" s="127"/>
      <c r="Z14" s="122"/>
      <c r="AA14" s="123"/>
      <c r="AB14" s="126"/>
      <c r="AC14" s="127"/>
      <c r="AD14" s="122"/>
      <c r="AE14" s="123"/>
      <c r="AF14" s="18"/>
      <c r="AH14" s="157"/>
      <c r="AI14" s="153"/>
      <c r="AJ14" s="158"/>
      <c r="AK14" s="156"/>
      <c r="AL14" s="158"/>
      <c r="AM14" s="156"/>
      <c r="AN14" s="158"/>
      <c r="AO14" s="156"/>
    </row>
    <row r="15" spans="2:41" ht="15" thickBot="1" x14ac:dyDescent="0.35">
      <c r="B15" s="139" t="s">
        <v>71</v>
      </c>
      <c r="C15" s="140"/>
      <c r="D15" s="93"/>
      <c r="E15" s="94"/>
      <c r="F15" s="95"/>
      <c r="G15" s="94"/>
      <c r="H15" s="95"/>
      <c r="I15" s="94"/>
      <c r="J15" s="95"/>
      <c r="K15" s="94"/>
      <c r="L15" s="159"/>
      <c r="M15" s="160"/>
      <c r="N15" s="155"/>
      <c r="O15" s="156"/>
      <c r="P15" s="17"/>
      <c r="Q15" s="31">
        <v>11.5</v>
      </c>
      <c r="R15" s="122">
        <v>25.4</v>
      </c>
      <c r="S15" s="123"/>
      <c r="T15" s="126"/>
      <c r="U15" s="127"/>
      <c r="V15" s="122"/>
      <c r="W15" s="123"/>
      <c r="X15" s="126"/>
      <c r="Y15" s="127"/>
      <c r="Z15" s="122"/>
      <c r="AA15" s="123"/>
      <c r="AB15" s="126"/>
      <c r="AC15" s="127"/>
      <c r="AD15" s="122"/>
      <c r="AE15" s="123"/>
      <c r="AF15" s="19"/>
      <c r="AH15" s="157"/>
      <c r="AI15" s="153"/>
      <c r="AJ15" s="158"/>
      <c r="AK15" s="156"/>
      <c r="AL15" s="158"/>
      <c r="AM15" s="156"/>
      <c r="AN15" s="158"/>
      <c r="AO15" s="156"/>
    </row>
    <row r="16" spans="2:41" ht="15" thickBot="1" x14ac:dyDescent="0.35">
      <c r="B16" s="139" t="s">
        <v>72</v>
      </c>
      <c r="C16" s="140"/>
      <c r="D16" s="93"/>
      <c r="E16" s="94"/>
      <c r="F16" s="95"/>
      <c r="G16" s="94"/>
      <c r="H16" s="95"/>
      <c r="I16" s="94"/>
      <c r="J16" s="95"/>
      <c r="K16" s="94"/>
      <c r="L16" s="159"/>
      <c r="M16" s="160"/>
      <c r="N16" s="155"/>
      <c r="O16" s="156"/>
      <c r="P16" s="17"/>
      <c r="Q16" s="31">
        <v>11.1</v>
      </c>
      <c r="R16" s="122"/>
      <c r="S16" s="123"/>
      <c r="T16" s="126"/>
      <c r="U16" s="127"/>
      <c r="V16" s="122"/>
      <c r="W16" s="123"/>
      <c r="X16" s="126"/>
      <c r="Y16" s="127"/>
      <c r="Z16" s="122"/>
      <c r="AA16" s="123"/>
      <c r="AB16" s="126"/>
      <c r="AC16" s="127"/>
      <c r="AD16" s="122"/>
      <c r="AE16" s="123"/>
      <c r="AF16" s="20"/>
      <c r="AH16" s="157"/>
      <c r="AI16" s="153"/>
      <c r="AJ16" s="158"/>
      <c r="AK16" s="156"/>
      <c r="AL16" s="158"/>
      <c r="AM16" s="156"/>
      <c r="AN16" s="158"/>
      <c r="AO16" s="156"/>
    </row>
    <row r="17" spans="2:41" ht="15" thickBot="1" x14ac:dyDescent="0.35">
      <c r="B17" s="139" t="s">
        <v>73</v>
      </c>
      <c r="C17" s="140"/>
      <c r="D17" s="93"/>
      <c r="E17" s="94"/>
      <c r="F17" s="95"/>
      <c r="G17" s="94"/>
      <c r="H17" s="95"/>
      <c r="I17" s="94"/>
      <c r="J17" s="95"/>
      <c r="K17" s="94"/>
      <c r="L17" s="159"/>
      <c r="M17" s="160"/>
      <c r="N17" s="155"/>
      <c r="O17" s="156"/>
      <c r="P17" s="17"/>
      <c r="Q17" s="33">
        <v>23.2</v>
      </c>
      <c r="R17" s="122"/>
      <c r="S17" s="123"/>
      <c r="T17" s="126"/>
      <c r="U17" s="127"/>
      <c r="V17" s="122"/>
      <c r="W17" s="123"/>
      <c r="X17" s="126"/>
      <c r="Y17" s="127"/>
      <c r="Z17" s="122"/>
      <c r="AA17" s="123"/>
      <c r="AB17" s="126"/>
      <c r="AC17" s="127"/>
      <c r="AD17" s="122"/>
      <c r="AE17" s="123"/>
      <c r="AF17" s="19"/>
      <c r="AH17" s="157"/>
      <c r="AI17" s="153"/>
      <c r="AJ17" s="158"/>
      <c r="AK17" s="156"/>
      <c r="AL17" s="158"/>
      <c r="AM17" s="156"/>
      <c r="AN17" s="158"/>
      <c r="AO17" s="156"/>
    </row>
    <row r="18" spans="2:41" ht="15" thickBot="1" x14ac:dyDescent="0.35">
      <c r="B18" s="137" t="s">
        <v>74</v>
      </c>
      <c r="C18" s="138"/>
      <c r="D18" s="96"/>
      <c r="E18" s="97"/>
      <c r="F18" s="98"/>
      <c r="G18" s="97"/>
      <c r="H18" s="98"/>
      <c r="I18" s="97"/>
      <c r="J18" s="98"/>
      <c r="K18" s="97"/>
      <c r="L18" s="152"/>
      <c r="M18" s="153"/>
      <c r="N18" s="154"/>
      <c r="O18" s="151"/>
      <c r="P18" s="21"/>
      <c r="Q18" s="38">
        <v>21.6</v>
      </c>
      <c r="R18" s="122"/>
      <c r="S18" s="123"/>
      <c r="T18" s="126"/>
      <c r="U18" s="127"/>
      <c r="V18" s="122"/>
      <c r="W18" s="123"/>
      <c r="X18" s="126"/>
      <c r="Y18" s="127"/>
      <c r="Z18" s="122"/>
      <c r="AA18" s="123"/>
      <c r="AB18" s="126"/>
      <c r="AC18" s="127"/>
      <c r="AD18" s="122"/>
      <c r="AE18" s="123"/>
      <c r="AF18" s="22"/>
      <c r="AH18" s="148"/>
      <c r="AI18" s="149"/>
      <c r="AJ18" s="150"/>
      <c r="AK18" s="151"/>
      <c r="AL18" s="150"/>
      <c r="AM18" s="151"/>
      <c r="AN18" s="150"/>
      <c r="AO18" s="151"/>
    </row>
    <row r="19" spans="2:41" ht="15.6" thickTop="1" thickBot="1" x14ac:dyDescent="0.35">
      <c r="B19" s="144" t="s">
        <v>75</v>
      </c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5"/>
      <c r="O19" s="145"/>
      <c r="P19" s="147"/>
      <c r="Q19" s="34">
        <v>18.2</v>
      </c>
      <c r="R19" s="122"/>
      <c r="S19" s="123"/>
      <c r="T19" s="126"/>
      <c r="U19" s="127"/>
      <c r="V19" s="122"/>
      <c r="W19" s="123"/>
      <c r="X19" s="126"/>
      <c r="Y19" s="127"/>
      <c r="Z19" s="122"/>
      <c r="AA19" s="123"/>
      <c r="AB19" s="126"/>
      <c r="AC19" s="127"/>
      <c r="AD19" s="122"/>
      <c r="AE19" s="123"/>
      <c r="AF19" s="22"/>
    </row>
    <row r="20" spans="2:41" ht="15.6" thickTop="1" thickBot="1" x14ac:dyDescent="0.35">
      <c r="B20" s="23" t="s">
        <v>76</v>
      </c>
      <c r="C20" s="141" t="s">
        <v>77</v>
      </c>
      <c r="D20" s="142"/>
      <c r="E20" s="141" t="s">
        <v>78</v>
      </c>
      <c r="F20" s="142"/>
      <c r="G20" s="141" t="s">
        <v>49</v>
      </c>
      <c r="H20" s="142"/>
      <c r="I20" s="141" t="s">
        <v>79</v>
      </c>
      <c r="J20" s="142"/>
      <c r="K20" s="141" t="s">
        <v>80</v>
      </c>
      <c r="L20" s="142"/>
      <c r="M20" s="141" t="s">
        <v>81</v>
      </c>
      <c r="N20" s="142"/>
      <c r="O20" s="141"/>
      <c r="P20" s="143"/>
      <c r="Q20" s="35">
        <v>24.2</v>
      </c>
      <c r="R20" s="122"/>
      <c r="S20" s="123"/>
      <c r="T20" s="126"/>
      <c r="U20" s="127"/>
      <c r="V20" s="122"/>
      <c r="W20" s="123"/>
      <c r="X20" s="126"/>
      <c r="Y20" s="127"/>
      <c r="Z20" s="122"/>
      <c r="AA20" s="123"/>
      <c r="AB20" s="126"/>
      <c r="AC20" s="127"/>
      <c r="AD20" s="122"/>
      <c r="AE20" s="123"/>
      <c r="AF20" s="20"/>
    </row>
    <row r="21" spans="2:41" ht="15.6" thickTop="1" thickBot="1" x14ac:dyDescent="0.35">
      <c r="B21" s="24">
        <v>1</v>
      </c>
      <c r="C21" s="133" t="s">
        <v>82</v>
      </c>
      <c r="D21" s="134"/>
      <c r="E21" s="135">
        <v>30.6</v>
      </c>
      <c r="F21" s="136"/>
      <c r="G21" s="128">
        <v>14.2</v>
      </c>
      <c r="H21" s="129"/>
      <c r="I21" s="128">
        <v>6.2</v>
      </c>
      <c r="J21" s="129"/>
      <c r="K21" s="128">
        <v>1.5</v>
      </c>
      <c r="L21" s="129"/>
      <c r="M21" s="128">
        <v>1.7</v>
      </c>
      <c r="N21" s="129"/>
      <c r="O21" s="128"/>
      <c r="P21" s="132"/>
      <c r="Q21" s="36">
        <v>21.5</v>
      </c>
      <c r="R21" s="122"/>
      <c r="S21" s="123"/>
      <c r="T21" s="126"/>
      <c r="U21" s="127"/>
      <c r="V21" s="122"/>
      <c r="W21" s="123"/>
      <c r="X21" s="126"/>
      <c r="Y21" s="127"/>
      <c r="Z21" s="122"/>
      <c r="AA21" s="123"/>
      <c r="AB21" s="126"/>
      <c r="AC21" s="127"/>
      <c r="AD21" s="122"/>
      <c r="AE21" s="123"/>
      <c r="AF21" s="18"/>
    </row>
    <row r="22" spans="2:41" ht="15" thickBot="1" x14ac:dyDescent="0.35">
      <c r="B22" s="24">
        <v>2</v>
      </c>
      <c r="C22" s="105" t="s">
        <v>82</v>
      </c>
      <c r="D22" s="106"/>
      <c r="E22" s="130">
        <v>26.4</v>
      </c>
      <c r="F22" s="131"/>
      <c r="G22" s="109">
        <v>14.9</v>
      </c>
      <c r="H22" s="110"/>
      <c r="I22" s="109">
        <v>6.3</v>
      </c>
      <c r="J22" s="110"/>
      <c r="K22" s="109">
        <v>2</v>
      </c>
      <c r="L22" s="110"/>
      <c r="M22" s="109">
        <v>1.5</v>
      </c>
      <c r="N22" s="110"/>
      <c r="O22" s="109"/>
      <c r="P22" s="111"/>
      <c r="Q22" s="36">
        <v>22.4</v>
      </c>
      <c r="R22" s="122"/>
      <c r="S22" s="123"/>
      <c r="T22" s="126"/>
      <c r="U22" s="127"/>
      <c r="V22" s="122"/>
      <c r="W22" s="123"/>
      <c r="X22" s="126"/>
      <c r="Y22" s="127"/>
      <c r="Z22" s="122"/>
      <c r="AA22" s="123"/>
      <c r="AB22" s="126"/>
      <c r="AC22" s="127"/>
      <c r="AD22" s="122"/>
      <c r="AE22" s="123"/>
      <c r="AF22" s="18"/>
    </row>
    <row r="23" spans="2:41" ht="15" thickBot="1" x14ac:dyDescent="0.35">
      <c r="B23" s="24">
        <v>3</v>
      </c>
      <c r="C23" s="105" t="s">
        <v>82</v>
      </c>
      <c r="D23" s="106"/>
      <c r="E23" s="124">
        <v>14.6</v>
      </c>
      <c r="F23" s="125"/>
      <c r="G23" s="109">
        <v>9.4</v>
      </c>
      <c r="H23" s="110"/>
      <c r="I23" s="109">
        <v>3.9</v>
      </c>
      <c r="J23" s="110"/>
      <c r="K23" s="109">
        <v>1.1000000000000001</v>
      </c>
      <c r="L23" s="110"/>
      <c r="M23" s="109">
        <v>1</v>
      </c>
      <c r="N23" s="110"/>
      <c r="O23" s="109"/>
      <c r="P23" s="111"/>
      <c r="Q23" s="28">
        <v>27.5</v>
      </c>
      <c r="R23" s="122"/>
      <c r="S23" s="123"/>
      <c r="T23" s="126"/>
      <c r="U23" s="127"/>
      <c r="V23" s="122"/>
      <c r="W23" s="123"/>
      <c r="X23" s="126"/>
      <c r="Y23" s="127"/>
      <c r="Z23" s="122"/>
      <c r="AA23" s="123"/>
      <c r="AB23" s="126"/>
      <c r="AC23" s="127"/>
      <c r="AD23" s="122"/>
      <c r="AE23" s="123"/>
      <c r="AF23" s="18"/>
    </row>
    <row r="24" spans="2:41" ht="15" thickBot="1" x14ac:dyDescent="0.35">
      <c r="B24" s="24">
        <v>4</v>
      </c>
      <c r="C24" s="105" t="s">
        <v>82</v>
      </c>
      <c r="D24" s="106"/>
      <c r="E24" s="120">
        <v>25.7</v>
      </c>
      <c r="F24" s="121"/>
      <c r="G24" s="109">
        <v>15.2</v>
      </c>
      <c r="H24" s="110"/>
      <c r="I24" s="109">
        <v>4.9000000000000004</v>
      </c>
      <c r="J24" s="110"/>
      <c r="K24" s="109">
        <v>2.2000000000000002</v>
      </c>
      <c r="L24" s="110"/>
      <c r="M24" s="109">
        <v>1.6</v>
      </c>
      <c r="N24" s="110"/>
      <c r="O24" s="109"/>
      <c r="P24" s="111"/>
      <c r="Q24" s="36">
        <v>21.1</v>
      </c>
      <c r="R24" s="122"/>
      <c r="S24" s="123"/>
      <c r="T24" s="126"/>
      <c r="U24" s="127"/>
      <c r="V24" s="122"/>
      <c r="W24" s="123"/>
      <c r="X24" s="126"/>
      <c r="Y24" s="127"/>
      <c r="Z24" s="122"/>
      <c r="AA24" s="123"/>
      <c r="AB24" s="126"/>
      <c r="AC24" s="127"/>
      <c r="AD24" s="122"/>
      <c r="AE24" s="123"/>
      <c r="AF24" s="18"/>
    </row>
    <row r="25" spans="2:41" ht="15" thickBot="1" x14ac:dyDescent="0.35">
      <c r="B25" s="24">
        <v>5</v>
      </c>
      <c r="C25" s="105" t="s">
        <v>82</v>
      </c>
      <c r="D25" s="106"/>
      <c r="E25" s="107">
        <v>11.5</v>
      </c>
      <c r="F25" s="108"/>
      <c r="G25" s="109">
        <v>10.5</v>
      </c>
      <c r="H25" s="110"/>
      <c r="I25" s="109">
        <v>5.0999999999999996</v>
      </c>
      <c r="J25" s="110"/>
      <c r="K25" s="109">
        <v>0.9</v>
      </c>
      <c r="L25" s="110"/>
      <c r="M25" s="109">
        <v>0.9</v>
      </c>
      <c r="N25" s="110"/>
      <c r="O25" s="109"/>
      <c r="P25" s="111"/>
      <c r="Q25" s="37">
        <v>25.2</v>
      </c>
      <c r="R25" s="115"/>
      <c r="S25" s="116"/>
      <c r="T25" s="113"/>
      <c r="U25" s="114"/>
      <c r="V25" s="115"/>
      <c r="W25" s="116"/>
      <c r="X25" s="113"/>
      <c r="Y25" s="114"/>
      <c r="Z25" s="115"/>
      <c r="AA25" s="116"/>
      <c r="AB25" s="113"/>
      <c r="AC25" s="114"/>
      <c r="AD25" s="115"/>
      <c r="AE25" s="116"/>
      <c r="AF25" s="25"/>
    </row>
    <row r="26" spans="2:41" ht="15.6" thickTop="1" thickBot="1" x14ac:dyDescent="0.35">
      <c r="B26" s="24">
        <v>6</v>
      </c>
      <c r="C26" s="105" t="s">
        <v>82</v>
      </c>
      <c r="D26" s="106"/>
      <c r="E26" s="107">
        <v>21.6</v>
      </c>
      <c r="F26" s="108"/>
      <c r="G26" s="109">
        <v>17.7</v>
      </c>
      <c r="H26" s="110"/>
      <c r="I26" s="109">
        <v>5.8</v>
      </c>
      <c r="J26" s="110"/>
      <c r="K26" s="109">
        <v>0.6</v>
      </c>
      <c r="L26" s="110"/>
      <c r="M26" s="109">
        <v>1.9</v>
      </c>
      <c r="N26" s="110"/>
      <c r="O26" s="109"/>
      <c r="P26" s="111"/>
      <c r="Q26" s="117" t="s">
        <v>75</v>
      </c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9"/>
    </row>
    <row r="27" spans="2:41" ht="15" thickBot="1" x14ac:dyDescent="0.35">
      <c r="B27" s="24">
        <v>7</v>
      </c>
      <c r="C27" s="105" t="s">
        <v>82</v>
      </c>
      <c r="D27" s="106"/>
      <c r="E27" s="107">
        <v>19.600000000000001</v>
      </c>
      <c r="F27" s="108"/>
      <c r="G27" s="109">
        <v>16.100000000000001</v>
      </c>
      <c r="H27" s="110"/>
      <c r="I27" s="109">
        <v>10</v>
      </c>
      <c r="J27" s="110"/>
      <c r="K27" s="109">
        <v>0.8</v>
      </c>
      <c r="L27" s="110"/>
      <c r="M27" s="109">
        <v>1.2</v>
      </c>
      <c r="N27" s="110"/>
      <c r="O27" s="109"/>
      <c r="P27" s="111"/>
      <c r="Q27" s="112" t="s">
        <v>76</v>
      </c>
      <c r="R27" s="104"/>
      <c r="S27" s="103" t="s">
        <v>77</v>
      </c>
      <c r="T27" s="104"/>
      <c r="U27" s="103" t="s">
        <v>78</v>
      </c>
      <c r="V27" s="104"/>
      <c r="W27" s="103" t="s">
        <v>49</v>
      </c>
      <c r="X27" s="104"/>
      <c r="Y27" s="103" t="s">
        <v>79</v>
      </c>
      <c r="Z27" s="104"/>
      <c r="AA27" s="103" t="s">
        <v>80</v>
      </c>
      <c r="AB27" s="104"/>
      <c r="AC27" s="103" t="s">
        <v>81</v>
      </c>
      <c r="AD27" s="104"/>
      <c r="AE27" s="103"/>
      <c r="AF27" s="104"/>
    </row>
    <row r="28" spans="2:41" ht="15" thickBot="1" x14ac:dyDescent="0.35">
      <c r="B28" s="24">
        <v>8</v>
      </c>
      <c r="C28" s="105" t="s">
        <v>82</v>
      </c>
      <c r="D28" s="106"/>
      <c r="E28" s="107">
        <v>23.2</v>
      </c>
      <c r="F28" s="108"/>
      <c r="G28" s="109">
        <v>14.5</v>
      </c>
      <c r="H28" s="110"/>
      <c r="I28" s="109">
        <v>7.6</v>
      </c>
      <c r="J28" s="110"/>
      <c r="K28" s="109">
        <v>2.8</v>
      </c>
      <c r="L28" s="110"/>
      <c r="M28" s="109">
        <v>1</v>
      </c>
      <c r="N28" s="110"/>
      <c r="O28" s="109"/>
      <c r="P28" s="111"/>
      <c r="Q28" s="102"/>
      <c r="R28" s="100"/>
      <c r="S28" s="99"/>
      <c r="T28" s="100"/>
      <c r="U28" s="99"/>
      <c r="V28" s="100"/>
      <c r="W28" s="99"/>
      <c r="X28" s="100"/>
      <c r="Y28" s="99"/>
      <c r="Z28" s="100"/>
      <c r="AA28" s="99"/>
      <c r="AB28" s="100"/>
      <c r="AC28" s="99"/>
      <c r="AD28" s="100"/>
      <c r="AE28" s="99"/>
      <c r="AF28" s="100"/>
    </row>
  </sheetData>
  <mergeCells count="390">
    <mergeCell ref="B3:P3"/>
    <mergeCell ref="Q3:AF3"/>
    <mergeCell ref="B4:C4"/>
    <mergeCell ref="D4:M4"/>
    <mergeCell ref="N4:P4"/>
    <mergeCell ref="Q4:AA4"/>
    <mergeCell ref="AB4:AF4"/>
    <mergeCell ref="AH6:AI6"/>
    <mergeCell ref="AJ6:AK6"/>
    <mergeCell ref="B6:C6"/>
    <mergeCell ref="B5:C5"/>
    <mergeCell ref="AL6:AM6"/>
    <mergeCell ref="AN6:AO6"/>
    <mergeCell ref="L6:M6"/>
    <mergeCell ref="N6:O6"/>
    <mergeCell ref="R6:S6"/>
    <mergeCell ref="N5:O5"/>
    <mergeCell ref="R5:S5"/>
    <mergeCell ref="T5:U5"/>
    <mergeCell ref="V5:W5"/>
    <mergeCell ref="X5:Y5"/>
    <mergeCell ref="Z5:AA5"/>
    <mergeCell ref="AH5:AI5"/>
    <mergeCell ref="AJ5:AK5"/>
    <mergeCell ref="AL5:AM5"/>
    <mergeCell ref="AN5:AO5"/>
    <mergeCell ref="L5:M5"/>
    <mergeCell ref="T6:U6"/>
    <mergeCell ref="V6:W6"/>
    <mergeCell ref="X6:Y6"/>
    <mergeCell ref="Z6:AA6"/>
    <mergeCell ref="AB6:AC6"/>
    <mergeCell ref="AD6:AE6"/>
    <mergeCell ref="AB5:AC5"/>
    <mergeCell ref="AD5:AE5"/>
    <mergeCell ref="AH8:AI8"/>
    <mergeCell ref="AJ8:AK8"/>
    <mergeCell ref="AL8:AM8"/>
    <mergeCell ref="AN8:AO8"/>
    <mergeCell ref="L8:M8"/>
    <mergeCell ref="N8:O8"/>
    <mergeCell ref="R8:S8"/>
    <mergeCell ref="N7:O7"/>
    <mergeCell ref="R7:S7"/>
    <mergeCell ref="T7:U7"/>
    <mergeCell ref="V7:W7"/>
    <mergeCell ref="X7:Y7"/>
    <mergeCell ref="Z7:AA7"/>
    <mergeCell ref="AH7:AI7"/>
    <mergeCell ref="AJ7:AK7"/>
    <mergeCell ref="AL7:AM7"/>
    <mergeCell ref="AN7:AO7"/>
    <mergeCell ref="L7:M7"/>
    <mergeCell ref="T8:U8"/>
    <mergeCell ref="V8:W8"/>
    <mergeCell ref="X8:Y8"/>
    <mergeCell ref="Z8:AA8"/>
    <mergeCell ref="AB8:AC8"/>
    <mergeCell ref="AD8:AE8"/>
    <mergeCell ref="AB7:AC7"/>
    <mergeCell ref="AD7:AE7"/>
    <mergeCell ref="B8:C8"/>
    <mergeCell ref="B7:C7"/>
    <mergeCell ref="AH10:AI10"/>
    <mergeCell ref="AJ10:AK10"/>
    <mergeCell ref="AL10:AM10"/>
    <mergeCell ref="AN10:AO10"/>
    <mergeCell ref="L10:M10"/>
    <mergeCell ref="N10:O10"/>
    <mergeCell ref="R10:S10"/>
    <mergeCell ref="N9:O9"/>
    <mergeCell ref="R9:S9"/>
    <mergeCell ref="T9:U9"/>
    <mergeCell ref="V9:W9"/>
    <mergeCell ref="X9:Y9"/>
    <mergeCell ref="Z9:AA9"/>
    <mergeCell ref="AH9:AI9"/>
    <mergeCell ref="AJ9:AK9"/>
    <mergeCell ref="AL9:AM9"/>
    <mergeCell ref="AN9:AO9"/>
    <mergeCell ref="L9:M9"/>
    <mergeCell ref="T10:U10"/>
    <mergeCell ref="V10:W10"/>
    <mergeCell ref="X10:Y10"/>
    <mergeCell ref="Z10:AA10"/>
    <mergeCell ref="AB10:AC10"/>
    <mergeCell ref="AD10:AE10"/>
    <mergeCell ref="AB9:AC9"/>
    <mergeCell ref="AD9:AE9"/>
    <mergeCell ref="B10:C10"/>
    <mergeCell ref="B9:C9"/>
    <mergeCell ref="D9:E9"/>
    <mergeCell ref="F9:G9"/>
    <mergeCell ref="H9:I9"/>
    <mergeCell ref="J9:K9"/>
    <mergeCell ref="D10:E10"/>
    <mergeCell ref="F10:G10"/>
    <mergeCell ref="H10:I10"/>
    <mergeCell ref="J10:K10"/>
    <mergeCell ref="AH12:AI12"/>
    <mergeCell ref="AJ12:AK12"/>
    <mergeCell ref="AL12:AM12"/>
    <mergeCell ref="AN12:AO12"/>
    <mergeCell ref="L12:M12"/>
    <mergeCell ref="N12:O12"/>
    <mergeCell ref="R12:S12"/>
    <mergeCell ref="N11:O11"/>
    <mergeCell ref="R11:S11"/>
    <mergeCell ref="T11:U11"/>
    <mergeCell ref="V11:W11"/>
    <mergeCell ref="X11:Y11"/>
    <mergeCell ref="Z11:AA11"/>
    <mergeCell ref="AH11:AI11"/>
    <mergeCell ref="AJ11:AK11"/>
    <mergeCell ref="AL11:AM11"/>
    <mergeCell ref="AN11:AO11"/>
    <mergeCell ref="L11:M11"/>
    <mergeCell ref="T12:U12"/>
    <mergeCell ref="V12:W12"/>
    <mergeCell ref="X12:Y12"/>
    <mergeCell ref="Z12:AA12"/>
    <mergeCell ref="AB12:AC12"/>
    <mergeCell ref="AD12:AE12"/>
    <mergeCell ref="AB11:AC11"/>
    <mergeCell ref="AD11:AE11"/>
    <mergeCell ref="B12:C12"/>
    <mergeCell ref="B11:C11"/>
    <mergeCell ref="AH14:AI14"/>
    <mergeCell ref="AJ14:AK14"/>
    <mergeCell ref="AL14:AM14"/>
    <mergeCell ref="AN14:AO14"/>
    <mergeCell ref="L14:M14"/>
    <mergeCell ref="N14:O14"/>
    <mergeCell ref="R14:S14"/>
    <mergeCell ref="N13:O13"/>
    <mergeCell ref="R13:S13"/>
    <mergeCell ref="T13:U13"/>
    <mergeCell ref="V13:W13"/>
    <mergeCell ref="X13:Y13"/>
    <mergeCell ref="Z13:AA13"/>
    <mergeCell ref="AH13:AI13"/>
    <mergeCell ref="AJ13:AK13"/>
    <mergeCell ref="AL13:AM13"/>
    <mergeCell ref="AN13:AO13"/>
    <mergeCell ref="L13:M13"/>
    <mergeCell ref="T14:U14"/>
    <mergeCell ref="V14:W14"/>
    <mergeCell ref="X14:Y14"/>
    <mergeCell ref="Z14:AA14"/>
    <mergeCell ref="AB14:AC14"/>
    <mergeCell ref="AD14:AE14"/>
    <mergeCell ref="AB13:AC13"/>
    <mergeCell ref="AD13:AE13"/>
    <mergeCell ref="B14:C14"/>
    <mergeCell ref="B13:C13"/>
    <mergeCell ref="AH16:AI16"/>
    <mergeCell ref="AD15:AE15"/>
    <mergeCell ref="B16:C16"/>
    <mergeCell ref="B15:C15"/>
    <mergeCell ref="D14:E14"/>
    <mergeCell ref="F14:G14"/>
    <mergeCell ref="H14:I14"/>
    <mergeCell ref="J14:K14"/>
    <mergeCell ref="D15:E15"/>
    <mergeCell ref="F15:G15"/>
    <mergeCell ref="H15:I15"/>
    <mergeCell ref="J15:K15"/>
    <mergeCell ref="AJ16:AK16"/>
    <mergeCell ref="AL16:AM16"/>
    <mergeCell ref="AN16:AO16"/>
    <mergeCell ref="L16:M16"/>
    <mergeCell ref="N16:O16"/>
    <mergeCell ref="R16:S16"/>
    <mergeCell ref="N15:O15"/>
    <mergeCell ref="R15:S15"/>
    <mergeCell ref="T15:U15"/>
    <mergeCell ref="V15:W15"/>
    <mergeCell ref="X15:Y15"/>
    <mergeCell ref="Z15:AA15"/>
    <mergeCell ref="AH15:AI15"/>
    <mergeCell ref="AJ15:AK15"/>
    <mergeCell ref="AL15:AM15"/>
    <mergeCell ref="AN15:AO15"/>
    <mergeCell ref="L15:M15"/>
    <mergeCell ref="T16:U16"/>
    <mergeCell ref="V16:W16"/>
    <mergeCell ref="X16:Y16"/>
    <mergeCell ref="Z16:AA16"/>
    <mergeCell ref="AB16:AC16"/>
    <mergeCell ref="AD16:AE16"/>
    <mergeCell ref="AB15:AC15"/>
    <mergeCell ref="AH18:AI18"/>
    <mergeCell ref="AJ18:AK18"/>
    <mergeCell ref="AL18:AM18"/>
    <mergeCell ref="AN18:AO18"/>
    <mergeCell ref="L18:M18"/>
    <mergeCell ref="N18:O18"/>
    <mergeCell ref="R18:S18"/>
    <mergeCell ref="N17:O17"/>
    <mergeCell ref="R17:S17"/>
    <mergeCell ref="T17:U17"/>
    <mergeCell ref="V17:W17"/>
    <mergeCell ref="X17:Y17"/>
    <mergeCell ref="Z17:AA17"/>
    <mergeCell ref="AH17:AI17"/>
    <mergeCell ref="AJ17:AK17"/>
    <mergeCell ref="AL17:AM17"/>
    <mergeCell ref="AN17:AO17"/>
    <mergeCell ref="L17:M17"/>
    <mergeCell ref="T18:U18"/>
    <mergeCell ref="V18:W18"/>
    <mergeCell ref="X18:Y18"/>
    <mergeCell ref="Z18:AA18"/>
    <mergeCell ref="AB18:AC18"/>
    <mergeCell ref="AD18:AE18"/>
    <mergeCell ref="AB17:AC17"/>
    <mergeCell ref="AD17:AE17"/>
    <mergeCell ref="B18:C18"/>
    <mergeCell ref="B17:C17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C20:D20"/>
    <mergeCell ref="E20:F20"/>
    <mergeCell ref="G20:H20"/>
    <mergeCell ref="I20:J20"/>
    <mergeCell ref="K20:L20"/>
    <mergeCell ref="M20:N20"/>
    <mergeCell ref="O20:P20"/>
    <mergeCell ref="R20:S20"/>
    <mergeCell ref="B19:P19"/>
    <mergeCell ref="R19:S19"/>
    <mergeCell ref="T19:U19"/>
    <mergeCell ref="V19:W19"/>
    <mergeCell ref="X19:Y19"/>
    <mergeCell ref="Z19:AA19"/>
    <mergeCell ref="AD22:AE22"/>
    <mergeCell ref="AB21:AC21"/>
    <mergeCell ref="AD21:AE21"/>
    <mergeCell ref="C22:D22"/>
    <mergeCell ref="E22:F22"/>
    <mergeCell ref="G22:H22"/>
    <mergeCell ref="I22:J22"/>
    <mergeCell ref="K22:L22"/>
    <mergeCell ref="M22:N22"/>
    <mergeCell ref="O22:P22"/>
    <mergeCell ref="R22:S22"/>
    <mergeCell ref="O21:P21"/>
    <mergeCell ref="R21:S21"/>
    <mergeCell ref="T21:U21"/>
    <mergeCell ref="V21:W21"/>
    <mergeCell ref="X21:Y21"/>
    <mergeCell ref="Z21:AA21"/>
    <mergeCell ref="C21:D21"/>
    <mergeCell ref="E21:F21"/>
    <mergeCell ref="G21:H21"/>
    <mergeCell ref="I21:J21"/>
    <mergeCell ref="K21:L21"/>
    <mergeCell ref="M21:N21"/>
    <mergeCell ref="G23:H23"/>
    <mergeCell ref="I23:J23"/>
    <mergeCell ref="K23:L23"/>
    <mergeCell ref="M23:N23"/>
    <mergeCell ref="T22:U22"/>
    <mergeCell ref="V22:W22"/>
    <mergeCell ref="X22:Y22"/>
    <mergeCell ref="Z22:AA22"/>
    <mergeCell ref="AB22:AC22"/>
    <mergeCell ref="T24:U24"/>
    <mergeCell ref="V24:W24"/>
    <mergeCell ref="X24:Y24"/>
    <mergeCell ref="Z24:AA24"/>
    <mergeCell ref="AB24:AC24"/>
    <mergeCell ref="AD24:AE24"/>
    <mergeCell ref="AB23:AC23"/>
    <mergeCell ref="AD23:AE23"/>
    <mergeCell ref="T23:U23"/>
    <mergeCell ref="V23:W23"/>
    <mergeCell ref="X23:Y23"/>
    <mergeCell ref="Z23:AA23"/>
    <mergeCell ref="C24:D24"/>
    <mergeCell ref="E24:F24"/>
    <mergeCell ref="G24:H24"/>
    <mergeCell ref="I24:J24"/>
    <mergeCell ref="K24:L24"/>
    <mergeCell ref="M24:N24"/>
    <mergeCell ref="O24:P24"/>
    <mergeCell ref="R24:S24"/>
    <mergeCell ref="O23:P23"/>
    <mergeCell ref="R23:S23"/>
    <mergeCell ref="C23:D23"/>
    <mergeCell ref="E23:F23"/>
    <mergeCell ref="AB25:AC25"/>
    <mergeCell ref="AD25:AE25"/>
    <mergeCell ref="C26:D26"/>
    <mergeCell ref="E26:F26"/>
    <mergeCell ref="G26:H26"/>
    <mergeCell ref="I26:J26"/>
    <mergeCell ref="K26:L26"/>
    <mergeCell ref="M26:N26"/>
    <mergeCell ref="O26:P26"/>
    <mergeCell ref="Q26:AF26"/>
    <mergeCell ref="O25:P25"/>
    <mergeCell ref="R25:S25"/>
    <mergeCell ref="T25:U25"/>
    <mergeCell ref="V25:W25"/>
    <mergeCell ref="X25:Y25"/>
    <mergeCell ref="Z25:AA25"/>
    <mergeCell ref="C25:D25"/>
    <mergeCell ref="E25:F25"/>
    <mergeCell ref="G25:H25"/>
    <mergeCell ref="I25:J25"/>
    <mergeCell ref="K25:L25"/>
    <mergeCell ref="M25:N25"/>
    <mergeCell ref="M28:N28"/>
    <mergeCell ref="O28:P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AC28:AD28"/>
    <mergeCell ref="AE28:AF28"/>
    <mergeCell ref="B2:AF2"/>
    <mergeCell ref="D5:E5"/>
    <mergeCell ref="F5:G5"/>
    <mergeCell ref="H5:I5"/>
    <mergeCell ref="J5:K5"/>
    <mergeCell ref="D6:E6"/>
    <mergeCell ref="F6:G6"/>
    <mergeCell ref="H6:I6"/>
    <mergeCell ref="Q28:R28"/>
    <mergeCell ref="S28:T28"/>
    <mergeCell ref="U28:V28"/>
    <mergeCell ref="W28:X28"/>
    <mergeCell ref="Y28:Z28"/>
    <mergeCell ref="AA28:AB28"/>
    <mergeCell ref="AA27:AB27"/>
    <mergeCell ref="AC27:AD27"/>
    <mergeCell ref="AE27:AF27"/>
    <mergeCell ref="C28:D28"/>
    <mergeCell ref="E28:F28"/>
    <mergeCell ref="G28:H28"/>
    <mergeCell ref="I28:J28"/>
    <mergeCell ref="K28:L28"/>
    <mergeCell ref="D11:E11"/>
    <mergeCell ref="F11:G11"/>
    <mergeCell ref="H11:I11"/>
    <mergeCell ref="J11:K11"/>
    <mergeCell ref="J6:K6"/>
    <mergeCell ref="D7:E7"/>
    <mergeCell ref="F7:G7"/>
    <mergeCell ref="H7:I7"/>
    <mergeCell ref="J7:K7"/>
    <mergeCell ref="D8:E8"/>
    <mergeCell ref="F8:G8"/>
    <mergeCell ref="H8:I8"/>
    <mergeCell ref="J8:K8"/>
    <mergeCell ref="D12:E12"/>
    <mergeCell ref="F12:G12"/>
    <mergeCell ref="H12:I12"/>
    <mergeCell ref="J12:K12"/>
    <mergeCell ref="D13:E13"/>
    <mergeCell ref="F13:G13"/>
    <mergeCell ref="H13:I13"/>
    <mergeCell ref="J13:K13"/>
    <mergeCell ref="D18:E18"/>
    <mergeCell ref="F18:G18"/>
    <mergeCell ref="H18:I18"/>
    <mergeCell ref="J18:K18"/>
    <mergeCell ref="D16:E16"/>
    <mergeCell ref="F16:G16"/>
    <mergeCell ref="H16:I16"/>
    <mergeCell ref="J16:K16"/>
    <mergeCell ref="D17:E17"/>
    <mergeCell ref="F17:G17"/>
    <mergeCell ref="H17:I17"/>
    <mergeCell ref="J17:K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4"/>
  <sheetViews>
    <sheetView workbookViewId="0">
      <selection activeCell="I10" sqref="I10"/>
    </sheetView>
  </sheetViews>
  <sheetFormatPr defaultRowHeight="14.4" x14ac:dyDescent="0.3"/>
  <cols>
    <col min="11" max="11" width="6.44140625" customWidth="1"/>
    <col min="12" max="12" width="8.21875" customWidth="1"/>
    <col min="13" max="13" width="7.33203125" customWidth="1"/>
    <col min="14" max="14" width="6.44140625" customWidth="1"/>
    <col min="15" max="15" width="8.21875" style="1" customWidth="1"/>
    <col min="16" max="16" width="7" customWidth="1"/>
    <col min="21" max="21" width="2.77734375" customWidth="1"/>
    <col min="22" max="22" width="15.109375" style="43" customWidth="1"/>
    <col min="23" max="24" width="8.88671875" style="43"/>
    <col min="25" max="25" width="13" customWidth="1"/>
    <col min="26" max="26" width="10.21875" customWidth="1"/>
    <col min="27" max="27" width="6.88671875" customWidth="1"/>
  </cols>
  <sheetData>
    <row r="1" spans="1:33" x14ac:dyDescent="0.3">
      <c r="Y1" s="12" t="s">
        <v>3</v>
      </c>
      <c r="Z1" s="12"/>
      <c r="AA1" s="12"/>
      <c r="AB1" s="12"/>
      <c r="AC1" s="12"/>
      <c r="AD1" s="12"/>
      <c r="AE1" s="12"/>
    </row>
    <row r="2" spans="1:33" x14ac:dyDescent="0.3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L2" s="5" t="s">
        <v>4</v>
      </c>
      <c r="M2" s="3"/>
      <c r="N2" s="6" t="s">
        <v>6</v>
      </c>
      <c r="Y2" s="2"/>
      <c r="Z2" s="2"/>
      <c r="AA2" s="2"/>
      <c r="AB2" s="2"/>
      <c r="AC2" s="2"/>
      <c r="AD2" s="2"/>
      <c r="AE2" s="2"/>
    </row>
    <row r="3" spans="1:33" ht="15" customHeight="1" x14ac:dyDescent="0.3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K3" s="207" t="s">
        <v>7</v>
      </c>
      <c r="L3" s="207" t="s">
        <v>9</v>
      </c>
      <c r="M3" s="207" t="s">
        <v>8</v>
      </c>
      <c r="N3" s="206" t="s">
        <v>5</v>
      </c>
      <c r="O3" s="205" t="s">
        <v>10</v>
      </c>
      <c r="P3" s="205" t="s">
        <v>11</v>
      </c>
      <c r="Q3" s="203" t="s">
        <v>12</v>
      </c>
      <c r="R3" s="204" t="s">
        <v>13</v>
      </c>
      <c r="S3" s="209" t="s">
        <v>48</v>
      </c>
      <c r="T3" s="210" t="s">
        <v>49</v>
      </c>
      <c r="U3" s="56"/>
      <c r="W3" s="50">
        <v>1.8735554564004872E-2</v>
      </c>
      <c r="X3" t="s">
        <v>47</v>
      </c>
      <c r="Y3" s="2"/>
      <c r="Z3" s="2"/>
      <c r="AA3" s="2"/>
      <c r="AB3" s="2"/>
      <c r="AC3" s="2"/>
      <c r="AD3" s="2"/>
      <c r="AE3" s="2"/>
      <c r="AF3" s="12"/>
      <c r="AG3" s="12"/>
    </row>
    <row r="4" spans="1:33" x14ac:dyDescent="0.3">
      <c r="A4" s="201"/>
      <c r="B4" s="201"/>
      <c r="C4" s="201"/>
      <c r="D4" s="201"/>
      <c r="E4" s="201"/>
      <c r="F4" s="201"/>
      <c r="G4" s="201"/>
      <c r="H4" s="201"/>
      <c r="I4" s="201"/>
      <c r="K4" s="207"/>
      <c r="L4" s="207"/>
      <c r="M4" s="207"/>
      <c r="N4" s="206"/>
      <c r="O4" s="205"/>
      <c r="P4" s="205"/>
      <c r="Q4" s="203"/>
      <c r="R4" s="204"/>
      <c r="S4" s="209"/>
      <c r="T4" s="210"/>
      <c r="U4" s="56"/>
      <c r="W4" s="50">
        <v>0.64211735042396734</v>
      </c>
      <c r="X4" t="s">
        <v>46</v>
      </c>
      <c r="Y4" s="2"/>
      <c r="Z4" s="2"/>
      <c r="AA4" s="2"/>
      <c r="AB4" s="2"/>
      <c r="AC4" s="2"/>
      <c r="AD4" s="2"/>
      <c r="AE4" s="2"/>
      <c r="AF4" s="13"/>
      <c r="AG4" s="13"/>
    </row>
    <row r="5" spans="1:33" x14ac:dyDescent="0.3">
      <c r="A5" s="202" t="s">
        <v>2</v>
      </c>
      <c r="B5" s="202"/>
      <c r="C5" s="202"/>
      <c r="D5" s="202"/>
      <c r="E5" s="202"/>
      <c r="F5" s="202"/>
      <c r="G5" s="202"/>
      <c r="H5" s="202"/>
      <c r="I5" s="202"/>
      <c r="K5" s="15">
        <v>20</v>
      </c>
      <c r="L5" s="16">
        <v>40</v>
      </c>
      <c r="M5" s="16">
        <v>41</v>
      </c>
      <c r="N5" s="16">
        <v>5.5</v>
      </c>
      <c r="O5" s="4">
        <f t="shared" ref="O5:O36" si="0">IF(L5="",1,0)</f>
        <v>0</v>
      </c>
      <c r="P5" s="7">
        <f t="shared" ref="P5:P36" si="1">(L5+M5)/20</f>
        <v>4.05</v>
      </c>
      <c r="Q5" s="46">
        <f>1/P5</f>
        <v>0.24691358024691359</v>
      </c>
      <c r="R5" s="47">
        <f>1/N5</f>
        <v>0.18181818181818182</v>
      </c>
      <c r="S5" s="48">
        <f>P5/($W$4+$W$3*P5)</f>
        <v>5.6406972267481983</v>
      </c>
      <c r="T5" s="54">
        <f>IF(N5&gt;0,N5,S5)</f>
        <v>5.5</v>
      </c>
      <c r="U5" s="57"/>
      <c r="V5" s="212" t="s">
        <v>87</v>
      </c>
      <c r="W5" s="212"/>
      <c r="X5" s="44"/>
      <c r="AE5" s="14"/>
      <c r="AF5" s="13"/>
      <c r="AG5" s="13"/>
    </row>
    <row r="6" spans="1:33" ht="14.4" customHeight="1" x14ac:dyDescent="0.3">
      <c r="A6" s="202"/>
      <c r="B6" s="202"/>
      <c r="C6" s="202"/>
      <c r="D6" s="202"/>
      <c r="E6" s="202"/>
      <c r="F6" s="202"/>
      <c r="G6" s="202"/>
      <c r="H6" s="202"/>
      <c r="I6" s="202"/>
      <c r="K6" s="15">
        <v>33</v>
      </c>
      <c r="L6" s="16">
        <v>83</v>
      </c>
      <c r="M6" s="16">
        <v>80</v>
      </c>
      <c r="N6" s="16">
        <v>11.5</v>
      </c>
      <c r="O6" s="4">
        <f t="shared" si="0"/>
        <v>0</v>
      </c>
      <c r="P6" s="7">
        <f t="shared" si="1"/>
        <v>8.15</v>
      </c>
      <c r="Q6" s="46">
        <f t="shared" ref="Q6:Q21" si="2">1/P6</f>
        <v>0.12269938650306748</v>
      </c>
      <c r="R6" s="47">
        <f t="shared" ref="R6:R21" si="3">1/N6</f>
        <v>8.6956521739130432E-2</v>
      </c>
      <c r="S6" s="48">
        <f t="shared" ref="S6:S36" si="4">P6/($W$4+$W$3*P6)</f>
        <v>10.253995621963208</v>
      </c>
      <c r="T6" s="54">
        <f t="shared" ref="T6:T69" si="5">IF(N6&gt;0,N6,S6)</f>
        <v>11.5</v>
      </c>
      <c r="U6" s="57"/>
      <c r="V6" s="212"/>
      <c r="W6" s="212"/>
      <c r="X6" s="44"/>
      <c r="Y6" s="45" t="s">
        <v>84</v>
      </c>
      <c r="AF6" s="13"/>
      <c r="AG6" s="13"/>
    </row>
    <row r="7" spans="1:33" x14ac:dyDescent="0.3">
      <c r="K7" s="15">
        <v>9</v>
      </c>
      <c r="L7" s="16">
        <v>145</v>
      </c>
      <c r="M7" s="16">
        <v>141</v>
      </c>
      <c r="N7" s="16">
        <v>15.5</v>
      </c>
      <c r="O7" s="4">
        <f t="shared" si="0"/>
        <v>0</v>
      </c>
      <c r="P7" s="7">
        <f t="shared" si="1"/>
        <v>14.3</v>
      </c>
      <c r="Q7" s="46">
        <f t="shared" si="2"/>
        <v>6.9930069930069921E-2</v>
      </c>
      <c r="R7" s="47">
        <f t="shared" si="3"/>
        <v>6.4516129032258063E-2</v>
      </c>
      <c r="S7" s="48">
        <f t="shared" si="4"/>
        <v>15.713667861685131</v>
      </c>
      <c r="T7" s="54">
        <f t="shared" si="5"/>
        <v>15.5</v>
      </c>
      <c r="U7" s="57"/>
      <c r="V7" s="212"/>
      <c r="W7" s="212"/>
      <c r="X7" s="44"/>
      <c r="Z7" t="s">
        <v>85</v>
      </c>
      <c r="AF7" s="14"/>
      <c r="AG7" s="14"/>
    </row>
    <row r="8" spans="1:33" ht="14.4" customHeight="1" x14ac:dyDescent="0.35">
      <c r="B8" s="208" t="s">
        <v>89</v>
      </c>
      <c r="C8" s="208"/>
      <c r="D8" s="208"/>
      <c r="E8" s="208"/>
      <c r="F8" s="208"/>
      <c r="G8" s="208"/>
      <c r="H8" s="208"/>
      <c r="K8" s="15">
        <v>1</v>
      </c>
      <c r="L8" s="16">
        <v>235</v>
      </c>
      <c r="M8" s="16">
        <v>217</v>
      </c>
      <c r="N8" s="16">
        <v>18.5</v>
      </c>
      <c r="O8" s="4">
        <f t="shared" si="0"/>
        <v>0</v>
      </c>
      <c r="P8" s="7">
        <f t="shared" si="1"/>
        <v>22.6</v>
      </c>
      <c r="Q8" s="46">
        <f t="shared" si="2"/>
        <v>4.4247787610619468E-2</v>
      </c>
      <c r="R8" s="47">
        <f t="shared" si="3"/>
        <v>5.4054054054054057E-2</v>
      </c>
      <c r="S8" s="48">
        <f t="shared" si="4"/>
        <v>21.209885372272701</v>
      </c>
      <c r="T8" s="54">
        <f t="shared" si="5"/>
        <v>18.5</v>
      </c>
      <c r="U8" s="57"/>
      <c r="V8" s="212"/>
      <c r="W8" s="212"/>
      <c r="X8" s="44"/>
      <c r="Z8" s="211" t="s">
        <v>86</v>
      </c>
      <c r="AA8" s="211"/>
      <c r="AB8" s="211"/>
      <c r="AC8" s="211"/>
      <c r="AD8" s="211"/>
      <c r="AE8" s="211"/>
    </row>
    <row r="9" spans="1:33" x14ac:dyDescent="0.3">
      <c r="K9" s="15">
        <v>32</v>
      </c>
      <c r="L9" s="16">
        <v>195</v>
      </c>
      <c r="M9" s="16">
        <v>196</v>
      </c>
      <c r="N9" s="16">
        <v>20.5</v>
      </c>
      <c r="O9" s="4">
        <f t="shared" si="0"/>
        <v>0</v>
      </c>
      <c r="P9" s="7">
        <f t="shared" si="1"/>
        <v>19.55</v>
      </c>
      <c r="Q9" s="46">
        <f t="shared" si="2"/>
        <v>5.1150895140664961E-2</v>
      </c>
      <c r="R9" s="47">
        <f t="shared" si="3"/>
        <v>4.878048780487805E-2</v>
      </c>
      <c r="S9" s="48">
        <f t="shared" si="4"/>
        <v>19.387197133614734</v>
      </c>
      <c r="T9" s="54">
        <f t="shared" si="5"/>
        <v>20.5</v>
      </c>
      <c r="U9" s="57"/>
      <c r="V9" s="212"/>
      <c r="W9" s="212"/>
      <c r="X9" s="44"/>
      <c r="Z9" s="211"/>
      <c r="AA9" s="211"/>
      <c r="AB9" s="211"/>
      <c r="AC9" s="211"/>
      <c r="AD9" s="211"/>
      <c r="AE9" s="211"/>
    </row>
    <row r="10" spans="1:33" x14ac:dyDescent="0.3">
      <c r="K10" s="15">
        <v>39</v>
      </c>
      <c r="L10" s="16">
        <v>247</v>
      </c>
      <c r="M10" s="16">
        <v>251</v>
      </c>
      <c r="N10" s="16">
        <v>22</v>
      </c>
      <c r="O10" s="4">
        <f t="shared" si="0"/>
        <v>0</v>
      </c>
      <c r="P10" s="7">
        <f t="shared" si="1"/>
        <v>24.9</v>
      </c>
      <c r="Q10" s="46">
        <f t="shared" si="2"/>
        <v>4.0160642570281124E-2</v>
      </c>
      <c r="R10" s="47">
        <f t="shared" si="3"/>
        <v>4.5454545454545456E-2</v>
      </c>
      <c r="S10" s="48">
        <f t="shared" si="4"/>
        <v>22.46009965188993</v>
      </c>
      <c r="T10" s="54">
        <f t="shared" si="5"/>
        <v>22</v>
      </c>
      <c r="U10" s="57"/>
      <c r="V10" s="212"/>
      <c r="W10" s="212"/>
      <c r="X10" s="44"/>
      <c r="Z10" s="211"/>
      <c r="AA10" s="211"/>
      <c r="AB10" s="211"/>
      <c r="AC10" s="211"/>
      <c r="AD10" s="211"/>
      <c r="AE10" s="211"/>
    </row>
    <row r="11" spans="1:33" x14ac:dyDescent="0.3">
      <c r="K11" s="16">
        <v>52</v>
      </c>
      <c r="L11" s="16">
        <v>266</v>
      </c>
      <c r="M11" s="16">
        <v>272</v>
      </c>
      <c r="N11" s="16">
        <v>22</v>
      </c>
      <c r="O11" s="4">
        <f t="shared" si="0"/>
        <v>0</v>
      </c>
      <c r="P11" s="7">
        <f t="shared" si="1"/>
        <v>26.9</v>
      </c>
      <c r="Q11" s="46">
        <f t="shared" si="2"/>
        <v>3.717472118959108E-2</v>
      </c>
      <c r="R11" s="47">
        <f t="shared" si="3"/>
        <v>4.5454545454545456E-2</v>
      </c>
      <c r="S11" s="48">
        <f t="shared" si="4"/>
        <v>23.470824149150516</v>
      </c>
      <c r="T11" s="54">
        <f t="shared" si="5"/>
        <v>22</v>
      </c>
      <c r="U11" s="57"/>
      <c r="V11" s="212"/>
      <c r="W11" s="212"/>
      <c r="X11" s="44"/>
    </row>
    <row r="12" spans="1:33" x14ac:dyDescent="0.3">
      <c r="K12" s="16">
        <v>80</v>
      </c>
      <c r="L12" s="16">
        <v>245</v>
      </c>
      <c r="M12" s="16">
        <v>242</v>
      </c>
      <c r="N12" s="16">
        <v>22</v>
      </c>
      <c r="O12" s="4">
        <f t="shared" si="0"/>
        <v>0</v>
      </c>
      <c r="P12" s="7">
        <f t="shared" si="1"/>
        <v>24.35</v>
      </c>
      <c r="Q12" s="46">
        <f t="shared" si="2"/>
        <v>4.1067761806981518E-2</v>
      </c>
      <c r="R12" s="47">
        <f t="shared" si="3"/>
        <v>4.5454545454545456E-2</v>
      </c>
      <c r="S12" s="48">
        <f t="shared" si="4"/>
        <v>22.170060030372795</v>
      </c>
      <c r="T12" s="54">
        <f t="shared" si="5"/>
        <v>22</v>
      </c>
      <c r="U12" s="57"/>
      <c r="V12" s="212"/>
      <c r="W12" s="212"/>
      <c r="X12" s="44"/>
      <c r="Y12" t="s">
        <v>14</v>
      </c>
    </row>
    <row r="13" spans="1:33" ht="15" thickBot="1" x14ac:dyDescent="0.35">
      <c r="K13" s="15">
        <v>3</v>
      </c>
      <c r="L13" s="16">
        <v>212</v>
      </c>
      <c r="M13" s="16">
        <v>217</v>
      </c>
      <c r="N13" s="16">
        <v>22.5</v>
      </c>
      <c r="O13" s="4">
        <f t="shared" si="0"/>
        <v>0</v>
      </c>
      <c r="P13" s="7">
        <f t="shared" si="1"/>
        <v>21.45</v>
      </c>
      <c r="Q13" s="46">
        <f t="shared" si="2"/>
        <v>4.6620046620046623E-2</v>
      </c>
      <c r="R13" s="47">
        <f t="shared" si="3"/>
        <v>4.4444444444444446E-2</v>
      </c>
      <c r="S13" s="48">
        <f t="shared" si="4"/>
        <v>20.546075494465143</v>
      </c>
      <c r="T13" s="54">
        <f t="shared" si="5"/>
        <v>22.5</v>
      </c>
      <c r="U13" s="57"/>
      <c r="V13" s="212"/>
      <c r="W13" s="212"/>
      <c r="X13" s="44"/>
    </row>
    <row r="14" spans="1:33" x14ac:dyDescent="0.3">
      <c r="K14" s="15">
        <v>21</v>
      </c>
      <c r="L14" s="16">
        <v>212</v>
      </c>
      <c r="M14" s="16">
        <v>213</v>
      </c>
      <c r="N14" s="16">
        <v>22.5</v>
      </c>
      <c r="O14" s="4">
        <f t="shared" si="0"/>
        <v>0</v>
      </c>
      <c r="P14" s="7">
        <f t="shared" si="1"/>
        <v>21.25</v>
      </c>
      <c r="Q14" s="46">
        <f t="shared" si="2"/>
        <v>4.7058823529411764E-2</v>
      </c>
      <c r="R14" s="47">
        <f t="shared" si="3"/>
        <v>4.4444444444444446E-2</v>
      </c>
      <c r="S14" s="48">
        <f t="shared" si="4"/>
        <v>20.427823318148331</v>
      </c>
      <c r="T14" s="54">
        <f t="shared" si="5"/>
        <v>22.5</v>
      </c>
      <c r="U14" s="57"/>
      <c r="V14" s="212"/>
      <c r="W14" s="212"/>
      <c r="X14" s="44"/>
      <c r="Y14" s="11" t="s">
        <v>15</v>
      </c>
      <c r="Z14" s="11"/>
    </row>
    <row r="15" spans="1:33" x14ac:dyDescent="0.3">
      <c r="K15" s="16">
        <v>73</v>
      </c>
      <c r="L15" s="16">
        <v>269</v>
      </c>
      <c r="M15" s="16">
        <v>273</v>
      </c>
      <c r="N15" s="16">
        <v>22.5</v>
      </c>
      <c r="O15" s="4">
        <f t="shared" si="0"/>
        <v>0</v>
      </c>
      <c r="P15" s="7">
        <f t="shared" si="1"/>
        <v>27.1</v>
      </c>
      <c r="Q15" s="46">
        <f t="shared" si="2"/>
        <v>3.6900369003690037E-2</v>
      </c>
      <c r="R15" s="47">
        <f t="shared" si="3"/>
        <v>4.4444444444444446E-2</v>
      </c>
      <c r="S15" s="48">
        <f t="shared" si="4"/>
        <v>23.568273497352223</v>
      </c>
      <c r="T15" s="54">
        <f t="shared" si="5"/>
        <v>22.5</v>
      </c>
      <c r="U15" s="57"/>
      <c r="V15" s="212"/>
      <c r="W15" s="212"/>
      <c r="X15" s="44"/>
      <c r="Y15" s="8" t="s">
        <v>16</v>
      </c>
      <c r="Z15" s="8">
        <v>0.99329136537241947</v>
      </c>
    </row>
    <row r="16" spans="1:33" x14ac:dyDescent="0.3">
      <c r="K16" s="15">
        <v>8</v>
      </c>
      <c r="L16" s="16">
        <v>262</v>
      </c>
      <c r="M16" s="16">
        <v>267</v>
      </c>
      <c r="N16" s="16">
        <v>23</v>
      </c>
      <c r="O16" s="4">
        <f t="shared" si="0"/>
        <v>0</v>
      </c>
      <c r="P16" s="7">
        <f t="shared" si="1"/>
        <v>26.45</v>
      </c>
      <c r="Q16" s="46">
        <f t="shared" si="2"/>
        <v>3.780718336483932E-2</v>
      </c>
      <c r="R16" s="47">
        <f t="shared" si="3"/>
        <v>4.3478260869565216E-2</v>
      </c>
      <c r="S16" s="48">
        <f t="shared" si="4"/>
        <v>23.249216056718005</v>
      </c>
      <c r="T16" s="54">
        <f t="shared" si="5"/>
        <v>23</v>
      </c>
      <c r="U16" s="57"/>
      <c r="V16" s="212"/>
      <c r="W16" s="212"/>
      <c r="X16" s="44"/>
      <c r="Y16" s="8" t="s">
        <v>17</v>
      </c>
      <c r="Z16" s="8">
        <v>0.98662773652340541</v>
      </c>
    </row>
    <row r="17" spans="2:33" x14ac:dyDescent="0.3">
      <c r="K17" s="15">
        <v>31</v>
      </c>
      <c r="L17" s="16">
        <v>260</v>
      </c>
      <c r="M17" s="16">
        <v>278</v>
      </c>
      <c r="N17" s="16">
        <v>23</v>
      </c>
      <c r="O17" s="4">
        <f t="shared" si="0"/>
        <v>0</v>
      </c>
      <c r="P17" s="7">
        <f t="shared" si="1"/>
        <v>26.9</v>
      </c>
      <c r="Q17" s="46">
        <f t="shared" si="2"/>
        <v>3.717472118959108E-2</v>
      </c>
      <c r="R17" s="47">
        <f t="shared" si="3"/>
        <v>4.3478260869565216E-2</v>
      </c>
      <c r="S17" s="48">
        <f t="shared" si="4"/>
        <v>23.470824149150516</v>
      </c>
      <c r="T17" s="54">
        <f t="shared" si="5"/>
        <v>23</v>
      </c>
      <c r="U17" s="57"/>
      <c r="V17" s="212"/>
      <c r="W17" s="212"/>
      <c r="X17" s="44"/>
      <c r="Y17" s="8" t="s">
        <v>18</v>
      </c>
      <c r="Z17" s="8">
        <v>0.98573625229163242</v>
      </c>
    </row>
    <row r="18" spans="2:33" x14ac:dyDescent="0.3">
      <c r="K18" s="16">
        <v>64</v>
      </c>
      <c r="L18" s="16">
        <v>285</v>
      </c>
      <c r="M18" s="16">
        <v>275</v>
      </c>
      <c r="N18" s="16">
        <v>23.3</v>
      </c>
      <c r="O18" s="4">
        <f t="shared" si="0"/>
        <v>0</v>
      </c>
      <c r="P18" s="7">
        <f t="shared" si="1"/>
        <v>28</v>
      </c>
      <c r="Q18" s="46">
        <f t="shared" si="2"/>
        <v>3.5714285714285712E-2</v>
      </c>
      <c r="R18" s="47">
        <f t="shared" si="3"/>
        <v>4.2918454935622317E-2</v>
      </c>
      <c r="S18" s="48">
        <f t="shared" si="4"/>
        <v>23.999049400064745</v>
      </c>
      <c r="T18" s="54">
        <f t="shared" si="5"/>
        <v>23.3</v>
      </c>
      <c r="U18" s="57"/>
      <c r="V18" s="212"/>
      <c r="W18" s="212"/>
      <c r="X18" s="44"/>
      <c r="Y18" s="8" t="s">
        <v>19</v>
      </c>
      <c r="Z18" s="8">
        <v>4.0912116231314397E-3</v>
      </c>
    </row>
    <row r="19" spans="2:33" ht="15" thickBot="1" x14ac:dyDescent="0.35">
      <c r="K19" s="15">
        <v>11</v>
      </c>
      <c r="L19" s="16">
        <v>295</v>
      </c>
      <c r="M19" s="16">
        <v>293</v>
      </c>
      <c r="N19" s="16">
        <v>23.5</v>
      </c>
      <c r="O19" s="4">
        <f t="shared" si="0"/>
        <v>0</v>
      </c>
      <c r="P19" s="7">
        <f t="shared" si="1"/>
        <v>29.4</v>
      </c>
      <c r="Q19" s="46">
        <f t="shared" si="2"/>
        <v>3.4013605442176874E-2</v>
      </c>
      <c r="R19" s="47">
        <f t="shared" si="3"/>
        <v>4.2553191489361701E-2</v>
      </c>
      <c r="S19" s="48">
        <f t="shared" si="4"/>
        <v>24.644939877447204</v>
      </c>
      <c r="T19" s="54">
        <f t="shared" si="5"/>
        <v>23.5</v>
      </c>
      <c r="U19" s="57"/>
      <c r="V19" s="212"/>
      <c r="W19" s="212"/>
      <c r="X19" s="44"/>
      <c r="Y19" s="9" t="s">
        <v>20</v>
      </c>
      <c r="Z19" s="9">
        <v>17</v>
      </c>
    </row>
    <row r="20" spans="2:33" x14ac:dyDescent="0.3">
      <c r="K20" s="16">
        <v>58</v>
      </c>
      <c r="L20" s="16">
        <v>288</v>
      </c>
      <c r="M20" s="16">
        <v>275</v>
      </c>
      <c r="N20" s="16">
        <v>23.5</v>
      </c>
      <c r="O20" s="4">
        <f t="shared" si="0"/>
        <v>0</v>
      </c>
      <c r="P20" s="7">
        <f t="shared" si="1"/>
        <v>28.15</v>
      </c>
      <c r="Q20" s="46">
        <f t="shared" si="2"/>
        <v>3.5523978685612793E-2</v>
      </c>
      <c r="R20" s="47">
        <f t="shared" si="3"/>
        <v>4.2553191489361701E-2</v>
      </c>
      <c r="S20" s="48">
        <f t="shared" si="4"/>
        <v>24.069637716968057</v>
      </c>
      <c r="T20" s="54">
        <f t="shared" si="5"/>
        <v>23.5</v>
      </c>
      <c r="U20" s="57"/>
      <c r="V20" s="212"/>
      <c r="W20" s="212"/>
      <c r="X20" s="44"/>
    </row>
    <row r="21" spans="2:33" ht="15" thickBot="1" x14ac:dyDescent="0.35">
      <c r="K21" s="16">
        <v>71</v>
      </c>
      <c r="L21" s="16">
        <v>284</v>
      </c>
      <c r="M21" s="16">
        <v>289</v>
      </c>
      <c r="N21" s="16">
        <v>25.5</v>
      </c>
      <c r="O21" s="4">
        <f t="shared" si="0"/>
        <v>0</v>
      </c>
      <c r="P21" s="7">
        <f t="shared" si="1"/>
        <v>28.65</v>
      </c>
      <c r="Q21" s="46">
        <f t="shared" si="2"/>
        <v>3.4904013961605584E-2</v>
      </c>
      <c r="R21" s="47">
        <f t="shared" si="3"/>
        <v>3.9215686274509803E-2</v>
      </c>
      <c r="S21" s="48">
        <f t="shared" si="4"/>
        <v>24.302501482358025</v>
      </c>
      <c r="T21" s="54">
        <f t="shared" si="5"/>
        <v>25.5</v>
      </c>
      <c r="U21" s="57"/>
      <c r="V21" s="212"/>
      <c r="W21" s="212"/>
      <c r="X21" s="44"/>
      <c r="Y21" t="s">
        <v>21</v>
      </c>
    </row>
    <row r="22" spans="2:33" x14ac:dyDescent="0.3">
      <c r="K22" s="15">
        <v>2</v>
      </c>
      <c r="L22" s="16">
        <v>272</v>
      </c>
      <c r="M22" s="16">
        <v>272</v>
      </c>
      <c r="N22" s="16"/>
      <c r="O22" s="4">
        <f t="shared" si="0"/>
        <v>0</v>
      </c>
      <c r="P22" s="7">
        <f t="shared" si="1"/>
        <v>27.2</v>
      </c>
      <c r="S22" s="49">
        <f t="shared" si="4"/>
        <v>23.616760384419262</v>
      </c>
      <c r="T22" s="55">
        <f t="shared" si="5"/>
        <v>23.616760384419262</v>
      </c>
      <c r="U22" s="58"/>
      <c r="V22" s="212"/>
      <c r="W22" s="212"/>
      <c r="X22" s="44"/>
      <c r="Y22" s="10"/>
      <c r="Z22" s="10" t="s">
        <v>26</v>
      </c>
      <c r="AA22" s="10" t="s">
        <v>27</v>
      </c>
      <c r="AB22" s="10" t="s">
        <v>28</v>
      </c>
      <c r="AC22" s="10" t="s">
        <v>29</v>
      </c>
      <c r="AD22" s="10" t="s">
        <v>30</v>
      </c>
    </row>
    <row r="23" spans="2:33" x14ac:dyDescent="0.3">
      <c r="K23" s="15">
        <v>4</v>
      </c>
      <c r="L23" s="16">
        <v>216</v>
      </c>
      <c r="M23" s="16">
        <v>218</v>
      </c>
      <c r="N23" s="16"/>
      <c r="O23" s="4">
        <f t="shared" si="0"/>
        <v>0</v>
      </c>
      <c r="P23" s="7">
        <f t="shared" si="1"/>
        <v>21.7</v>
      </c>
      <c r="S23" s="49">
        <f t="shared" si="4"/>
        <v>20.692702333865157</v>
      </c>
      <c r="T23" s="55">
        <f t="shared" si="5"/>
        <v>20.692702333865157</v>
      </c>
      <c r="U23" s="58"/>
      <c r="V23" s="212"/>
      <c r="W23" s="212"/>
      <c r="X23" s="44"/>
      <c r="Y23" s="8" t="s">
        <v>22</v>
      </c>
      <c r="Z23" s="8">
        <v>1</v>
      </c>
      <c r="AA23" s="8">
        <v>1.8524374119969555E-2</v>
      </c>
      <c r="AB23" s="8">
        <v>1.8524374119969555E-2</v>
      </c>
      <c r="AC23" s="8">
        <v>1106.7248318696688</v>
      </c>
      <c r="AD23" s="8">
        <v>1.8020886636638959E-15</v>
      </c>
    </row>
    <row r="24" spans="2:33" x14ac:dyDescent="0.3">
      <c r="K24" s="15">
        <v>5</v>
      </c>
      <c r="L24" s="16">
        <v>267</v>
      </c>
      <c r="M24" s="16">
        <v>249</v>
      </c>
      <c r="N24" s="16"/>
      <c r="O24" s="4">
        <f t="shared" si="0"/>
        <v>0</v>
      </c>
      <c r="P24" s="7">
        <f t="shared" si="1"/>
        <v>25.8</v>
      </c>
      <c r="S24" s="49">
        <f t="shared" si="4"/>
        <v>22.923254066641434</v>
      </c>
      <c r="T24" s="55">
        <f t="shared" si="5"/>
        <v>22.923254066641434</v>
      </c>
      <c r="U24" s="58"/>
      <c r="V24" s="212"/>
      <c r="W24" s="212"/>
      <c r="X24" s="44"/>
      <c r="Y24" s="8" t="s">
        <v>23</v>
      </c>
      <c r="Z24" s="8">
        <v>15</v>
      </c>
      <c r="AA24" s="8">
        <v>2.5107018817868687E-4</v>
      </c>
      <c r="AB24" s="8">
        <v>1.6738012545245792E-5</v>
      </c>
      <c r="AC24" s="8"/>
      <c r="AD24" s="8"/>
    </row>
    <row r="25" spans="2:33" ht="15" thickBot="1" x14ac:dyDescent="0.35">
      <c r="K25" s="15">
        <v>6</v>
      </c>
      <c r="L25" s="16">
        <v>272</v>
      </c>
      <c r="M25" s="16">
        <v>265</v>
      </c>
      <c r="N25" s="16"/>
      <c r="O25" s="4">
        <f t="shared" si="0"/>
        <v>0</v>
      </c>
      <c r="P25" s="7">
        <f t="shared" si="1"/>
        <v>26.85</v>
      </c>
      <c r="S25" s="49">
        <f t="shared" si="4"/>
        <v>23.446362166830244</v>
      </c>
      <c r="T25" s="55">
        <f t="shared" si="5"/>
        <v>23.446362166830244</v>
      </c>
      <c r="U25" s="58"/>
      <c r="V25" s="212"/>
      <c r="W25" s="212"/>
      <c r="X25" s="44"/>
      <c r="Y25" s="9" t="s">
        <v>24</v>
      </c>
      <c r="Z25" s="9">
        <v>16</v>
      </c>
      <c r="AA25" s="9">
        <v>1.8775444308148242E-2</v>
      </c>
      <c r="AB25" s="9"/>
      <c r="AC25" s="9"/>
      <c r="AD25" s="9"/>
    </row>
    <row r="26" spans="2:33" ht="15" thickBot="1" x14ac:dyDescent="0.35">
      <c r="K26" s="15">
        <v>7</v>
      </c>
      <c r="L26" s="16">
        <v>254</v>
      </c>
      <c r="M26" s="16">
        <v>241</v>
      </c>
      <c r="N26" s="16"/>
      <c r="O26" s="4">
        <f t="shared" si="0"/>
        <v>0</v>
      </c>
      <c r="P26" s="7">
        <f t="shared" si="1"/>
        <v>24.75</v>
      </c>
      <c r="S26" s="49">
        <f t="shared" si="4"/>
        <v>22.381534013825537</v>
      </c>
      <c r="T26" s="55">
        <f t="shared" si="5"/>
        <v>22.381534013825537</v>
      </c>
      <c r="U26" s="58"/>
      <c r="V26" s="212"/>
      <c r="W26" s="212"/>
      <c r="X26" s="44"/>
    </row>
    <row r="27" spans="2:33" x14ac:dyDescent="0.3">
      <c r="K27" s="15">
        <v>10</v>
      </c>
      <c r="L27" s="16"/>
      <c r="M27" s="16"/>
      <c r="N27" s="16"/>
      <c r="O27" s="4">
        <f t="shared" si="0"/>
        <v>1</v>
      </c>
      <c r="P27" s="7">
        <f t="shared" si="1"/>
        <v>0</v>
      </c>
      <c r="S27" s="49">
        <f t="shared" si="4"/>
        <v>0</v>
      </c>
      <c r="T27" s="55">
        <f t="shared" si="5"/>
        <v>0</v>
      </c>
      <c r="U27" s="58"/>
      <c r="V27" s="44"/>
      <c r="W27" s="44"/>
      <c r="X27" s="44"/>
      <c r="Y27" s="10"/>
      <c r="Z27" s="52" t="s">
        <v>31</v>
      </c>
      <c r="AA27" s="10" t="s">
        <v>19</v>
      </c>
      <c r="AB27" s="10" t="s">
        <v>32</v>
      </c>
      <c r="AC27" s="10" t="s">
        <v>33</v>
      </c>
      <c r="AD27" s="10" t="s">
        <v>34</v>
      </c>
      <c r="AE27" s="10" t="s">
        <v>35</v>
      </c>
      <c r="AF27" s="10" t="s">
        <v>36</v>
      </c>
      <c r="AG27" s="10" t="s">
        <v>37</v>
      </c>
    </row>
    <row r="28" spans="2:33" x14ac:dyDescent="0.3">
      <c r="K28" s="15">
        <v>12</v>
      </c>
      <c r="L28" s="16">
        <v>223</v>
      </c>
      <c r="M28" s="16">
        <v>220</v>
      </c>
      <c r="N28" s="16"/>
      <c r="O28" s="4">
        <f t="shared" si="0"/>
        <v>0</v>
      </c>
      <c r="P28" s="7">
        <f t="shared" si="1"/>
        <v>22.15</v>
      </c>
      <c r="S28" s="49">
        <f t="shared" si="4"/>
        <v>20.953356254542971</v>
      </c>
      <c r="T28" s="55">
        <f t="shared" si="5"/>
        <v>20.953356254542971</v>
      </c>
      <c r="U28" s="58"/>
      <c r="V28" s="44"/>
      <c r="W28" s="44"/>
      <c r="X28" s="44"/>
      <c r="Y28" s="8" t="s">
        <v>25</v>
      </c>
      <c r="Z28" s="50">
        <v>1.8735554564004872E-2</v>
      </c>
      <c r="AA28" s="8">
        <v>1.5070784203951265E-3</v>
      </c>
      <c r="AB28" s="8">
        <v>12.431705152471611</v>
      </c>
      <c r="AC28" s="8">
        <v>2.662747523982202E-9</v>
      </c>
      <c r="AD28" s="8">
        <v>1.5523292949730738E-2</v>
      </c>
      <c r="AE28" s="8">
        <v>2.1947816178279008E-2</v>
      </c>
      <c r="AF28" s="8">
        <v>1.5523292949730738E-2</v>
      </c>
      <c r="AG28" s="8">
        <v>2.1947816178279008E-2</v>
      </c>
    </row>
    <row r="29" spans="2:33" ht="18.600000000000001" thickBot="1" x14ac:dyDescent="0.4">
      <c r="B29" s="208" t="s">
        <v>88</v>
      </c>
      <c r="C29" s="208"/>
      <c r="D29" s="208"/>
      <c r="E29" s="208"/>
      <c r="F29" s="208"/>
      <c r="G29" s="208"/>
      <c r="H29" s="208"/>
      <c r="K29" s="15">
        <v>13</v>
      </c>
      <c r="L29" s="16">
        <v>205</v>
      </c>
      <c r="M29" s="16">
        <v>205</v>
      </c>
      <c r="N29" s="16"/>
      <c r="O29" s="4">
        <f t="shared" si="0"/>
        <v>0</v>
      </c>
      <c r="P29" s="7">
        <f t="shared" si="1"/>
        <v>20.5</v>
      </c>
      <c r="S29" s="49">
        <f t="shared" si="4"/>
        <v>19.976686349765561</v>
      </c>
      <c r="T29" s="55">
        <f t="shared" si="5"/>
        <v>19.976686349765561</v>
      </c>
      <c r="U29" s="58"/>
      <c r="V29" s="44"/>
      <c r="W29" s="44"/>
      <c r="X29" s="44"/>
      <c r="Y29" s="9" t="s">
        <v>38</v>
      </c>
      <c r="Z29" s="51">
        <v>0.64211735042396734</v>
      </c>
      <c r="AA29" s="9">
        <v>1.9301656291067299E-2</v>
      </c>
      <c r="AB29" s="9">
        <v>33.26747408309906</v>
      </c>
      <c r="AC29" s="9">
        <v>1.8020886636639086E-15</v>
      </c>
      <c r="AD29" s="9">
        <v>0.600976843893821</v>
      </c>
      <c r="AE29" s="9">
        <v>0.68325785695411367</v>
      </c>
      <c r="AF29" s="9">
        <v>0.600976843893821</v>
      </c>
      <c r="AG29" s="9">
        <v>0.68325785695411367</v>
      </c>
    </row>
    <row r="30" spans="2:33" x14ac:dyDescent="0.3">
      <c r="K30" s="15">
        <v>14</v>
      </c>
      <c r="L30" s="16"/>
      <c r="M30" s="16"/>
      <c r="N30" s="16"/>
      <c r="O30" s="4">
        <f t="shared" si="0"/>
        <v>1</v>
      </c>
      <c r="P30" s="7">
        <f t="shared" si="1"/>
        <v>0</v>
      </c>
      <c r="S30" s="49">
        <f t="shared" si="4"/>
        <v>0</v>
      </c>
      <c r="T30" s="55">
        <f t="shared" si="5"/>
        <v>0</v>
      </c>
      <c r="U30" s="58"/>
      <c r="V30" s="44"/>
      <c r="W30" s="44"/>
      <c r="X30" s="44"/>
    </row>
    <row r="31" spans="2:33" x14ac:dyDescent="0.3">
      <c r="K31" s="15">
        <v>15</v>
      </c>
      <c r="L31" s="16">
        <v>246</v>
      </c>
      <c r="M31" s="16">
        <v>254</v>
      </c>
      <c r="N31" s="16"/>
      <c r="O31" s="4">
        <f t="shared" si="0"/>
        <v>0</v>
      </c>
      <c r="P31" s="7">
        <f t="shared" si="1"/>
        <v>25</v>
      </c>
      <c r="S31" s="49">
        <f t="shared" si="4"/>
        <v>22.512255828044896</v>
      </c>
      <c r="T31" s="55">
        <f t="shared" si="5"/>
        <v>22.512255828044896</v>
      </c>
      <c r="U31" s="58"/>
      <c r="V31" s="44"/>
      <c r="W31" s="44"/>
      <c r="X31" s="44"/>
    </row>
    <row r="32" spans="2:33" x14ac:dyDescent="0.3">
      <c r="K32" s="15">
        <v>16</v>
      </c>
      <c r="L32" s="16">
        <v>278</v>
      </c>
      <c r="M32" s="16">
        <v>289</v>
      </c>
      <c r="N32" s="16"/>
      <c r="O32" s="4">
        <f t="shared" si="0"/>
        <v>0</v>
      </c>
      <c r="P32" s="7">
        <f t="shared" si="1"/>
        <v>28.35</v>
      </c>
      <c r="S32" s="49">
        <f t="shared" si="4"/>
        <v>24.163229445792371</v>
      </c>
      <c r="T32" s="55">
        <f t="shared" si="5"/>
        <v>24.163229445792371</v>
      </c>
      <c r="U32" s="58"/>
      <c r="V32" s="44"/>
      <c r="W32" s="44"/>
      <c r="X32" s="44"/>
    </row>
    <row r="33" spans="11:30" x14ac:dyDescent="0.3">
      <c r="K33" s="15">
        <v>17</v>
      </c>
      <c r="L33" s="16">
        <v>212</v>
      </c>
      <c r="M33" s="16">
        <v>203</v>
      </c>
      <c r="N33" s="16"/>
      <c r="O33" s="4">
        <f t="shared" si="0"/>
        <v>0</v>
      </c>
      <c r="P33" s="7">
        <f t="shared" si="1"/>
        <v>20.75</v>
      </c>
      <c r="S33" s="49">
        <f t="shared" si="4"/>
        <v>20.128431857865017</v>
      </c>
      <c r="T33" s="55">
        <f t="shared" si="5"/>
        <v>20.128431857865017</v>
      </c>
      <c r="U33" s="58"/>
      <c r="V33" s="44"/>
      <c r="W33" s="44"/>
      <c r="X33" s="44"/>
      <c r="Y33" t="s">
        <v>39</v>
      </c>
      <c r="AC33" t="s">
        <v>43</v>
      </c>
    </row>
    <row r="34" spans="11:30" ht="15" thickBot="1" x14ac:dyDescent="0.35">
      <c r="K34" s="15">
        <v>18</v>
      </c>
      <c r="L34" s="16">
        <v>249</v>
      </c>
      <c r="M34" s="16">
        <v>245</v>
      </c>
      <c r="N34" s="16"/>
      <c r="O34" s="4">
        <f t="shared" si="0"/>
        <v>0</v>
      </c>
      <c r="P34" s="7">
        <f t="shared" si="1"/>
        <v>24.7</v>
      </c>
      <c r="S34" s="49">
        <f t="shared" si="4"/>
        <v>22.355256651920158</v>
      </c>
      <c r="T34" s="55">
        <f t="shared" si="5"/>
        <v>22.355256651920158</v>
      </c>
      <c r="U34" s="58"/>
      <c r="V34" s="44"/>
      <c r="W34" s="44"/>
      <c r="X34" s="44"/>
    </row>
    <row r="35" spans="11:30" x14ac:dyDescent="0.3">
      <c r="K35" s="15">
        <v>19</v>
      </c>
      <c r="L35" s="16">
        <v>253</v>
      </c>
      <c r="M35" s="16">
        <v>251</v>
      </c>
      <c r="N35" s="16"/>
      <c r="O35" s="4">
        <f t="shared" si="0"/>
        <v>0</v>
      </c>
      <c r="P35" s="7">
        <f t="shared" si="1"/>
        <v>25.2</v>
      </c>
      <c r="S35" s="49">
        <f t="shared" si="4"/>
        <v>22.616041993968718</v>
      </c>
      <c r="T35" s="55">
        <f t="shared" si="5"/>
        <v>22.616041993968718</v>
      </c>
      <c r="U35" s="58"/>
      <c r="V35" s="44"/>
      <c r="W35" s="44"/>
      <c r="X35" s="44"/>
      <c r="Y35" s="10" t="s">
        <v>40</v>
      </c>
      <c r="Z35" s="10" t="s">
        <v>41</v>
      </c>
      <c r="AA35" s="10" t="s">
        <v>42</v>
      </c>
      <c r="AC35" s="10" t="s">
        <v>44</v>
      </c>
      <c r="AD35" s="10" t="s">
        <v>45</v>
      </c>
    </row>
    <row r="36" spans="11:30" x14ac:dyDescent="0.3">
      <c r="K36" s="15">
        <v>22</v>
      </c>
      <c r="L36" s="16">
        <v>222</v>
      </c>
      <c r="M36" s="16">
        <v>217</v>
      </c>
      <c r="N36" s="16"/>
      <c r="O36" s="4">
        <f t="shared" si="0"/>
        <v>0</v>
      </c>
      <c r="P36" s="7">
        <f t="shared" si="1"/>
        <v>21.95</v>
      </c>
      <c r="S36" s="49">
        <f t="shared" si="4"/>
        <v>20.838025189860652</v>
      </c>
      <c r="T36" s="55">
        <f t="shared" si="5"/>
        <v>20.838025189860652</v>
      </c>
      <c r="U36" s="58"/>
      <c r="V36" s="44"/>
      <c r="W36" s="44"/>
      <c r="X36" s="44"/>
      <c r="Y36" s="8">
        <v>1</v>
      </c>
      <c r="Z36" s="8">
        <v>0.17728304849584869</v>
      </c>
      <c r="AA36" s="8">
        <v>4.5351333223331292E-3</v>
      </c>
      <c r="AC36" s="8">
        <v>2.9411764705882355</v>
      </c>
      <c r="AD36" s="8">
        <v>3.9215686274509803E-2</v>
      </c>
    </row>
    <row r="37" spans="11:30" x14ac:dyDescent="0.3">
      <c r="K37" s="15">
        <v>23</v>
      </c>
      <c r="L37" s="16">
        <v>227</v>
      </c>
      <c r="M37" s="16">
        <v>228</v>
      </c>
      <c r="N37" s="16"/>
      <c r="O37" s="4">
        <f t="shared" ref="O37:O68" si="6">IF(L37="",1,0)</f>
        <v>0</v>
      </c>
      <c r="P37" s="7">
        <f t="shared" ref="P37:P68" si="7">(L37+M37)/20</f>
        <v>22.75</v>
      </c>
      <c r="S37" s="49">
        <f t="shared" ref="S37:S68" si="8">P37/($W$4+$W$3*P37)</f>
        <v>21.294495333752671</v>
      </c>
      <c r="T37" s="55">
        <f t="shared" si="5"/>
        <v>21.294495333752671</v>
      </c>
      <c r="U37" s="58"/>
      <c r="V37" s="44"/>
      <c r="W37" s="44"/>
      <c r="X37" s="44"/>
      <c r="Y37" s="8">
        <v>2</v>
      </c>
      <c r="Z37" s="8">
        <v>9.7522959524000863E-2</v>
      </c>
      <c r="AA37" s="8">
        <v>-1.0566437784870431E-2</v>
      </c>
      <c r="AC37" s="8">
        <v>8.8235294117647065</v>
      </c>
      <c r="AD37" s="8">
        <v>4.2553191489361701E-2</v>
      </c>
    </row>
    <row r="38" spans="11:30" x14ac:dyDescent="0.3">
      <c r="K38" s="15">
        <v>24</v>
      </c>
      <c r="L38" s="16">
        <v>147</v>
      </c>
      <c r="M38" s="16">
        <v>146</v>
      </c>
      <c r="N38" s="16"/>
      <c r="O38" s="4">
        <f t="shared" si="6"/>
        <v>0</v>
      </c>
      <c r="P38" s="7">
        <f t="shared" si="7"/>
        <v>14.65</v>
      </c>
      <c r="S38" s="49">
        <f t="shared" si="8"/>
        <v>15.983098722347828</v>
      </c>
      <c r="T38" s="55">
        <f t="shared" si="5"/>
        <v>15.983098722347828</v>
      </c>
      <c r="U38" s="58"/>
      <c r="V38" s="44"/>
      <c r="W38" s="44"/>
      <c r="X38" s="44"/>
      <c r="Y38" s="8">
        <v>3</v>
      </c>
      <c r="Z38" s="8">
        <v>6.3638865782464124E-2</v>
      </c>
      <c r="AA38" s="8">
        <v>8.7726324979393866E-4</v>
      </c>
      <c r="AC38" s="8">
        <v>14.705882352941178</v>
      </c>
      <c r="AD38" s="8">
        <v>4.2553191489361701E-2</v>
      </c>
    </row>
    <row r="39" spans="11:30" x14ac:dyDescent="0.3">
      <c r="K39" s="15">
        <v>25</v>
      </c>
      <c r="L39" s="16">
        <v>202</v>
      </c>
      <c r="M39" s="16">
        <v>199</v>
      </c>
      <c r="N39" s="16"/>
      <c r="O39" s="4">
        <f t="shared" si="6"/>
        <v>0</v>
      </c>
      <c r="P39" s="7">
        <f t="shared" si="7"/>
        <v>20.05</v>
      </c>
      <c r="S39" s="49">
        <f t="shared" si="8"/>
        <v>19.70002473771347</v>
      </c>
      <c r="T39" s="55">
        <f t="shared" si="5"/>
        <v>19.70002473771347</v>
      </c>
      <c r="U39" s="58"/>
      <c r="V39" s="44"/>
      <c r="W39" s="44"/>
      <c r="X39" s="44"/>
      <c r="Y39" s="8">
        <v>4</v>
      </c>
      <c r="Z39" s="8">
        <v>4.7147826706658291E-2</v>
      </c>
      <c r="AA39" s="8">
        <v>6.9062273473957658E-3</v>
      </c>
      <c r="AC39" s="8">
        <v>20.588235294117649</v>
      </c>
      <c r="AD39" s="8">
        <v>4.2918454935622317E-2</v>
      </c>
    </row>
    <row r="40" spans="11:30" x14ac:dyDescent="0.3">
      <c r="K40" s="15">
        <v>26</v>
      </c>
      <c r="L40" s="16">
        <v>207</v>
      </c>
      <c r="M40" s="16">
        <v>195</v>
      </c>
      <c r="N40" s="16"/>
      <c r="O40" s="4">
        <f t="shared" si="6"/>
        <v>0</v>
      </c>
      <c r="P40" s="7">
        <f t="shared" si="7"/>
        <v>20.100000000000001</v>
      </c>
      <c r="S40" s="49">
        <f t="shared" si="8"/>
        <v>19.730991061200267</v>
      </c>
      <c r="T40" s="55">
        <f t="shared" si="5"/>
        <v>19.730991061200267</v>
      </c>
      <c r="U40" s="58"/>
      <c r="V40" s="44"/>
      <c r="W40" s="44"/>
      <c r="X40" s="44"/>
      <c r="Y40" s="8">
        <v>5</v>
      </c>
      <c r="Z40" s="8">
        <v>5.1580431823542841E-2</v>
      </c>
      <c r="AA40" s="8">
        <v>-2.7999440186647906E-3</v>
      </c>
      <c r="AC40" s="8">
        <v>26.47058823529412</v>
      </c>
      <c r="AD40" s="8">
        <v>4.3478260869565216E-2</v>
      </c>
    </row>
    <row r="41" spans="11:30" x14ac:dyDescent="0.3">
      <c r="K41" s="15">
        <v>27</v>
      </c>
      <c r="L41" s="16">
        <v>223</v>
      </c>
      <c r="M41" s="16">
        <v>229</v>
      </c>
      <c r="N41" s="16"/>
      <c r="O41" s="4">
        <f t="shared" si="6"/>
        <v>0</v>
      </c>
      <c r="P41" s="7">
        <f t="shared" si="7"/>
        <v>22.6</v>
      </c>
      <c r="S41" s="49">
        <f t="shared" si="8"/>
        <v>21.209885372272701</v>
      </c>
      <c r="T41" s="55">
        <f t="shared" si="5"/>
        <v>21.209885372272701</v>
      </c>
      <c r="U41" s="58"/>
      <c r="V41" s="44"/>
      <c r="W41" s="44"/>
      <c r="X41" s="44"/>
      <c r="Y41" s="8">
        <v>6</v>
      </c>
      <c r="Z41" s="8">
        <v>4.4523399962557775E-2</v>
      </c>
      <c r="AA41" s="8">
        <v>9.3114549198768104E-4</v>
      </c>
      <c r="AC41" s="8">
        <v>32.352941176470594</v>
      </c>
      <c r="AD41" s="8">
        <v>4.3478260869565216E-2</v>
      </c>
    </row>
    <row r="42" spans="11:30" x14ac:dyDescent="0.3">
      <c r="K42" s="15">
        <v>28</v>
      </c>
      <c r="L42" s="16"/>
      <c r="M42" s="16"/>
      <c r="N42" s="16"/>
      <c r="O42" s="4">
        <f t="shared" si="6"/>
        <v>1</v>
      </c>
      <c r="P42" s="7">
        <f t="shared" si="7"/>
        <v>0</v>
      </c>
      <c r="S42" s="49">
        <f t="shared" si="8"/>
        <v>0</v>
      </c>
      <c r="T42" s="55">
        <f t="shared" si="5"/>
        <v>0</v>
      </c>
      <c r="U42" s="58"/>
      <c r="V42" s="44"/>
      <c r="W42" s="44"/>
      <c r="X42" s="44"/>
      <c r="Y42" s="8">
        <v>7</v>
      </c>
      <c r="Z42" s="8">
        <v>4.2606088037014808E-2</v>
      </c>
      <c r="AA42" s="8">
        <v>2.8484574175306476E-3</v>
      </c>
      <c r="AC42" s="8">
        <v>38.235294117647058</v>
      </c>
      <c r="AD42" s="8">
        <v>4.4444444444444446E-2</v>
      </c>
    </row>
    <row r="43" spans="11:30" x14ac:dyDescent="0.3">
      <c r="K43" s="15">
        <v>29</v>
      </c>
      <c r="L43" s="16">
        <v>162</v>
      </c>
      <c r="M43" s="16">
        <v>185</v>
      </c>
      <c r="N43" s="16"/>
      <c r="O43" s="4">
        <f t="shared" si="6"/>
        <v>0</v>
      </c>
      <c r="P43" s="7">
        <f t="shared" si="7"/>
        <v>17.350000000000001</v>
      </c>
      <c r="S43" s="49">
        <f t="shared" si="8"/>
        <v>17.938764195284346</v>
      </c>
      <c r="T43" s="55">
        <f t="shared" si="5"/>
        <v>17.938764195284346</v>
      </c>
      <c r="U43" s="58"/>
      <c r="V43" s="44"/>
      <c r="W43" s="44"/>
      <c r="X43" s="44"/>
      <c r="Y43" s="8">
        <v>8</v>
      </c>
      <c r="Z43" s="8">
        <v>4.5105876963346447E-2</v>
      </c>
      <c r="AA43" s="8">
        <v>3.4866849119900845E-4</v>
      </c>
      <c r="AC43" s="8">
        <v>44.117647058823536</v>
      </c>
      <c r="AD43" s="8">
        <v>4.4444444444444446E-2</v>
      </c>
    </row>
    <row r="44" spans="11:30" x14ac:dyDescent="0.3">
      <c r="K44" s="15">
        <v>30</v>
      </c>
      <c r="L44" s="16">
        <v>239</v>
      </c>
      <c r="M44" s="16">
        <v>251</v>
      </c>
      <c r="N44" s="16"/>
      <c r="O44" s="4">
        <f t="shared" si="6"/>
        <v>0</v>
      </c>
      <c r="P44" s="7">
        <f t="shared" si="7"/>
        <v>24.5</v>
      </c>
      <c r="S44" s="49">
        <f t="shared" si="8"/>
        <v>22.249700102525477</v>
      </c>
      <c r="T44" s="55">
        <f t="shared" si="5"/>
        <v>22.249700102525477</v>
      </c>
      <c r="U44" s="58"/>
      <c r="V44" s="44"/>
      <c r="W44" s="44"/>
      <c r="X44" s="44"/>
      <c r="Y44" s="8">
        <v>9</v>
      </c>
      <c r="Z44" s="8">
        <v>4.8671095376311042E-2</v>
      </c>
      <c r="AA44" s="8">
        <v>-4.2266509318665962E-3</v>
      </c>
      <c r="AC44" s="8">
        <v>50</v>
      </c>
      <c r="AD44" s="8">
        <v>4.4444444444444446E-2</v>
      </c>
    </row>
    <row r="45" spans="11:30" x14ac:dyDescent="0.3">
      <c r="K45" s="15">
        <v>34</v>
      </c>
      <c r="L45" s="16">
        <v>225</v>
      </c>
      <c r="M45" s="16">
        <v>234</v>
      </c>
      <c r="N45" s="16"/>
      <c r="O45" s="4">
        <f t="shared" si="6"/>
        <v>0</v>
      </c>
      <c r="P45" s="7">
        <f t="shared" si="7"/>
        <v>22.95</v>
      </c>
      <c r="S45" s="49">
        <f t="shared" si="8"/>
        <v>21.406618598056042</v>
      </c>
      <c r="T45" s="55">
        <f t="shared" si="5"/>
        <v>21.406618598056042</v>
      </c>
      <c r="U45" s="58"/>
      <c r="V45" s="44"/>
      <c r="W45" s="44"/>
      <c r="X45" s="44"/>
      <c r="Y45" s="8">
        <v>10</v>
      </c>
      <c r="Z45" s="8">
        <v>4.8952841642779805E-2</v>
      </c>
      <c r="AA45" s="8">
        <v>-4.5083971983353593E-3</v>
      </c>
      <c r="AC45" s="8">
        <v>55.882352941176478</v>
      </c>
      <c r="AD45" s="8">
        <v>4.5454545454545456E-2</v>
      </c>
    </row>
    <row r="46" spans="11:30" x14ac:dyDescent="0.3">
      <c r="K46" s="15">
        <v>35</v>
      </c>
      <c r="L46" s="16">
        <v>241</v>
      </c>
      <c r="M46" s="16">
        <v>244</v>
      </c>
      <c r="N46" s="16"/>
      <c r="O46" s="4">
        <f t="shared" si="6"/>
        <v>0</v>
      </c>
      <c r="P46" s="7">
        <f t="shared" si="7"/>
        <v>24.25</v>
      </c>
      <c r="S46" s="49">
        <f t="shared" si="8"/>
        <v>22.116739842011171</v>
      </c>
      <c r="T46" s="55">
        <f t="shared" si="5"/>
        <v>22.116739842011171</v>
      </c>
      <c r="U46" s="58"/>
      <c r="V46" s="44"/>
      <c r="W46" s="44"/>
      <c r="X46" s="44"/>
      <c r="Y46" s="8">
        <v>11</v>
      </c>
      <c r="Z46" s="8">
        <v>4.2429921738321011E-2</v>
      </c>
      <c r="AA46" s="8">
        <v>2.0145227061234353E-3</v>
      </c>
      <c r="AC46" s="8">
        <v>61.764705882352942</v>
      </c>
      <c r="AD46" s="8">
        <v>4.5454545454545456E-2</v>
      </c>
    </row>
    <row r="47" spans="11:30" x14ac:dyDescent="0.3">
      <c r="K47" s="15">
        <v>36</v>
      </c>
      <c r="L47" s="16">
        <v>221</v>
      </c>
      <c r="M47" s="16">
        <v>218</v>
      </c>
      <c r="N47" s="16"/>
      <c r="O47" s="4">
        <f t="shared" si="6"/>
        <v>0</v>
      </c>
      <c r="P47" s="7">
        <f t="shared" si="7"/>
        <v>21.95</v>
      </c>
      <c r="S47" s="49">
        <f t="shared" si="8"/>
        <v>20.838025189860652</v>
      </c>
      <c r="T47" s="55">
        <f t="shared" si="5"/>
        <v>20.838025189860652</v>
      </c>
      <c r="U47" s="58"/>
      <c r="V47" s="44"/>
      <c r="W47" s="44"/>
      <c r="X47" s="44"/>
      <c r="Y47" s="8">
        <v>12</v>
      </c>
      <c r="Z47" s="8">
        <v>4.3012202973228594E-2</v>
      </c>
      <c r="AA47" s="8">
        <v>4.6605789633662187E-4</v>
      </c>
      <c r="AC47" s="8">
        <v>67.64705882352942</v>
      </c>
      <c r="AD47" s="8">
        <v>4.5454545454545456E-2</v>
      </c>
    </row>
    <row r="48" spans="11:30" x14ac:dyDescent="0.3">
      <c r="K48" s="15">
        <v>37</v>
      </c>
      <c r="L48" s="16">
        <v>230</v>
      </c>
      <c r="M48" s="16">
        <v>222</v>
      </c>
      <c r="N48" s="16"/>
      <c r="O48" s="4">
        <f t="shared" si="6"/>
        <v>0</v>
      </c>
      <c r="P48" s="7">
        <f t="shared" si="7"/>
        <v>22.6</v>
      </c>
      <c r="S48" s="49">
        <f t="shared" si="8"/>
        <v>21.209885372272701</v>
      </c>
      <c r="T48" s="55">
        <f t="shared" si="5"/>
        <v>21.209885372272701</v>
      </c>
      <c r="U48" s="58"/>
      <c r="V48" s="44"/>
      <c r="W48" s="44"/>
      <c r="X48" s="44"/>
      <c r="Y48" s="8">
        <v>13</v>
      </c>
      <c r="Z48" s="8">
        <v>4.2606088037014808E-2</v>
      </c>
      <c r="AA48" s="8">
        <v>8.7217283255040801E-4</v>
      </c>
      <c r="AC48" s="8">
        <v>73.529411764705884</v>
      </c>
      <c r="AD48" s="8">
        <v>4.878048780487805E-2</v>
      </c>
    </row>
    <row r="49" spans="11:30" x14ac:dyDescent="0.3">
      <c r="K49" s="15">
        <v>38</v>
      </c>
      <c r="L49" s="16">
        <v>237</v>
      </c>
      <c r="M49" s="16">
        <v>229</v>
      </c>
      <c r="N49" s="16"/>
      <c r="O49" s="4">
        <f t="shared" si="6"/>
        <v>0</v>
      </c>
      <c r="P49" s="7">
        <f t="shared" si="7"/>
        <v>23.3</v>
      </c>
      <c r="S49" s="49">
        <f t="shared" si="8"/>
        <v>21.600959833430675</v>
      </c>
      <c r="T49" s="55">
        <f t="shared" si="5"/>
        <v>21.600959833430675</v>
      </c>
      <c r="U49" s="58"/>
      <c r="V49" s="44"/>
      <c r="W49" s="44"/>
      <c r="X49" s="44"/>
      <c r="Y49" s="8">
        <v>14</v>
      </c>
      <c r="Z49" s="8">
        <v>4.1668317079146561E-2</v>
      </c>
      <c r="AA49" s="8">
        <v>1.2501378564757568E-3</v>
      </c>
      <c r="AC49" s="8">
        <v>79.411764705882348</v>
      </c>
      <c r="AD49" s="8">
        <v>5.4054054054054057E-2</v>
      </c>
    </row>
    <row r="50" spans="11:30" x14ac:dyDescent="0.3">
      <c r="K50" s="15">
        <v>40</v>
      </c>
      <c r="L50" s="16">
        <v>214</v>
      </c>
      <c r="M50" s="16">
        <v>223</v>
      </c>
      <c r="N50" s="16"/>
      <c r="O50" s="4">
        <f t="shared" si="6"/>
        <v>0</v>
      </c>
      <c r="P50" s="7">
        <f t="shared" si="7"/>
        <v>21.85</v>
      </c>
      <c r="S50" s="49">
        <f t="shared" si="8"/>
        <v>20.780051410213805</v>
      </c>
      <c r="T50" s="55">
        <f t="shared" si="5"/>
        <v>20.780051410213805</v>
      </c>
      <c r="U50" s="58"/>
      <c r="V50" s="44"/>
      <c r="W50" s="44"/>
      <c r="X50" s="44"/>
      <c r="Y50" s="8">
        <v>15</v>
      </c>
      <c r="Z50" s="8">
        <v>4.0576280768901726E-2</v>
      </c>
      <c r="AA50" s="8">
        <v>1.9769107204599748E-3</v>
      </c>
      <c r="AC50" s="8">
        <v>85.294117647058826</v>
      </c>
      <c r="AD50" s="8">
        <v>6.4516129032258063E-2</v>
      </c>
    </row>
    <row r="51" spans="11:30" x14ac:dyDescent="0.3">
      <c r="K51" s="16">
        <v>41</v>
      </c>
      <c r="L51" s="16">
        <v>281</v>
      </c>
      <c r="M51" s="16">
        <v>289</v>
      </c>
      <c r="N51" s="16"/>
      <c r="O51" s="4">
        <f t="shared" si="6"/>
        <v>0</v>
      </c>
      <c r="P51" s="7">
        <f t="shared" si="7"/>
        <v>28.5</v>
      </c>
      <c r="S51" s="49">
        <f t="shared" si="8"/>
        <v>24.233031864578518</v>
      </c>
      <c r="T51" s="55">
        <f t="shared" si="5"/>
        <v>24.233031864578518</v>
      </c>
      <c r="U51" s="58"/>
      <c r="V51" s="44"/>
      <c r="W51" s="44"/>
      <c r="X51" s="44"/>
      <c r="Y51" s="8">
        <v>16</v>
      </c>
      <c r="Z51" s="8">
        <v>4.1546117634128049E-2</v>
      </c>
      <c r="AA51" s="8">
        <v>1.0070738552336519E-3</v>
      </c>
      <c r="AC51" s="8">
        <v>91.176470588235304</v>
      </c>
      <c r="AD51" s="8">
        <v>8.6956521739130432E-2</v>
      </c>
    </row>
    <row r="52" spans="11:30" ht="15" thickBot="1" x14ac:dyDescent="0.35">
      <c r="K52" s="16">
        <v>42</v>
      </c>
      <c r="L52" s="16">
        <v>215</v>
      </c>
      <c r="M52" s="16">
        <v>213</v>
      </c>
      <c r="N52" s="16"/>
      <c r="O52" s="4">
        <f t="shared" si="6"/>
        <v>0</v>
      </c>
      <c r="P52" s="7">
        <f t="shared" si="7"/>
        <v>21.4</v>
      </c>
      <c r="S52" s="49">
        <f t="shared" si="8"/>
        <v>20.516592102702916</v>
      </c>
      <c r="T52" s="55">
        <f t="shared" si="5"/>
        <v>20.516592102702916</v>
      </c>
      <c r="U52" s="58"/>
      <c r="V52" s="44"/>
      <c r="W52" s="44"/>
      <c r="X52" s="44"/>
      <c r="Y52" s="9">
        <v>17</v>
      </c>
      <c r="Z52" s="9">
        <v>4.1148027528192216E-2</v>
      </c>
      <c r="AA52" s="9">
        <v>-1.9323412536824125E-3</v>
      </c>
      <c r="AC52" s="9">
        <v>97.058823529411768</v>
      </c>
      <c r="AD52" s="9">
        <v>0.18181818181818182</v>
      </c>
    </row>
    <row r="53" spans="11:30" x14ac:dyDescent="0.3">
      <c r="K53" s="16">
        <v>43</v>
      </c>
      <c r="L53" s="16">
        <v>194</v>
      </c>
      <c r="M53" s="16">
        <v>187</v>
      </c>
      <c r="N53" s="16"/>
      <c r="O53" s="4">
        <f t="shared" si="6"/>
        <v>0</v>
      </c>
      <c r="P53" s="7">
        <f t="shared" si="7"/>
        <v>19.05</v>
      </c>
      <c r="S53" s="49">
        <f t="shared" si="8"/>
        <v>19.0685028382136</v>
      </c>
      <c r="T53" s="55">
        <f t="shared" si="5"/>
        <v>19.0685028382136</v>
      </c>
      <c r="U53" s="58"/>
      <c r="V53" s="44"/>
      <c r="W53" s="44"/>
      <c r="X53" s="44"/>
    </row>
    <row r="54" spans="11:30" x14ac:dyDescent="0.3">
      <c r="K54" s="16">
        <v>44</v>
      </c>
      <c r="L54" s="16">
        <v>248</v>
      </c>
      <c r="M54" s="16">
        <v>247</v>
      </c>
      <c r="N54" s="16"/>
      <c r="O54" s="4">
        <f t="shared" si="6"/>
        <v>0</v>
      </c>
      <c r="P54" s="7">
        <f t="shared" si="7"/>
        <v>24.75</v>
      </c>
      <c r="S54" s="49">
        <f t="shared" si="8"/>
        <v>22.381534013825537</v>
      </c>
      <c r="T54" s="55">
        <f t="shared" si="5"/>
        <v>22.381534013825537</v>
      </c>
      <c r="U54" s="58"/>
      <c r="V54" s="44"/>
      <c r="W54" s="44"/>
      <c r="X54" s="44"/>
    </row>
    <row r="55" spans="11:30" x14ac:dyDescent="0.3">
      <c r="K55" s="16">
        <v>45</v>
      </c>
      <c r="L55" s="16">
        <v>258</v>
      </c>
      <c r="M55" s="16">
        <v>259</v>
      </c>
      <c r="N55" s="16"/>
      <c r="O55" s="4">
        <f t="shared" si="6"/>
        <v>0</v>
      </c>
      <c r="P55" s="7">
        <f t="shared" si="7"/>
        <v>25.85</v>
      </c>
      <c r="S55" s="49">
        <f t="shared" si="8"/>
        <v>22.948578294307026</v>
      </c>
      <c r="T55" s="55">
        <f t="shared" si="5"/>
        <v>22.948578294307026</v>
      </c>
      <c r="U55" s="58"/>
      <c r="V55" s="44"/>
      <c r="W55" s="44"/>
      <c r="X55" s="44"/>
    </row>
    <row r="56" spans="11:30" x14ac:dyDescent="0.3">
      <c r="K56" s="16">
        <v>46</v>
      </c>
      <c r="L56" s="16">
        <v>246</v>
      </c>
      <c r="M56" s="16">
        <v>258</v>
      </c>
      <c r="N56" s="16"/>
      <c r="O56" s="4">
        <f t="shared" si="6"/>
        <v>0</v>
      </c>
      <c r="P56" s="7">
        <f t="shared" si="7"/>
        <v>25.2</v>
      </c>
      <c r="S56" s="49">
        <f t="shared" si="8"/>
        <v>22.616041993968718</v>
      </c>
      <c r="T56" s="55">
        <f t="shared" si="5"/>
        <v>22.616041993968718</v>
      </c>
      <c r="U56" s="58"/>
      <c r="V56" s="44"/>
      <c r="W56" s="44"/>
      <c r="X56" s="44"/>
    </row>
    <row r="57" spans="11:30" x14ac:dyDescent="0.3">
      <c r="K57" s="16">
        <v>47</v>
      </c>
      <c r="L57" s="16">
        <v>197</v>
      </c>
      <c r="M57" s="16">
        <v>211</v>
      </c>
      <c r="N57" s="16"/>
      <c r="O57" s="4">
        <f t="shared" si="6"/>
        <v>0</v>
      </c>
      <c r="P57" s="7">
        <f t="shared" si="7"/>
        <v>20.399999999999999</v>
      </c>
      <c r="S57" s="49">
        <f t="shared" si="8"/>
        <v>19.915599572603977</v>
      </c>
      <c r="T57" s="55">
        <f t="shared" si="5"/>
        <v>19.915599572603977</v>
      </c>
      <c r="U57" s="58"/>
      <c r="V57" s="44"/>
      <c r="W57" s="44"/>
      <c r="X57" s="44"/>
    </row>
    <row r="58" spans="11:30" x14ac:dyDescent="0.3">
      <c r="K58" s="16">
        <v>48</v>
      </c>
      <c r="L58" s="16">
        <v>215</v>
      </c>
      <c r="M58" s="16">
        <v>213</v>
      </c>
      <c r="N58" s="16"/>
      <c r="O58" s="4">
        <f t="shared" si="6"/>
        <v>0</v>
      </c>
      <c r="P58" s="7">
        <f t="shared" si="7"/>
        <v>21.4</v>
      </c>
      <c r="S58" s="49">
        <f t="shared" si="8"/>
        <v>20.516592102702916</v>
      </c>
      <c r="T58" s="55">
        <f t="shared" si="5"/>
        <v>20.516592102702916</v>
      </c>
      <c r="U58" s="58"/>
      <c r="V58" s="44"/>
      <c r="W58" s="44"/>
      <c r="X58" s="44"/>
    </row>
    <row r="59" spans="11:30" x14ac:dyDescent="0.3">
      <c r="K59" s="16">
        <v>49</v>
      </c>
      <c r="L59" s="16">
        <v>249</v>
      </c>
      <c r="M59" s="16">
        <v>236</v>
      </c>
      <c r="N59" s="16"/>
      <c r="O59" s="4">
        <f t="shared" si="6"/>
        <v>0</v>
      </c>
      <c r="P59" s="7">
        <f t="shared" si="7"/>
        <v>24.25</v>
      </c>
      <c r="S59" s="49">
        <f t="shared" si="8"/>
        <v>22.116739842011171</v>
      </c>
      <c r="T59" s="55">
        <f t="shared" si="5"/>
        <v>22.116739842011171</v>
      </c>
      <c r="U59" s="58"/>
      <c r="V59" s="44"/>
      <c r="W59" s="44"/>
      <c r="X59" s="44"/>
    </row>
    <row r="60" spans="11:30" x14ac:dyDescent="0.3">
      <c r="K60" s="16">
        <v>50</v>
      </c>
      <c r="L60" s="16"/>
      <c r="M60" s="16"/>
      <c r="N60" s="16"/>
      <c r="O60" s="4">
        <f t="shared" si="6"/>
        <v>1</v>
      </c>
      <c r="P60" s="7">
        <f t="shared" si="7"/>
        <v>0</v>
      </c>
      <c r="S60" s="49">
        <f t="shared" si="8"/>
        <v>0</v>
      </c>
      <c r="T60" s="55">
        <f t="shared" si="5"/>
        <v>0</v>
      </c>
      <c r="U60" s="58"/>
      <c r="V60" s="44"/>
      <c r="W60" s="44"/>
      <c r="X60" s="44"/>
    </row>
    <row r="61" spans="11:30" x14ac:dyDescent="0.3">
      <c r="K61" s="16">
        <v>51</v>
      </c>
      <c r="L61" s="16"/>
      <c r="M61" s="16"/>
      <c r="N61" s="16"/>
      <c r="O61" s="4">
        <f t="shared" si="6"/>
        <v>1</v>
      </c>
      <c r="P61" s="7">
        <f t="shared" si="7"/>
        <v>0</v>
      </c>
      <c r="S61" s="49">
        <f t="shared" si="8"/>
        <v>0</v>
      </c>
      <c r="T61" s="55">
        <f t="shared" si="5"/>
        <v>0</v>
      </c>
      <c r="U61" s="58"/>
      <c r="V61" s="44"/>
      <c r="W61" s="44"/>
      <c r="X61" s="44"/>
    </row>
    <row r="62" spans="11:30" x14ac:dyDescent="0.3">
      <c r="K62" s="16">
        <v>53</v>
      </c>
      <c r="L62" s="16">
        <v>292</v>
      </c>
      <c r="M62" s="16">
        <v>283</v>
      </c>
      <c r="N62" s="16"/>
      <c r="O62" s="4">
        <f t="shared" si="6"/>
        <v>0</v>
      </c>
      <c r="P62" s="7">
        <f t="shared" si="7"/>
        <v>28.75</v>
      </c>
      <c r="S62" s="49">
        <f t="shared" si="8"/>
        <v>24.348630844908673</v>
      </c>
      <c r="T62" s="55">
        <f t="shared" si="5"/>
        <v>24.348630844908673</v>
      </c>
      <c r="U62" s="58"/>
      <c r="V62" s="44"/>
      <c r="W62" s="44"/>
      <c r="X62" s="44"/>
    </row>
    <row r="63" spans="11:30" x14ac:dyDescent="0.3">
      <c r="K63" s="16">
        <v>54</v>
      </c>
      <c r="L63" s="16">
        <v>242</v>
      </c>
      <c r="M63" s="16">
        <v>230</v>
      </c>
      <c r="N63" s="16"/>
      <c r="O63" s="4">
        <f t="shared" si="6"/>
        <v>0</v>
      </c>
      <c r="P63" s="7">
        <f t="shared" si="7"/>
        <v>23.6</v>
      </c>
      <c r="S63" s="49">
        <f t="shared" si="8"/>
        <v>21.765667102943084</v>
      </c>
      <c r="T63" s="55">
        <f t="shared" si="5"/>
        <v>21.765667102943084</v>
      </c>
      <c r="U63" s="58"/>
      <c r="V63" s="44"/>
      <c r="W63" s="44"/>
      <c r="X63" s="44"/>
    </row>
    <row r="64" spans="11:30" x14ac:dyDescent="0.3">
      <c r="K64" s="16">
        <v>55</v>
      </c>
      <c r="L64" s="16">
        <v>273</v>
      </c>
      <c r="M64" s="16">
        <v>257</v>
      </c>
      <c r="N64" s="16"/>
      <c r="O64" s="4">
        <f t="shared" si="6"/>
        <v>0</v>
      </c>
      <c r="P64" s="7">
        <f t="shared" si="7"/>
        <v>26.5</v>
      </c>
      <c r="S64" s="49">
        <f t="shared" si="8"/>
        <v>23.274001245187499</v>
      </c>
      <c r="T64" s="55">
        <f t="shared" si="5"/>
        <v>23.274001245187499</v>
      </c>
      <c r="U64" s="58"/>
      <c r="V64" s="44"/>
      <c r="W64" s="44"/>
      <c r="X64" s="44"/>
    </row>
    <row r="65" spans="11:24" x14ac:dyDescent="0.3">
      <c r="K65" s="16">
        <v>56</v>
      </c>
      <c r="L65" s="16">
        <v>141</v>
      </c>
      <c r="M65" s="16">
        <v>140</v>
      </c>
      <c r="N65" s="16"/>
      <c r="O65" s="4">
        <f t="shared" si="6"/>
        <v>0</v>
      </c>
      <c r="P65" s="7">
        <f t="shared" si="7"/>
        <v>14.05</v>
      </c>
      <c r="S65" s="49">
        <f t="shared" si="8"/>
        <v>15.518827677284445</v>
      </c>
      <c r="T65" s="55">
        <f t="shared" si="5"/>
        <v>15.518827677284445</v>
      </c>
      <c r="U65" s="58"/>
      <c r="V65" s="44"/>
      <c r="W65" s="44"/>
      <c r="X65" s="44"/>
    </row>
    <row r="66" spans="11:24" x14ac:dyDescent="0.3">
      <c r="K66" s="16">
        <v>57</v>
      </c>
      <c r="L66" s="16">
        <v>231</v>
      </c>
      <c r="M66" s="16">
        <v>225</v>
      </c>
      <c r="N66" s="16"/>
      <c r="O66" s="4">
        <f t="shared" si="6"/>
        <v>0</v>
      </c>
      <c r="P66" s="7">
        <f t="shared" si="7"/>
        <v>22.8</v>
      </c>
      <c r="S66" s="49">
        <f t="shared" si="8"/>
        <v>21.322599821218272</v>
      </c>
      <c r="T66" s="55">
        <f t="shared" si="5"/>
        <v>21.322599821218272</v>
      </c>
      <c r="U66" s="58"/>
      <c r="V66" s="44"/>
      <c r="W66" s="44"/>
      <c r="X66" s="44"/>
    </row>
    <row r="67" spans="11:24" x14ac:dyDescent="0.3">
      <c r="K67" s="16">
        <v>59</v>
      </c>
      <c r="L67" s="16">
        <v>212</v>
      </c>
      <c r="M67" s="16">
        <v>208</v>
      </c>
      <c r="N67" s="16"/>
      <c r="O67" s="4">
        <f t="shared" si="6"/>
        <v>0</v>
      </c>
      <c r="P67" s="7">
        <f t="shared" si="7"/>
        <v>21</v>
      </c>
      <c r="S67" s="49">
        <f t="shared" si="8"/>
        <v>20.278804666519004</v>
      </c>
      <c r="T67" s="55">
        <f t="shared" si="5"/>
        <v>20.278804666519004</v>
      </c>
      <c r="U67" s="58"/>
      <c r="V67" s="44"/>
      <c r="W67" s="44"/>
      <c r="X67" s="44"/>
    </row>
    <row r="68" spans="11:24" x14ac:dyDescent="0.3">
      <c r="K68" s="16">
        <v>60</v>
      </c>
      <c r="L68" s="16">
        <v>257</v>
      </c>
      <c r="M68" s="16">
        <v>254</v>
      </c>
      <c r="N68" s="16"/>
      <c r="O68" s="4">
        <f t="shared" si="6"/>
        <v>0</v>
      </c>
      <c r="P68" s="7">
        <f t="shared" si="7"/>
        <v>25.55</v>
      </c>
      <c r="S68" s="49">
        <f t="shared" si="8"/>
        <v>22.795997945858677</v>
      </c>
      <c r="T68" s="55">
        <f t="shared" si="5"/>
        <v>22.795997945858677</v>
      </c>
      <c r="U68" s="58"/>
      <c r="V68" s="44"/>
      <c r="W68" s="44"/>
      <c r="X68" s="44"/>
    </row>
    <row r="69" spans="11:24" x14ac:dyDescent="0.3">
      <c r="K69" s="16">
        <v>61</v>
      </c>
      <c r="L69" s="16">
        <v>227</v>
      </c>
      <c r="M69" s="16">
        <v>227</v>
      </c>
      <c r="N69" s="16"/>
      <c r="O69" s="4">
        <f t="shared" ref="O69:O84" si="9">IF(L69="",1,0)</f>
        <v>0</v>
      </c>
      <c r="P69" s="7">
        <f t="shared" ref="P69:P84" si="10">(L69+M69)/20</f>
        <v>22.7</v>
      </c>
      <c r="S69" s="49">
        <f t="shared" ref="S69:S84" si="11">P69/($W$4+$W$3*P69)</f>
        <v>21.266341516510444</v>
      </c>
      <c r="T69" s="55">
        <f t="shared" si="5"/>
        <v>21.266341516510444</v>
      </c>
      <c r="U69" s="58"/>
      <c r="V69" s="44"/>
      <c r="W69" s="44"/>
      <c r="X69" s="44"/>
    </row>
    <row r="70" spans="11:24" x14ac:dyDescent="0.3">
      <c r="K70" s="16">
        <v>62</v>
      </c>
      <c r="L70" s="16">
        <v>284</v>
      </c>
      <c r="M70" s="16">
        <v>279</v>
      </c>
      <c r="N70" s="16"/>
      <c r="O70" s="4">
        <f t="shared" si="9"/>
        <v>0</v>
      </c>
      <c r="P70" s="7">
        <f t="shared" si="10"/>
        <v>28.15</v>
      </c>
      <c r="S70" s="49">
        <f t="shared" si="11"/>
        <v>24.069637716968057</v>
      </c>
      <c r="T70" s="55">
        <f t="shared" ref="T70:T84" si="12">IF(N70&gt;0,N70,S70)</f>
        <v>24.069637716968057</v>
      </c>
      <c r="U70" s="58"/>
      <c r="V70" s="44"/>
      <c r="W70" s="44"/>
      <c r="X70" s="44"/>
    </row>
    <row r="71" spans="11:24" x14ac:dyDescent="0.3">
      <c r="K71" s="16">
        <v>63</v>
      </c>
      <c r="L71" s="16"/>
      <c r="M71" s="16"/>
      <c r="N71" s="16"/>
      <c r="O71" s="4">
        <f t="shared" si="9"/>
        <v>1</v>
      </c>
      <c r="P71" s="7">
        <f t="shared" si="10"/>
        <v>0</v>
      </c>
      <c r="S71" s="49">
        <f t="shared" si="11"/>
        <v>0</v>
      </c>
      <c r="T71" s="55">
        <f t="shared" si="12"/>
        <v>0</v>
      </c>
      <c r="U71" s="58"/>
      <c r="V71" s="44"/>
      <c r="W71" s="44"/>
      <c r="X71" s="44"/>
    </row>
    <row r="72" spans="11:24" x14ac:dyDescent="0.3">
      <c r="K72" s="16">
        <v>65</v>
      </c>
      <c r="L72" s="16">
        <v>240</v>
      </c>
      <c r="M72" s="16">
        <v>235</v>
      </c>
      <c r="N72" s="16"/>
      <c r="O72" s="4">
        <f t="shared" si="9"/>
        <v>0</v>
      </c>
      <c r="P72" s="7">
        <f t="shared" si="10"/>
        <v>23.75</v>
      </c>
      <c r="S72" s="49">
        <f t="shared" si="11"/>
        <v>21.847382036653329</v>
      </c>
      <c r="T72" s="55">
        <f t="shared" si="12"/>
        <v>21.847382036653329</v>
      </c>
      <c r="U72" s="58"/>
      <c r="V72" s="44"/>
      <c r="W72" s="44"/>
      <c r="X72" s="44"/>
    </row>
    <row r="73" spans="11:24" x14ac:dyDescent="0.3">
      <c r="K73" s="16">
        <v>66</v>
      </c>
      <c r="L73" s="16">
        <v>290</v>
      </c>
      <c r="M73" s="16">
        <v>289</v>
      </c>
      <c r="N73" s="16"/>
      <c r="O73" s="4">
        <f t="shared" si="9"/>
        <v>0</v>
      </c>
      <c r="P73" s="7">
        <f t="shared" si="10"/>
        <v>28.95</v>
      </c>
      <c r="S73" s="49">
        <f t="shared" si="11"/>
        <v>24.440451790009053</v>
      </c>
      <c r="T73" s="55">
        <f t="shared" si="12"/>
        <v>24.440451790009053</v>
      </c>
      <c r="U73" s="58"/>
      <c r="V73" s="44"/>
      <c r="W73" s="44"/>
      <c r="X73" s="44"/>
    </row>
    <row r="74" spans="11:24" x14ac:dyDescent="0.3">
      <c r="K74" s="16">
        <v>67</v>
      </c>
      <c r="L74" s="16">
        <v>270</v>
      </c>
      <c r="M74" s="16">
        <v>274</v>
      </c>
      <c r="N74" s="16"/>
      <c r="O74" s="4">
        <f t="shared" si="9"/>
        <v>0</v>
      </c>
      <c r="P74" s="7">
        <f t="shared" si="10"/>
        <v>27.2</v>
      </c>
      <c r="S74" s="49">
        <f t="shared" si="11"/>
        <v>23.616760384419262</v>
      </c>
      <c r="T74" s="55">
        <f t="shared" si="12"/>
        <v>23.616760384419262</v>
      </c>
      <c r="U74" s="58"/>
      <c r="V74" s="44"/>
      <c r="W74" s="44"/>
      <c r="X74" s="44"/>
    </row>
    <row r="75" spans="11:24" x14ac:dyDescent="0.3">
      <c r="K75" s="16">
        <v>68</v>
      </c>
      <c r="L75" s="16">
        <v>188</v>
      </c>
      <c r="M75" s="16">
        <v>198</v>
      </c>
      <c r="N75" s="16"/>
      <c r="O75" s="4">
        <f t="shared" si="9"/>
        <v>0</v>
      </c>
      <c r="P75" s="7">
        <f t="shared" si="10"/>
        <v>19.3</v>
      </c>
      <c r="S75" s="49">
        <f t="shared" si="11"/>
        <v>19.228593588800152</v>
      </c>
      <c r="T75" s="55">
        <f t="shared" si="12"/>
        <v>19.228593588800152</v>
      </c>
      <c r="U75" s="58"/>
      <c r="V75" s="44"/>
      <c r="W75" s="44"/>
      <c r="X75" s="44"/>
    </row>
    <row r="76" spans="11:24" x14ac:dyDescent="0.3">
      <c r="K76" s="16">
        <v>69</v>
      </c>
      <c r="L76" s="16">
        <v>170</v>
      </c>
      <c r="M76" s="16">
        <v>155</v>
      </c>
      <c r="N76" s="16"/>
      <c r="O76" s="4">
        <f t="shared" si="9"/>
        <v>0</v>
      </c>
      <c r="P76" s="7">
        <f t="shared" si="10"/>
        <v>16.25</v>
      </c>
      <c r="S76" s="49">
        <f t="shared" si="11"/>
        <v>17.167243918294471</v>
      </c>
      <c r="T76" s="55">
        <f t="shared" si="12"/>
        <v>17.167243918294471</v>
      </c>
      <c r="U76" s="58"/>
      <c r="V76" s="44"/>
      <c r="W76" s="44"/>
      <c r="X76" s="44"/>
    </row>
    <row r="77" spans="11:24" x14ac:dyDescent="0.3">
      <c r="K77" s="16">
        <v>70</v>
      </c>
      <c r="L77" s="16">
        <v>235</v>
      </c>
      <c r="M77" s="16">
        <v>239</v>
      </c>
      <c r="N77" s="16"/>
      <c r="O77" s="4">
        <f t="shared" si="9"/>
        <v>0</v>
      </c>
      <c r="P77" s="7">
        <f t="shared" si="10"/>
        <v>23.7</v>
      </c>
      <c r="S77" s="49">
        <f t="shared" si="11"/>
        <v>21.820190710167253</v>
      </c>
      <c r="T77" s="55">
        <f t="shared" si="12"/>
        <v>21.820190710167253</v>
      </c>
      <c r="U77" s="58"/>
      <c r="V77" s="44"/>
      <c r="W77" s="44"/>
      <c r="X77" s="44"/>
    </row>
    <row r="78" spans="11:24" x14ac:dyDescent="0.3">
      <c r="K78" s="16">
        <v>72</v>
      </c>
      <c r="L78" s="16">
        <v>198</v>
      </c>
      <c r="M78" s="16">
        <v>211</v>
      </c>
      <c r="N78" s="16"/>
      <c r="O78" s="4">
        <f t="shared" si="9"/>
        <v>0</v>
      </c>
      <c r="P78" s="7">
        <f t="shared" si="10"/>
        <v>20.45</v>
      </c>
      <c r="S78" s="49">
        <f t="shared" si="11"/>
        <v>19.946170868624602</v>
      </c>
      <c r="T78" s="55">
        <f t="shared" si="12"/>
        <v>19.946170868624602</v>
      </c>
      <c r="U78" s="58"/>
      <c r="V78" s="44"/>
      <c r="W78" s="44"/>
      <c r="X78" s="44"/>
    </row>
    <row r="79" spans="11:24" x14ac:dyDescent="0.3">
      <c r="K79" s="16">
        <v>74</v>
      </c>
      <c r="L79" s="16">
        <v>244</v>
      </c>
      <c r="M79" s="16">
        <v>236</v>
      </c>
      <c r="N79" s="16"/>
      <c r="O79" s="4">
        <f t="shared" si="9"/>
        <v>0</v>
      </c>
      <c r="P79" s="7">
        <f t="shared" si="10"/>
        <v>24</v>
      </c>
      <c r="S79" s="49">
        <f t="shared" si="11"/>
        <v>21.982638735572408</v>
      </c>
      <c r="T79" s="55">
        <f t="shared" si="12"/>
        <v>21.982638735572408</v>
      </c>
      <c r="U79" s="58"/>
      <c r="V79" s="44"/>
      <c r="W79" s="44"/>
      <c r="X79" s="44"/>
    </row>
    <row r="80" spans="11:24" x14ac:dyDescent="0.3">
      <c r="K80" s="16">
        <v>75</v>
      </c>
      <c r="L80" s="16">
        <v>236</v>
      </c>
      <c r="M80" s="16">
        <v>240</v>
      </c>
      <c r="N80" s="16"/>
      <c r="O80" s="4">
        <f t="shared" si="9"/>
        <v>0</v>
      </c>
      <c r="P80" s="7">
        <f t="shared" si="10"/>
        <v>23.8</v>
      </c>
      <c r="S80" s="49">
        <f t="shared" si="11"/>
        <v>21.874526540202393</v>
      </c>
      <c r="T80" s="55">
        <f t="shared" si="12"/>
        <v>21.874526540202393</v>
      </c>
      <c r="U80" s="58"/>
      <c r="V80" s="44"/>
      <c r="W80" s="44"/>
      <c r="X80" s="44"/>
    </row>
    <row r="81" spans="11:24" x14ac:dyDescent="0.3">
      <c r="K81" s="16">
        <v>76</v>
      </c>
      <c r="L81" s="16">
        <v>226</v>
      </c>
      <c r="M81" s="16">
        <v>218</v>
      </c>
      <c r="N81" s="16"/>
      <c r="O81" s="4">
        <f t="shared" si="9"/>
        <v>0</v>
      </c>
      <c r="P81" s="7">
        <f t="shared" si="10"/>
        <v>22.2</v>
      </c>
      <c r="S81" s="49">
        <f t="shared" si="11"/>
        <v>20.982061380344906</v>
      </c>
      <c r="T81" s="55">
        <f t="shared" si="12"/>
        <v>20.982061380344906</v>
      </c>
      <c r="U81" s="58"/>
      <c r="V81" s="44"/>
      <c r="W81" s="44"/>
      <c r="X81" s="44"/>
    </row>
    <row r="82" spans="11:24" x14ac:dyDescent="0.3">
      <c r="K82" s="16">
        <v>77</v>
      </c>
      <c r="L82" s="16">
        <v>179</v>
      </c>
      <c r="M82" s="16">
        <v>171</v>
      </c>
      <c r="N82" s="16"/>
      <c r="O82" s="4">
        <f t="shared" si="9"/>
        <v>0</v>
      </c>
      <c r="P82" s="7">
        <f t="shared" si="10"/>
        <v>17.5</v>
      </c>
      <c r="S82" s="49">
        <f t="shared" si="11"/>
        <v>18.041431378809918</v>
      </c>
      <c r="T82" s="55">
        <f t="shared" si="12"/>
        <v>18.041431378809918</v>
      </c>
      <c r="U82" s="58"/>
      <c r="V82" s="44"/>
      <c r="W82" s="44"/>
      <c r="X82" s="44"/>
    </row>
    <row r="83" spans="11:24" x14ac:dyDescent="0.3">
      <c r="K83" s="16">
        <v>78</v>
      </c>
      <c r="L83" s="16">
        <v>294</v>
      </c>
      <c r="M83" s="16">
        <v>301</v>
      </c>
      <c r="N83" s="16"/>
      <c r="O83" s="4">
        <f t="shared" si="9"/>
        <v>0</v>
      </c>
      <c r="P83" s="7">
        <f t="shared" si="10"/>
        <v>29.75</v>
      </c>
      <c r="S83" s="49">
        <f t="shared" si="11"/>
        <v>24.801998792801605</v>
      </c>
      <c r="T83" s="55">
        <f t="shared" si="12"/>
        <v>24.801998792801605</v>
      </c>
      <c r="U83" s="58"/>
      <c r="V83" s="44"/>
      <c r="W83" s="44"/>
      <c r="X83" s="44"/>
    </row>
    <row r="84" spans="11:24" x14ac:dyDescent="0.3">
      <c r="K84" s="16">
        <v>79</v>
      </c>
      <c r="L84" s="16">
        <v>182</v>
      </c>
      <c r="M84" s="16">
        <v>190</v>
      </c>
      <c r="N84" s="16"/>
      <c r="O84" s="4">
        <f t="shared" si="9"/>
        <v>0</v>
      </c>
      <c r="P84" s="7">
        <f t="shared" si="10"/>
        <v>18.600000000000001</v>
      </c>
      <c r="S84" s="49">
        <f t="shared" si="11"/>
        <v>18.776524390021837</v>
      </c>
      <c r="T84" s="55">
        <f t="shared" si="12"/>
        <v>18.776524390021837</v>
      </c>
      <c r="U84" s="58"/>
      <c r="V84" s="44"/>
      <c r="W84" s="44"/>
      <c r="X84" s="44"/>
    </row>
  </sheetData>
  <sortState ref="AD36:AD51">
    <sortCondition ref="AD35"/>
  </sortState>
  <mergeCells count="17">
    <mergeCell ref="B29:H29"/>
    <mergeCell ref="B8:H8"/>
    <mergeCell ref="S3:S4"/>
    <mergeCell ref="T3:T4"/>
    <mergeCell ref="Z8:AE10"/>
    <mergeCell ref="V5:W26"/>
    <mergeCell ref="A2:I2"/>
    <mergeCell ref="A3:I4"/>
    <mergeCell ref="A5:I6"/>
    <mergeCell ref="Q3:Q4"/>
    <mergeCell ref="R3:R4"/>
    <mergeCell ref="P3:P4"/>
    <mergeCell ref="N3:N4"/>
    <mergeCell ref="O3:O4"/>
    <mergeCell ref="K3:K4"/>
    <mergeCell ref="L3:L4"/>
    <mergeCell ref="M3:M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25</xdr:col>
                <xdr:colOff>22860</xdr:colOff>
                <xdr:row>1</xdr:row>
                <xdr:rowOff>114300</xdr:rowOff>
              </from>
              <to>
                <xdr:col>30</xdr:col>
                <xdr:colOff>22860</xdr:colOff>
                <xdr:row>4</xdr:row>
                <xdr:rowOff>22860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1"/>
  <sheetViews>
    <sheetView tabSelected="1" zoomScale="136" zoomScaleNormal="136" workbookViewId="0">
      <selection activeCell="F8" sqref="F8"/>
    </sheetView>
  </sheetViews>
  <sheetFormatPr defaultRowHeight="14.4" x14ac:dyDescent="0.3"/>
  <cols>
    <col min="1" max="1" width="6.44140625" customWidth="1"/>
    <col min="2" max="2" width="8.21875" customWidth="1"/>
    <col min="3" max="3" width="7.77734375" customWidth="1"/>
    <col min="4" max="4" width="6.44140625" customWidth="1"/>
    <col min="5" max="5" width="8.21875" style="1" customWidth="1"/>
    <col min="6" max="6" width="7" customWidth="1"/>
    <col min="7" max="7" width="9" customWidth="1"/>
    <col min="8" max="8" width="7.5546875" customWidth="1"/>
    <col min="15" max="19" width="10.109375" customWidth="1"/>
  </cols>
  <sheetData>
    <row r="1" spans="1:38" ht="16.2" x14ac:dyDescent="0.3">
      <c r="A1" s="59" t="s">
        <v>108</v>
      </c>
      <c r="H1" s="70" t="s">
        <v>109</v>
      </c>
      <c r="L1" s="70" t="s">
        <v>110</v>
      </c>
      <c r="U1" t="s">
        <v>101</v>
      </c>
      <c r="X1" s="50">
        <v>1.8735554564004872E-2</v>
      </c>
      <c r="Y1" t="s">
        <v>47</v>
      </c>
    </row>
    <row r="2" spans="1:38" ht="16.2" x14ac:dyDescent="0.3">
      <c r="A2" t="s">
        <v>92</v>
      </c>
      <c r="D2">
        <v>1600</v>
      </c>
      <c r="E2" s="69" t="s">
        <v>106</v>
      </c>
      <c r="F2" t="s">
        <v>100</v>
      </c>
      <c r="G2" s="66">
        <f>10000/D2</f>
        <v>6.25</v>
      </c>
      <c r="H2" s="92"/>
      <c r="I2" s="92"/>
      <c r="J2" s="92"/>
      <c r="L2" s="92"/>
      <c r="M2" s="92"/>
      <c r="N2" s="92"/>
      <c r="O2" s="92"/>
      <c r="P2" s="92"/>
      <c r="U2" s="59"/>
      <c r="V2" s="68" t="s">
        <v>102</v>
      </c>
      <c r="X2" s="50">
        <v>0.64211735042396734</v>
      </c>
      <c r="Y2" t="s">
        <v>46</v>
      </c>
    </row>
    <row r="3" spans="1:38" x14ac:dyDescent="0.3">
      <c r="A3" t="s">
        <v>93</v>
      </c>
      <c r="D3">
        <f>16</f>
        <v>16</v>
      </c>
      <c r="E3" s="69"/>
      <c r="H3" s="92"/>
      <c r="I3" s="92"/>
      <c r="J3" s="92"/>
      <c r="L3" s="92"/>
      <c r="M3" s="92"/>
      <c r="N3" s="92"/>
      <c r="O3" s="92"/>
      <c r="P3" s="92"/>
      <c r="V3" t="s">
        <v>103</v>
      </c>
    </row>
    <row r="4" spans="1:38" ht="16.2" x14ac:dyDescent="0.3">
      <c r="A4" t="s">
        <v>95</v>
      </c>
      <c r="D4">
        <v>1</v>
      </c>
      <c r="E4" s="69" t="s">
        <v>107</v>
      </c>
      <c r="H4" s="92"/>
      <c r="I4" s="92"/>
      <c r="J4" s="92"/>
      <c r="L4" s="92"/>
      <c r="M4" s="92"/>
      <c r="N4" s="92"/>
      <c r="O4" s="92"/>
      <c r="P4" s="92"/>
      <c r="V4" t="s">
        <v>104</v>
      </c>
    </row>
    <row r="5" spans="1:38" x14ac:dyDescent="0.3">
      <c r="A5" t="s">
        <v>96</v>
      </c>
      <c r="D5" s="67" t="s">
        <v>97</v>
      </c>
      <c r="E5" s="69" t="s">
        <v>106</v>
      </c>
      <c r="H5" s="92"/>
      <c r="I5" s="92"/>
      <c r="J5" s="92"/>
      <c r="L5" s="91" t="s">
        <v>111</v>
      </c>
      <c r="M5" s="91" t="s">
        <v>112</v>
      </c>
      <c r="N5" s="91" t="s">
        <v>113</v>
      </c>
      <c r="O5" s="91" t="s">
        <v>114</v>
      </c>
    </row>
    <row r="6" spans="1:38" x14ac:dyDescent="0.3">
      <c r="A6" t="s">
        <v>98</v>
      </c>
      <c r="D6">
        <v>13</v>
      </c>
      <c r="E6" s="69" t="s">
        <v>107</v>
      </c>
      <c r="H6" s="92"/>
      <c r="I6" s="92"/>
      <c r="J6" s="92"/>
      <c r="L6" s="86">
        <v>-1.770086</v>
      </c>
      <c r="M6" s="30">
        <v>-0.233239</v>
      </c>
      <c r="N6" s="30">
        <v>0.54879800000000001</v>
      </c>
      <c r="O6" s="30">
        <v>-5.5273999999999997E-2</v>
      </c>
    </row>
    <row r="7" spans="1:38" x14ac:dyDescent="0.3">
      <c r="H7" s="89" t="s">
        <v>132</v>
      </c>
      <c r="I7" s="89" t="s">
        <v>133</v>
      </c>
      <c r="J7" s="90" t="s">
        <v>134</v>
      </c>
    </row>
    <row r="8" spans="1:38" ht="15.6" x14ac:dyDescent="0.3">
      <c r="H8" s="87">
        <v>61.1372</v>
      </c>
      <c r="I8" s="87">
        <v>0.48049999999999998</v>
      </c>
      <c r="J8" s="88">
        <v>10</v>
      </c>
    </row>
    <row r="9" spans="1:38" s="59" customFormat="1" ht="15" thickBot="1" x14ac:dyDescent="0.35">
      <c r="A9" s="82" t="s">
        <v>91</v>
      </c>
      <c r="B9" s="82"/>
      <c r="C9" s="82"/>
      <c r="D9" s="82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</row>
    <row r="10" spans="1:38" s="59" customFormat="1" x14ac:dyDescent="0.3">
      <c r="A10" s="84"/>
      <c r="B10" s="84"/>
      <c r="C10" s="84"/>
      <c r="D10" s="84"/>
      <c r="E10" s="85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</row>
    <row r="11" spans="1:38" x14ac:dyDescent="0.3">
      <c r="A11" s="213" t="s">
        <v>122</v>
      </c>
      <c r="B11" s="213"/>
      <c r="C11" s="213"/>
      <c r="D11" s="213"/>
      <c r="E11" s="213"/>
      <c r="F11" s="213"/>
      <c r="G11" s="213"/>
      <c r="H11" s="213"/>
      <c r="I11" s="73">
        <f>AVERAGE($H$22:$H$101)</f>
        <v>23.328571428571429</v>
      </c>
    </row>
    <row r="12" spans="1:38" x14ac:dyDescent="0.3">
      <c r="A12" s="214" t="s">
        <v>99</v>
      </c>
      <c r="B12" s="214"/>
      <c r="C12" s="214"/>
      <c r="D12" s="214"/>
      <c r="E12" s="214"/>
      <c r="F12" s="214"/>
      <c r="G12" s="214"/>
      <c r="H12" s="214"/>
      <c r="I12" s="73">
        <f>$H$8*($I$11/$H$8)^(($D$6/$J$8)^$I$8)</f>
        <v>20.496080132356497</v>
      </c>
    </row>
    <row r="13" spans="1:38" x14ac:dyDescent="0.3">
      <c r="A13" s="213" t="s">
        <v>123</v>
      </c>
      <c r="B13" s="213"/>
      <c r="C13" s="213"/>
      <c r="D13" s="213"/>
      <c r="E13" s="213"/>
      <c r="F13" s="213"/>
      <c r="G13" s="213"/>
      <c r="H13" s="213"/>
      <c r="I13" s="75">
        <f>J13*$G$2</f>
        <v>462.5</v>
      </c>
      <c r="J13">
        <f>COUNTIF(E22:E101,0)</f>
        <v>74</v>
      </c>
      <c r="K13" s="77" t="s">
        <v>127</v>
      </c>
    </row>
    <row r="14" spans="1:38" x14ac:dyDescent="0.3">
      <c r="A14" s="213" t="s">
        <v>124</v>
      </c>
      <c r="B14" s="213"/>
      <c r="C14" s="213"/>
      <c r="D14" s="213"/>
      <c r="E14" s="213"/>
      <c r="F14" s="213"/>
      <c r="G14" s="213"/>
      <c r="H14" s="213"/>
      <c r="I14" s="75">
        <f>J14*$G$2</f>
        <v>37.5</v>
      </c>
      <c r="J14">
        <f>COUNTIF(E22:E101,1)</f>
        <v>6</v>
      </c>
      <c r="K14" s="77" t="s">
        <v>128</v>
      </c>
    </row>
    <row r="15" spans="1:38" ht="16.2" x14ac:dyDescent="0.3">
      <c r="A15" s="213" t="s">
        <v>125</v>
      </c>
      <c r="B15" s="213"/>
      <c r="C15" s="213"/>
      <c r="D15" s="213"/>
      <c r="E15" s="213"/>
      <c r="F15" s="213"/>
      <c r="G15" s="213"/>
      <c r="H15" s="213"/>
      <c r="I15" s="76">
        <f>J15*$G$2</f>
        <v>19.821083632184358</v>
      </c>
      <c r="J15">
        <f>SUM(I22:I101)</f>
        <v>3.1713733811494973</v>
      </c>
      <c r="K15" s="77" t="s">
        <v>129</v>
      </c>
    </row>
    <row r="16" spans="1:38" x14ac:dyDescent="0.3">
      <c r="A16" s="213" t="s">
        <v>126</v>
      </c>
      <c r="B16" s="213"/>
      <c r="C16" s="213"/>
      <c r="D16" s="213"/>
      <c r="E16" s="213"/>
      <c r="F16" s="213"/>
      <c r="G16" s="213"/>
      <c r="H16" s="213"/>
      <c r="I16" s="73">
        <f>SQRT((4*I15)/(PI()*I13))*100</f>
        <v>23.359464775430848</v>
      </c>
    </row>
    <row r="17" spans="1:38" ht="15" customHeight="1" x14ac:dyDescent="0.55000000000000004">
      <c r="A17" s="215" t="s">
        <v>105</v>
      </c>
      <c r="B17" s="215"/>
      <c r="C17" s="215"/>
      <c r="D17" s="215"/>
      <c r="E17" s="215"/>
      <c r="F17" s="215"/>
      <c r="G17" s="215"/>
      <c r="H17" s="215"/>
      <c r="I17" s="74">
        <f>AVERAGE(J22:J101)</f>
        <v>28.049999999999997</v>
      </c>
      <c r="J17" s="64"/>
    </row>
    <row r="19" spans="1:38" s="59" customFormat="1" ht="15" thickBot="1" x14ac:dyDescent="0.35">
      <c r="A19" s="82" t="s">
        <v>90</v>
      </c>
      <c r="B19" s="82"/>
      <c r="C19" s="82"/>
      <c r="D19" s="82"/>
      <c r="E19" s="8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</row>
    <row r="20" spans="1:38" ht="7.8" customHeight="1" x14ac:dyDescent="0.3"/>
    <row r="21" spans="1:38" ht="27" customHeight="1" x14ac:dyDescent="0.3">
      <c r="A21" s="78" t="s">
        <v>7</v>
      </c>
      <c r="B21" s="53" t="s">
        <v>121</v>
      </c>
      <c r="C21" s="53" t="s">
        <v>119</v>
      </c>
      <c r="D21" s="53" t="s">
        <v>120</v>
      </c>
      <c r="E21" s="29" t="s">
        <v>117</v>
      </c>
      <c r="F21" s="29" t="s">
        <v>118</v>
      </c>
      <c r="G21" s="65" t="s">
        <v>94</v>
      </c>
      <c r="H21" s="81" t="s">
        <v>115</v>
      </c>
      <c r="I21" s="81" t="s">
        <v>130</v>
      </c>
      <c r="J21" s="81" t="s">
        <v>116</v>
      </c>
      <c r="K21" s="81" t="s">
        <v>131</v>
      </c>
      <c r="L21" s="71"/>
    </row>
    <row r="22" spans="1:38" ht="14.4" customHeight="1" x14ac:dyDescent="0.3">
      <c r="A22" s="15">
        <v>1</v>
      </c>
      <c r="B22" s="16">
        <v>235</v>
      </c>
      <c r="C22" s="16">
        <v>217</v>
      </c>
      <c r="D22" s="16">
        <v>18.5</v>
      </c>
      <c r="E22" s="4">
        <f t="shared" ref="E22:E53" si="0">IF(B22="",1,0)</f>
        <v>0</v>
      </c>
      <c r="F22" s="7">
        <f t="shared" ref="F22:F53" si="1">(B22+C22)/20</f>
        <v>22.6</v>
      </c>
      <c r="G22" s="55"/>
      <c r="H22" s="72" t="str">
        <f>IF(AND(D22&lt;&gt;"",G22&lt;&gt;""),D22,"")</f>
        <v/>
      </c>
      <c r="I22" s="7">
        <f>PI()*F22^2/40000</f>
        <v>4.0114996593688071E-2</v>
      </c>
      <c r="J22" s="7" t="str">
        <f>IF(AND(F22&lt;&gt;0,G22&lt;&gt;""),F22,"")</f>
        <v/>
      </c>
      <c r="K22" s="7">
        <f>IF(E22=0,$I$11*EXP(($L$6+$M$6*$I$11+$N$6*$I$13/1000+$O$6*$I$16)*((1/F22)-(1/$I$17))),"")</f>
        <v>21.731537327128052</v>
      </c>
    </row>
    <row r="23" spans="1:38" ht="14.4" customHeight="1" x14ac:dyDescent="0.3">
      <c r="A23" s="63">
        <v>2</v>
      </c>
      <c r="B23" s="60">
        <v>272</v>
      </c>
      <c r="C23" s="60">
        <v>272</v>
      </c>
      <c r="D23" s="60"/>
      <c r="E23" s="61">
        <f t="shared" si="0"/>
        <v>0</v>
      </c>
      <c r="F23" s="62">
        <f t="shared" si="1"/>
        <v>27.2</v>
      </c>
      <c r="G23" s="79">
        <v>11</v>
      </c>
      <c r="H23" s="72" t="str">
        <f>IF(AND(D23&lt;&gt;"",G23&lt;&gt;""),D23,"")</f>
        <v/>
      </c>
      <c r="I23" s="7">
        <f t="shared" ref="I23:I86" si="2">PI()*F23^2/40000</f>
        <v>5.8106897720796802E-2</v>
      </c>
      <c r="J23" s="7">
        <f t="shared" ref="J23:J86" si="3">IF(AND(F23&lt;&gt;0,G23&lt;&gt;""),F23,"")</f>
        <v>27.2</v>
      </c>
      <c r="K23" s="7">
        <f>IF(E23=0,$I$11*EXP(($L$6+$M$6*$I$11+$N$6*$I$13/1000+$O$6*$I$16)*((1/F23)-(1/$I$17))),"")</f>
        <v>23.115173580911879</v>
      </c>
    </row>
    <row r="24" spans="1:38" x14ac:dyDescent="0.3">
      <c r="A24" s="15">
        <v>3</v>
      </c>
      <c r="B24" s="16">
        <v>212</v>
      </c>
      <c r="C24" s="16">
        <v>217</v>
      </c>
      <c r="D24" s="16">
        <v>22.5</v>
      </c>
      <c r="E24" s="4">
        <f t="shared" si="0"/>
        <v>0</v>
      </c>
      <c r="F24" s="7">
        <f t="shared" si="1"/>
        <v>21.45</v>
      </c>
      <c r="G24" s="80"/>
      <c r="H24" s="72" t="str">
        <f t="shared" ref="H23:H86" si="4">IF(AND(D24&lt;&gt;"",G24&lt;&gt;""),D24,"")</f>
        <v/>
      </c>
      <c r="I24" s="7">
        <f t="shared" si="2"/>
        <v>3.6136365847457441E-2</v>
      </c>
      <c r="J24" s="7" t="str">
        <f t="shared" si="3"/>
        <v/>
      </c>
      <c r="K24" s="7">
        <f t="shared" ref="K22:K53" si="5">IF(E24=0,$I$11*EXP(($L$6+$M$6*$I$11+$N$6*$I$13/1000+$O$6*$I$16)*((1/F24)-(1/$I$17))),"")</f>
        <v>21.310433585593891</v>
      </c>
    </row>
    <row r="25" spans="1:38" ht="14.4" customHeight="1" x14ac:dyDescent="0.3">
      <c r="A25" s="15">
        <v>4</v>
      </c>
      <c r="B25" s="16">
        <v>216</v>
      </c>
      <c r="C25" s="16">
        <v>218</v>
      </c>
      <c r="D25" s="16"/>
      <c r="E25" s="4">
        <f t="shared" si="0"/>
        <v>0</v>
      </c>
      <c r="F25" s="7">
        <f t="shared" si="1"/>
        <v>21.7</v>
      </c>
      <c r="G25" s="80"/>
      <c r="H25" s="72" t="str">
        <f t="shared" si="4"/>
        <v/>
      </c>
      <c r="I25" s="7">
        <f t="shared" si="2"/>
        <v>3.6983614116222439E-2</v>
      </c>
      <c r="J25" s="7" t="str">
        <f t="shared" si="3"/>
        <v/>
      </c>
      <c r="K25" s="7">
        <f t="shared" si="5"/>
        <v>21.40505432606216</v>
      </c>
    </row>
    <row r="26" spans="1:38" x14ac:dyDescent="0.3">
      <c r="A26" s="15">
        <v>5</v>
      </c>
      <c r="B26" s="16">
        <v>267</v>
      </c>
      <c r="C26" s="16">
        <v>249</v>
      </c>
      <c r="D26" s="16"/>
      <c r="E26" s="4">
        <f t="shared" si="0"/>
        <v>0</v>
      </c>
      <c r="F26" s="7">
        <f t="shared" si="1"/>
        <v>25.8</v>
      </c>
      <c r="G26" s="80"/>
      <c r="H26" s="72" t="str">
        <f t="shared" si="4"/>
        <v/>
      </c>
      <c r="I26" s="7">
        <f t="shared" si="2"/>
        <v>5.2279243348387752E-2</v>
      </c>
      <c r="J26" s="7" t="str">
        <f t="shared" si="3"/>
        <v/>
      </c>
      <c r="K26" s="7">
        <f t="shared" si="5"/>
        <v>22.737908283018246</v>
      </c>
    </row>
    <row r="27" spans="1:38" x14ac:dyDescent="0.3">
      <c r="A27" s="63">
        <v>6</v>
      </c>
      <c r="B27" s="60">
        <v>272</v>
      </c>
      <c r="C27" s="60">
        <v>265</v>
      </c>
      <c r="D27" s="60"/>
      <c r="E27" s="61">
        <f t="shared" si="0"/>
        <v>0</v>
      </c>
      <c r="F27" s="62">
        <f t="shared" si="1"/>
        <v>26.85</v>
      </c>
      <c r="G27" s="79">
        <v>16</v>
      </c>
      <c r="H27" s="72" t="str">
        <f>IF(AND(D27&lt;&gt;"",G27&lt;&gt;""),D27,"")</f>
        <v/>
      </c>
      <c r="I27" s="7">
        <f t="shared" si="2"/>
        <v>5.6621120745189706E-2</v>
      </c>
      <c r="J27" s="7">
        <f t="shared" si="3"/>
        <v>26.85</v>
      </c>
      <c r="K27" s="7">
        <f t="shared" si="5"/>
        <v>23.023978251914489</v>
      </c>
    </row>
    <row r="28" spans="1:38" x14ac:dyDescent="0.3">
      <c r="A28" s="15">
        <v>7</v>
      </c>
      <c r="B28" s="16">
        <v>254</v>
      </c>
      <c r="C28" s="16">
        <v>241</v>
      </c>
      <c r="D28" s="16"/>
      <c r="E28" s="4">
        <f t="shared" si="0"/>
        <v>0</v>
      </c>
      <c r="F28" s="7">
        <f t="shared" si="1"/>
        <v>24.75</v>
      </c>
      <c r="G28" s="80"/>
      <c r="H28" s="72" t="str">
        <f t="shared" si="4"/>
        <v/>
      </c>
      <c r="I28" s="7">
        <f t="shared" si="2"/>
        <v>4.8110546246614941E-2</v>
      </c>
      <c r="J28" s="7" t="str">
        <f t="shared" si="3"/>
        <v/>
      </c>
      <c r="K28" s="7">
        <f t="shared" si="5"/>
        <v>22.431583847163566</v>
      </c>
    </row>
    <row r="29" spans="1:38" x14ac:dyDescent="0.3">
      <c r="A29" s="15">
        <v>8</v>
      </c>
      <c r="B29" s="16">
        <v>262</v>
      </c>
      <c r="C29" s="16">
        <v>267</v>
      </c>
      <c r="D29" s="16">
        <v>23</v>
      </c>
      <c r="E29" s="4">
        <f t="shared" si="0"/>
        <v>0</v>
      </c>
      <c r="F29" s="7">
        <f t="shared" si="1"/>
        <v>26.45</v>
      </c>
      <c r="G29" s="80"/>
      <c r="H29" s="72" t="str">
        <f t="shared" si="4"/>
        <v/>
      </c>
      <c r="I29" s="7">
        <f t="shared" si="2"/>
        <v>5.4946651860826333E-2</v>
      </c>
      <c r="J29" s="7" t="str">
        <f t="shared" si="3"/>
        <v/>
      </c>
      <c r="K29" s="7">
        <f t="shared" si="5"/>
        <v>22.917259524250685</v>
      </c>
    </row>
    <row r="30" spans="1:38" x14ac:dyDescent="0.3">
      <c r="A30" s="15">
        <v>9</v>
      </c>
      <c r="B30" s="16">
        <v>145</v>
      </c>
      <c r="C30" s="16">
        <v>141</v>
      </c>
      <c r="D30" s="16">
        <v>15.5</v>
      </c>
      <c r="E30" s="4">
        <f t="shared" si="0"/>
        <v>0</v>
      </c>
      <c r="F30" s="7">
        <f t="shared" si="1"/>
        <v>14.3</v>
      </c>
      <c r="G30" s="80"/>
      <c r="H30" s="72" t="str">
        <f t="shared" si="4"/>
        <v/>
      </c>
      <c r="I30" s="7">
        <f t="shared" si="2"/>
        <v>1.6060607043314419E-2</v>
      </c>
      <c r="J30" s="7" t="str">
        <f t="shared" si="3"/>
        <v/>
      </c>
      <c r="K30" s="7">
        <f t="shared" si="5"/>
        <v>17.582822274351898</v>
      </c>
    </row>
    <row r="31" spans="1:38" x14ac:dyDescent="0.3">
      <c r="A31" s="15">
        <v>10</v>
      </c>
      <c r="B31" s="16"/>
      <c r="C31" s="16"/>
      <c r="D31" s="16"/>
      <c r="E31" s="4">
        <f t="shared" si="0"/>
        <v>1</v>
      </c>
      <c r="F31" s="7">
        <f t="shared" si="1"/>
        <v>0</v>
      </c>
      <c r="G31" s="80"/>
      <c r="H31" s="72" t="str">
        <f t="shared" si="4"/>
        <v/>
      </c>
      <c r="I31" s="7">
        <f t="shared" si="2"/>
        <v>0</v>
      </c>
      <c r="J31" s="7" t="str">
        <f t="shared" si="3"/>
        <v/>
      </c>
      <c r="K31" s="7" t="str">
        <f t="shared" si="5"/>
        <v/>
      </c>
    </row>
    <row r="32" spans="1:38" x14ac:dyDescent="0.3">
      <c r="A32" s="63">
        <v>11</v>
      </c>
      <c r="B32" s="60">
        <v>295</v>
      </c>
      <c r="C32" s="60">
        <v>293</v>
      </c>
      <c r="D32" s="60">
        <v>23.5</v>
      </c>
      <c r="E32" s="61">
        <f t="shared" si="0"/>
        <v>0</v>
      </c>
      <c r="F32" s="62">
        <f t="shared" si="1"/>
        <v>29.4</v>
      </c>
      <c r="G32" s="79">
        <v>2</v>
      </c>
      <c r="H32" s="72">
        <f>IF(AND(D32&lt;&gt;"",G32&lt;&gt;""),D32,"")</f>
        <v>23.5</v>
      </c>
      <c r="I32" s="7">
        <f t="shared" si="2"/>
        <v>6.7886675651421827E-2</v>
      </c>
      <c r="J32" s="7">
        <f t="shared" si="3"/>
        <v>29.4</v>
      </c>
      <c r="K32" s="7">
        <f t="shared" si="5"/>
        <v>23.645714967459359</v>
      </c>
    </row>
    <row r="33" spans="1:11" x14ac:dyDescent="0.3">
      <c r="A33" s="15">
        <v>12</v>
      </c>
      <c r="B33" s="16">
        <v>223</v>
      </c>
      <c r="C33" s="16">
        <v>220</v>
      </c>
      <c r="D33" s="16"/>
      <c r="E33" s="4">
        <f t="shared" si="0"/>
        <v>0</v>
      </c>
      <c r="F33" s="7">
        <f t="shared" si="1"/>
        <v>22.15</v>
      </c>
      <c r="G33" s="80"/>
      <c r="H33" s="72" t="str">
        <f t="shared" si="4"/>
        <v/>
      </c>
      <c r="I33" s="7">
        <f t="shared" si="2"/>
        <v>3.8533401042146455E-2</v>
      </c>
      <c r="J33" s="7" t="str">
        <f t="shared" si="3"/>
        <v/>
      </c>
      <c r="K33" s="7">
        <f t="shared" si="5"/>
        <v>21.570994706156029</v>
      </c>
    </row>
    <row r="34" spans="1:11" x14ac:dyDescent="0.3">
      <c r="A34" s="15">
        <v>13</v>
      </c>
      <c r="B34" s="16">
        <v>205</v>
      </c>
      <c r="C34" s="16">
        <v>205</v>
      </c>
      <c r="D34" s="16"/>
      <c r="E34" s="4">
        <f t="shared" si="0"/>
        <v>0</v>
      </c>
      <c r="F34" s="7">
        <f t="shared" si="1"/>
        <v>20.5</v>
      </c>
      <c r="G34" s="80"/>
      <c r="H34" s="72" t="str">
        <f t="shared" si="4"/>
        <v/>
      </c>
      <c r="I34" s="7">
        <f t="shared" si="2"/>
        <v>3.3006357816777764E-2</v>
      </c>
      <c r="J34" s="7" t="str">
        <f t="shared" si="3"/>
        <v/>
      </c>
      <c r="K34" s="7">
        <f t="shared" si="5"/>
        <v>20.934033689032432</v>
      </c>
    </row>
    <row r="35" spans="1:11" x14ac:dyDescent="0.3">
      <c r="A35" s="15">
        <v>14</v>
      </c>
      <c r="B35" s="16"/>
      <c r="C35" s="16"/>
      <c r="D35" s="16"/>
      <c r="E35" s="4">
        <f t="shared" si="0"/>
        <v>1</v>
      </c>
      <c r="F35" s="7">
        <f t="shared" si="1"/>
        <v>0</v>
      </c>
      <c r="G35" s="80"/>
      <c r="H35" s="72" t="str">
        <f t="shared" si="4"/>
        <v/>
      </c>
      <c r="I35" s="7">
        <f t="shared" si="2"/>
        <v>0</v>
      </c>
      <c r="J35" s="7" t="str">
        <f t="shared" si="3"/>
        <v/>
      </c>
      <c r="K35" s="7" t="str">
        <f t="shared" si="5"/>
        <v/>
      </c>
    </row>
    <row r="36" spans="1:11" x14ac:dyDescent="0.3">
      <c r="A36" s="15">
        <v>15</v>
      </c>
      <c r="B36" s="16">
        <v>246</v>
      </c>
      <c r="C36" s="16">
        <v>254</v>
      </c>
      <c r="D36" s="16"/>
      <c r="E36" s="4">
        <f t="shared" si="0"/>
        <v>0</v>
      </c>
      <c r="F36" s="7">
        <f t="shared" si="1"/>
        <v>25</v>
      </c>
      <c r="G36" s="80"/>
      <c r="H36" s="72" t="str">
        <f t="shared" si="4"/>
        <v/>
      </c>
      <c r="I36" s="7">
        <f t="shared" si="2"/>
        <v>4.9087385212340517E-2</v>
      </c>
      <c r="J36" s="7" t="str">
        <f t="shared" si="3"/>
        <v/>
      </c>
      <c r="K36" s="7">
        <f t="shared" si="5"/>
        <v>22.506467554005358</v>
      </c>
    </row>
    <row r="37" spans="1:11" x14ac:dyDescent="0.3">
      <c r="A37" s="63">
        <v>16</v>
      </c>
      <c r="B37" s="60">
        <v>278</v>
      </c>
      <c r="C37" s="60">
        <v>289</v>
      </c>
      <c r="D37" s="60"/>
      <c r="E37" s="61">
        <f t="shared" si="0"/>
        <v>0</v>
      </c>
      <c r="F37" s="62">
        <f t="shared" si="1"/>
        <v>28.35</v>
      </c>
      <c r="G37" s="79">
        <v>7</v>
      </c>
      <c r="H37" s="72" t="str">
        <f t="shared" si="4"/>
        <v/>
      </c>
      <c r="I37" s="7">
        <f t="shared" si="2"/>
        <v>6.3124217538120572E-2</v>
      </c>
      <c r="J37" s="7">
        <f t="shared" si="3"/>
        <v>28.35</v>
      </c>
      <c r="K37" s="7">
        <f t="shared" si="5"/>
        <v>23.401278736878531</v>
      </c>
    </row>
    <row r="38" spans="1:11" x14ac:dyDescent="0.3">
      <c r="A38" s="15">
        <v>17</v>
      </c>
      <c r="B38" s="16">
        <v>212</v>
      </c>
      <c r="C38" s="16">
        <v>203</v>
      </c>
      <c r="D38" s="16"/>
      <c r="E38" s="4">
        <f t="shared" si="0"/>
        <v>0</v>
      </c>
      <c r="F38" s="7">
        <f t="shared" si="1"/>
        <v>20.75</v>
      </c>
      <c r="G38" s="80"/>
      <c r="H38" s="72" t="str">
        <f t="shared" si="4"/>
        <v/>
      </c>
      <c r="I38" s="7">
        <f t="shared" si="2"/>
        <v>3.381629967278138E-2</v>
      </c>
      <c r="J38" s="7" t="str">
        <f t="shared" si="3"/>
        <v/>
      </c>
      <c r="K38" s="7">
        <f t="shared" si="5"/>
        <v>21.035764564190906</v>
      </c>
    </row>
    <row r="39" spans="1:11" x14ac:dyDescent="0.3">
      <c r="A39" s="15">
        <v>18</v>
      </c>
      <c r="B39" s="16">
        <v>249</v>
      </c>
      <c r="C39" s="16">
        <v>245</v>
      </c>
      <c r="D39" s="16"/>
      <c r="E39" s="4">
        <f t="shared" si="0"/>
        <v>0</v>
      </c>
      <c r="F39" s="7">
        <f t="shared" si="1"/>
        <v>24.7</v>
      </c>
      <c r="G39" s="80"/>
      <c r="H39" s="72" t="str">
        <f t="shared" si="4"/>
        <v/>
      </c>
      <c r="I39" s="7">
        <f t="shared" si="2"/>
        <v>4.7916356550714911E-2</v>
      </c>
      <c r="J39" s="7" t="str">
        <f t="shared" si="3"/>
        <v/>
      </c>
      <c r="K39" s="7">
        <f t="shared" si="5"/>
        <v>22.416455551757128</v>
      </c>
    </row>
    <row r="40" spans="1:11" x14ac:dyDescent="0.3">
      <c r="A40" s="15">
        <v>19</v>
      </c>
      <c r="B40" s="16">
        <v>253</v>
      </c>
      <c r="C40" s="16">
        <v>251</v>
      </c>
      <c r="D40" s="16"/>
      <c r="E40" s="4">
        <f t="shared" si="0"/>
        <v>0</v>
      </c>
      <c r="F40" s="7">
        <f t="shared" si="1"/>
        <v>25.2</v>
      </c>
      <c r="G40" s="80"/>
      <c r="H40" s="72" t="str">
        <f t="shared" si="4"/>
        <v/>
      </c>
      <c r="I40" s="7">
        <f t="shared" si="2"/>
        <v>4.987592496839155E-2</v>
      </c>
      <c r="J40" s="7" t="str">
        <f t="shared" si="3"/>
        <v/>
      </c>
      <c r="K40" s="7">
        <f t="shared" si="5"/>
        <v>22.565480082907552</v>
      </c>
    </row>
    <row r="41" spans="1:11" x14ac:dyDescent="0.3">
      <c r="A41" s="15">
        <v>20</v>
      </c>
      <c r="B41" s="16">
        <v>40</v>
      </c>
      <c r="C41" s="16">
        <v>41</v>
      </c>
      <c r="D41" s="16">
        <v>5.5</v>
      </c>
      <c r="E41" s="4">
        <f t="shared" si="0"/>
        <v>0</v>
      </c>
      <c r="F41" s="7">
        <f t="shared" si="1"/>
        <v>4.05</v>
      </c>
      <c r="G41" s="80"/>
      <c r="H41" s="72" t="str">
        <f t="shared" si="4"/>
        <v/>
      </c>
      <c r="I41" s="7">
        <f t="shared" si="2"/>
        <v>1.2882493375126645E-3</v>
      </c>
      <c r="J41" s="7" t="str">
        <f t="shared" si="3"/>
        <v/>
      </c>
      <c r="K41" s="7">
        <f t="shared" si="5"/>
        <v>4.0839368162495955</v>
      </c>
    </row>
    <row r="42" spans="1:11" x14ac:dyDescent="0.3">
      <c r="A42" s="15">
        <v>21</v>
      </c>
      <c r="B42" s="16">
        <v>212</v>
      </c>
      <c r="C42" s="16">
        <v>213</v>
      </c>
      <c r="D42" s="16">
        <v>22.5</v>
      </c>
      <c r="E42" s="4">
        <f t="shared" si="0"/>
        <v>0</v>
      </c>
      <c r="F42" s="7">
        <f t="shared" si="1"/>
        <v>21.25</v>
      </c>
      <c r="G42" s="80"/>
      <c r="H42" s="72" t="str">
        <f t="shared" si="4"/>
        <v/>
      </c>
      <c r="I42" s="7">
        <f t="shared" si="2"/>
        <v>3.5465635815916025E-2</v>
      </c>
      <c r="J42" s="7" t="str">
        <f t="shared" si="3"/>
        <v/>
      </c>
      <c r="K42" s="7">
        <f t="shared" si="5"/>
        <v>21.23344451634253</v>
      </c>
    </row>
    <row r="43" spans="1:11" x14ac:dyDescent="0.3">
      <c r="A43" s="15">
        <v>22</v>
      </c>
      <c r="B43" s="16">
        <v>222</v>
      </c>
      <c r="C43" s="16">
        <v>217</v>
      </c>
      <c r="D43" s="16"/>
      <c r="E43" s="4">
        <f t="shared" si="0"/>
        <v>0</v>
      </c>
      <c r="F43" s="7">
        <f t="shared" si="1"/>
        <v>21.95</v>
      </c>
      <c r="G43" s="80"/>
      <c r="H43" s="72" t="str">
        <f t="shared" si="4"/>
        <v/>
      </c>
      <c r="I43" s="7">
        <f t="shared" si="2"/>
        <v>3.7840679862029901E-2</v>
      </c>
      <c r="J43" s="7" t="str">
        <f t="shared" si="3"/>
        <v/>
      </c>
      <c r="K43" s="7">
        <f t="shared" si="5"/>
        <v>21.497925563600365</v>
      </c>
    </row>
    <row r="44" spans="1:11" x14ac:dyDescent="0.3">
      <c r="A44" s="15">
        <v>23</v>
      </c>
      <c r="B44" s="16">
        <v>227</v>
      </c>
      <c r="C44" s="16">
        <v>228</v>
      </c>
      <c r="D44" s="16"/>
      <c r="E44" s="4">
        <f t="shared" si="0"/>
        <v>0</v>
      </c>
      <c r="F44" s="7">
        <f t="shared" si="1"/>
        <v>22.75</v>
      </c>
      <c r="G44" s="80"/>
      <c r="H44" s="72" t="str">
        <f t="shared" si="4"/>
        <v/>
      </c>
      <c r="I44" s="7">
        <f t="shared" si="2"/>
        <v>4.0649263694339181E-2</v>
      </c>
      <c r="J44" s="7" t="str">
        <f t="shared" si="3"/>
        <v/>
      </c>
      <c r="K44" s="7">
        <f t="shared" si="5"/>
        <v>21.783896554633195</v>
      </c>
    </row>
    <row r="45" spans="1:11" x14ac:dyDescent="0.3">
      <c r="A45" s="15">
        <v>24</v>
      </c>
      <c r="B45" s="16">
        <v>147</v>
      </c>
      <c r="C45" s="16">
        <v>146</v>
      </c>
      <c r="D45" s="16"/>
      <c r="E45" s="4">
        <f t="shared" si="0"/>
        <v>0</v>
      </c>
      <c r="F45" s="7">
        <f t="shared" si="1"/>
        <v>14.65</v>
      </c>
      <c r="G45" s="80"/>
      <c r="H45" s="72" t="str">
        <f t="shared" si="4"/>
        <v/>
      </c>
      <c r="I45" s="7">
        <f t="shared" si="2"/>
        <v>1.6856411732376883E-2</v>
      </c>
      <c r="J45" s="7" t="str">
        <f t="shared" si="3"/>
        <v/>
      </c>
      <c r="K45" s="7">
        <f t="shared" si="5"/>
        <v>17.826804145170726</v>
      </c>
    </row>
    <row r="46" spans="1:11" x14ac:dyDescent="0.3">
      <c r="A46" s="15">
        <v>25</v>
      </c>
      <c r="B46" s="16">
        <v>202</v>
      </c>
      <c r="C46" s="16">
        <v>199</v>
      </c>
      <c r="D46" s="16"/>
      <c r="E46" s="4">
        <f t="shared" si="0"/>
        <v>0</v>
      </c>
      <c r="F46" s="7">
        <f t="shared" si="1"/>
        <v>20.05</v>
      </c>
      <c r="G46" s="80"/>
      <c r="H46" s="72" t="str">
        <f t="shared" si="4"/>
        <v/>
      </c>
      <c r="I46" s="7">
        <f t="shared" si="2"/>
        <v>3.1573202518118272E-2</v>
      </c>
      <c r="J46" s="7" t="str">
        <f t="shared" si="3"/>
        <v/>
      </c>
      <c r="K46" s="7">
        <f t="shared" si="5"/>
        <v>20.745835096875062</v>
      </c>
    </row>
    <row r="47" spans="1:11" x14ac:dyDescent="0.3">
      <c r="A47" s="15">
        <v>26</v>
      </c>
      <c r="B47" s="16">
        <v>207</v>
      </c>
      <c r="C47" s="16">
        <v>195</v>
      </c>
      <c r="D47" s="16"/>
      <c r="E47" s="4">
        <f t="shared" si="0"/>
        <v>0</v>
      </c>
      <c r="F47" s="7">
        <f t="shared" si="1"/>
        <v>20.100000000000001</v>
      </c>
      <c r="G47" s="80"/>
      <c r="H47" s="72" t="str">
        <f t="shared" si="4"/>
        <v/>
      </c>
      <c r="I47" s="7">
        <f t="shared" si="2"/>
        <v>3.1730871199420314E-2</v>
      </c>
      <c r="J47" s="7" t="str">
        <f t="shared" si="3"/>
        <v/>
      </c>
      <c r="K47" s="7">
        <f t="shared" si="5"/>
        <v>20.767076902667231</v>
      </c>
    </row>
    <row r="48" spans="1:11" x14ac:dyDescent="0.3">
      <c r="A48" s="15">
        <v>27</v>
      </c>
      <c r="B48" s="16">
        <v>223</v>
      </c>
      <c r="C48" s="16">
        <v>229</v>
      </c>
      <c r="D48" s="16"/>
      <c r="E48" s="4">
        <f t="shared" si="0"/>
        <v>0</v>
      </c>
      <c r="F48" s="7">
        <f t="shared" si="1"/>
        <v>22.6</v>
      </c>
      <c r="G48" s="80"/>
      <c r="H48" s="72" t="str">
        <f t="shared" si="4"/>
        <v/>
      </c>
      <c r="I48" s="7">
        <f t="shared" si="2"/>
        <v>4.0114996593688071E-2</v>
      </c>
      <c r="J48" s="7" t="str">
        <f t="shared" si="3"/>
        <v/>
      </c>
      <c r="K48" s="7">
        <f t="shared" si="5"/>
        <v>21.731537327128052</v>
      </c>
    </row>
    <row r="49" spans="1:11" x14ac:dyDescent="0.3">
      <c r="A49" s="15">
        <v>28</v>
      </c>
      <c r="B49" s="16"/>
      <c r="C49" s="16"/>
      <c r="D49" s="16"/>
      <c r="E49" s="4">
        <f t="shared" si="0"/>
        <v>1</v>
      </c>
      <c r="F49" s="7">
        <f t="shared" si="1"/>
        <v>0</v>
      </c>
      <c r="G49" s="80"/>
      <c r="H49" s="72" t="str">
        <f t="shared" si="4"/>
        <v/>
      </c>
      <c r="I49" s="7">
        <f t="shared" si="2"/>
        <v>0</v>
      </c>
      <c r="J49" s="7" t="str">
        <f t="shared" si="3"/>
        <v/>
      </c>
      <c r="K49" s="7" t="str">
        <f t="shared" si="5"/>
        <v/>
      </c>
    </row>
    <row r="50" spans="1:11" x14ac:dyDescent="0.3">
      <c r="A50" s="15">
        <v>29</v>
      </c>
      <c r="B50" s="16">
        <v>162</v>
      </c>
      <c r="C50" s="16">
        <v>185</v>
      </c>
      <c r="D50" s="16"/>
      <c r="E50" s="4">
        <f t="shared" si="0"/>
        <v>0</v>
      </c>
      <c r="F50" s="7">
        <f t="shared" si="1"/>
        <v>17.350000000000001</v>
      </c>
      <c r="G50" s="80"/>
      <c r="H50" s="72" t="str">
        <f t="shared" si="4"/>
        <v/>
      </c>
      <c r="I50" s="7">
        <f t="shared" si="2"/>
        <v>2.3642251864130843E-2</v>
      </c>
      <c r="J50" s="7" t="str">
        <f t="shared" si="3"/>
        <v/>
      </c>
      <c r="K50" s="7">
        <f t="shared" si="5"/>
        <v>19.459270739816322</v>
      </c>
    </row>
    <row r="51" spans="1:11" x14ac:dyDescent="0.3">
      <c r="A51" s="15">
        <v>30</v>
      </c>
      <c r="B51" s="16">
        <v>239</v>
      </c>
      <c r="C51" s="16">
        <v>251</v>
      </c>
      <c r="D51" s="16"/>
      <c r="E51" s="4">
        <f t="shared" si="0"/>
        <v>0</v>
      </c>
      <c r="F51" s="7">
        <f t="shared" si="1"/>
        <v>24.5</v>
      </c>
      <c r="G51" s="80"/>
      <c r="H51" s="72" t="str">
        <f t="shared" si="4"/>
        <v/>
      </c>
      <c r="I51" s="7">
        <f t="shared" si="2"/>
        <v>4.7143524757931835E-2</v>
      </c>
      <c r="J51" s="7" t="str">
        <f t="shared" si="3"/>
        <v/>
      </c>
      <c r="K51" s="7">
        <f t="shared" si="5"/>
        <v>22.355428728322956</v>
      </c>
    </row>
    <row r="52" spans="1:11" x14ac:dyDescent="0.3">
      <c r="A52" s="63">
        <v>31</v>
      </c>
      <c r="B52" s="60">
        <v>260</v>
      </c>
      <c r="C52" s="60">
        <v>278</v>
      </c>
      <c r="D52" s="60">
        <v>23</v>
      </c>
      <c r="E52" s="61">
        <f t="shared" si="0"/>
        <v>0</v>
      </c>
      <c r="F52" s="62">
        <f t="shared" si="1"/>
        <v>26.9</v>
      </c>
      <c r="G52" s="79">
        <v>15</v>
      </c>
      <c r="H52" s="72">
        <f t="shared" si="4"/>
        <v>23</v>
      </c>
      <c r="I52" s="7">
        <f t="shared" si="2"/>
        <v>5.683219650160274E-2</v>
      </c>
      <c r="J52" s="7">
        <f t="shared" si="3"/>
        <v>26.9</v>
      </c>
      <c r="K52" s="7">
        <f t="shared" si="5"/>
        <v>23.037129182967558</v>
      </c>
    </row>
    <row r="53" spans="1:11" x14ac:dyDescent="0.3">
      <c r="A53" s="15">
        <v>32</v>
      </c>
      <c r="B53" s="16">
        <v>195</v>
      </c>
      <c r="C53" s="16">
        <v>196</v>
      </c>
      <c r="D53" s="16">
        <v>20.5</v>
      </c>
      <c r="E53" s="4">
        <f t="shared" si="0"/>
        <v>0</v>
      </c>
      <c r="F53" s="7">
        <f t="shared" si="1"/>
        <v>19.55</v>
      </c>
      <c r="G53" s="80"/>
      <c r="H53" s="72" t="str">
        <f t="shared" si="4"/>
        <v/>
      </c>
      <c r="I53" s="7">
        <f t="shared" si="2"/>
        <v>3.0018114154591324E-2</v>
      </c>
      <c r="J53" s="7" t="str">
        <f t="shared" si="3"/>
        <v/>
      </c>
      <c r="K53" s="7">
        <f t="shared" si="5"/>
        <v>20.528697152392212</v>
      </c>
    </row>
    <row r="54" spans="1:11" x14ac:dyDescent="0.3">
      <c r="A54" s="15">
        <v>33</v>
      </c>
      <c r="B54" s="16">
        <v>83</v>
      </c>
      <c r="C54" s="16">
        <v>80</v>
      </c>
      <c r="D54" s="16">
        <v>11.5</v>
      </c>
      <c r="E54" s="4">
        <f t="shared" ref="E54:E85" si="6">IF(B54="",1,0)</f>
        <v>0</v>
      </c>
      <c r="F54" s="7">
        <f t="shared" ref="F54:F85" si="7">(B54+C54)/20</f>
        <v>8.15</v>
      </c>
      <c r="G54" s="80"/>
      <c r="H54" s="72" t="str">
        <f t="shared" si="4"/>
        <v/>
      </c>
      <c r="I54" s="7">
        <f t="shared" si="2"/>
        <v>5.2168109508267009E-3</v>
      </c>
      <c r="J54" s="7" t="str">
        <f t="shared" si="3"/>
        <v/>
      </c>
      <c r="K54" s="7">
        <f t="shared" ref="K54:K85" si="8">IF(E54=0,$I$11*EXP(($L$6+$M$6*$I$11+$N$6*$I$13/1000+$O$6*$I$16)*((1/F54)-(1/$I$17))),"")</f>
        <v>11.377650882108517</v>
      </c>
    </row>
    <row r="55" spans="1:11" x14ac:dyDescent="0.3">
      <c r="A55" s="15">
        <v>34</v>
      </c>
      <c r="B55" s="16">
        <v>225</v>
      </c>
      <c r="C55" s="16">
        <v>234</v>
      </c>
      <c r="D55" s="16"/>
      <c r="E55" s="4">
        <f t="shared" si="6"/>
        <v>0</v>
      </c>
      <c r="F55" s="7">
        <f t="shared" si="7"/>
        <v>22.95</v>
      </c>
      <c r="G55" s="80"/>
      <c r="H55" s="72" t="str">
        <f t="shared" si="4"/>
        <v/>
      </c>
      <c r="I55" s="7">
        <f t="shared" si="2"/>
        <v>4.136711761568445E-2</v>
      </c>
      <c r="J55" s="7" t="str">
        <f t="shared" si="3"/>
        <v/>
      </c>
      <c r="K55" s="7">
        <f t="shared" si="8"/>
        <v>21.852835790972868</v>
      </c>
    </row>
    <row r="56" spans="1:11" x14ac:dyDescent="0.3">
      <c r="A56" s="15">
        <v>35</v>
      </c>
      <c r="B56" s="16">
        <v>241</v>
      </c>
      <c r="C56" s="16">
        <v>244</v>
      </c>
      <c r="D56" s="16"/>
      <c r="E56" s="4">
        <f t="shared" si="6"/>
        <v>0</v>
      </c>
      <c r="F56" s="7">
        <f t="shared" si="7"/>
        <v>24.25</v>
      </c>
      <c r="G56" s="80"/>
      <c r="H56" s="72" t="str">
        <f t="shared" si="4"/>
        <v/>
      </c>
      <c r="I56" s="7">
        <f t="shared" si="2"/>
        <v>4.6186320746291191E-2</v>
      </c>
      <c r="J56" s="7" t="str">
        <f t="shared" si="3"/>
        <v/>
      </c>
      <c r="K56" s="7">
        <f t="shared" si="8"/>
        <v>22.27796999211472</v>
      </c>
    </row>
    <row r="57" spans="1:11" x14ac:dyDescent="0.3">
      <c r="A57" s="15">
        <v>36</v>
      </c>
      <c r="B57" s="16">
        <v>221</v>
      </c>
      <c r="C57" s="16">
        <v>218</v>
      </c>
      <c r="D57" s="16"/>
      <c r="E57" s="4">
        <f t="shared" si="6"/>
        <v>0</v>
      </c>
      <c r="F57" s="7">
        <f t="shared" si="7"/>
        <v>21.95</v>
      </c>
      <c r="G57" s="80"/>
      <c r="H57" s="72" t="str">
        <f t="shared" si="4"/>
        <v/>
      </c>
      <c r="I57" s="7">
        <f t="shared" si="2"/>
        <v>3.7840679862029901E-2</v>
      </c>
      <c r="J57" s="7" t="str">
        <f t="shared" si="3"/>
        <v/>
      </c>
      <c r="K57" s="7">
        <f t="shared" si="8"/>
        <v>21.497925563600365</v>
      </c>
    </row>
    <row r="58" spans="1:11" x14ac:dyDescent="0.3">
      <c r="A58" s="15">
        <v>37</v>
      </c>
      <c r="B58" s="16">
        <v>230</v>
      </c>
      <c r="C58" s="16">
        <v>222</v>
      </c>
      <c r="D58" s="16"/>
      <c r="E58" s="4">
        <f t="shared" si="6"/>
        <v>0</v>
      </c>
      <c r="F58" s="7">
        <f t="shared" si="7"/>
        <v>22.6</v>
      </c>
      <c r="G58" s="80"/>
      <c r="H58" s="72" t="str">
        <f t="shared" si="4"/>
        <v/>
      </c>
      <c r="I58" s="7">
        <f t="shared" si="2"/>
        <v>4.0114996593688071E-2</v>
      </c>
      <c r="J58" s="7" t="str">
        <f t="shared" si="3"/>
        <v/>
      </c>
      <c r="K58" s="7">
        <f t="shared" si="8"/>
        <v>21.731537327128052</v>
      </c>
    </row>
    <row r="59" spans="1:11" x14ac:dyDescent="0.3">
      <c r="A59" s="15">
        <v>38</v>
      </c>
      <c r="B59" s="16">
        <v>237</v>
      </c>
      <c r="C59" s="16">
        <v>229</v>
      </c>
      <c r="D59" s="16"/>
      <c r="E59" s="4">
        <f t="shared" si="6"/>
        <v>0</v>
      </c>
      <c r="F59" s="7">
        <f t="shared" si="7"/>
        <v>23.3</v>
      </c>
      <c r="G59" s="80"/>
      <c r="H59" s="72" t="str">
        <f t="shared" si="4"/>
        <v/>
      </c>
      <c r="I59" s="7">
        <f t="shared" si="2"/>
        <v>4.2638480892684065E-2</v>
      </c>
      <c r="J59" s="7" t="str">
        <f t="shared" si="3"/>
        <v/>
      </c>
      <c r="K59" s="7">
        <f t="shared" si="8"/>
        <v>21.971136902683117</v>
      </c>
    </row>
    <row r="60" spans="1:11" x14ac:dyDescent="0.3">
      <c r="A60" s="15">
        <v>39</v>
      </c>
      <c r="B60" s="16">
        <v>247</v>
      </c>
      <c r="C60" s="16">
        <v>251</v>
      </c>
      <c r="D60" s="16">
        <v>22</v>
      </c>
      <c r="E60" s="4">
        <f t="shared" si="6"/>
        <v>0</v>
      </c>
      <c r="F60" s="7">
        <f t="shared" si="7"/>
        <v>24.9</v>
      </c>
      <c r="G60" s="80"/>
      <c r="H60" s="72" t="str">
        <f t="shared" si="4"/>
        <v/>
      </c>
      <c r="I60" s="7">
        <f t="shared" si="2"/>
        <v>4.8695471528805184E-2</v>
      </c>
      <c r="J60" s="7" t="str">
        <f t="shared" si="3"/>
        <v/>
      </c>
      <c r="K60" s="7">
        <f t="shared" si="8"/>
        <v>22.476664623110608</v>
      </c>
    </row>
    <row r="61" spans="1:11" x14ac:dyDescent="0.3">
      <c r="A61" s="15">
        <v>40</v>
      </c>
      <c r="B61" s="16">
        <v>214</v>
      </c>
      <c r="C61" s="16">
        <v>223</v>
      </c>
      <c r="D61" s="16"/>
      <c r="E61" s="4">
        <f t="shared" si="6"/>
        <v>0</v>
      </c>
      <c r="F61" s="7">
        <f t="shared" si="7"/>
        <v>21.85</v>
      </c>
      <c r="G61" s="80"/>
      <c r="H61" s="72" t="str">
        <f t="shared" si="4"/>
        <v/>
      </c>
      <c r="I61" s="7">
        <f t="shared" si="2"/>
        <v>3.7496675466461828E-2</v>
      </c>
      <c r="J61" s="7" t="str">
        <f t="shared" si="3"/>
        <v/>
      </c>
      <c r="K61" s="7">
        <f t="shared" si="8"/>
        <v>21.460983948538317</v>
      </c>
    </row>
    <row r="62" spans="1:11" x14ac:dyDescent="0.3">
      <c r="A62" s="60">
        <v>41</v>
      </c>
      <c r="B62" s="60">
        <v>281</v>
      </c>
      <c r="C62" s="60">
        <v>289</v>
      </c>
      <c r="D62" s="60"/>
      <c r="E62" s="61">
        <f t="shared" si="6"/>
        <v>0</v>
      </c>
      <c r="F62" s="62">
        <f t="shared" si="7"/>
        <v>28.5</v>
      </c>
      <c r="G62" s="79">
        <v>6</v>
      </c>
      <c r="H62" s="72" t="str">
        <f t="shared" si="4"/>
        <v/>
      </c>
      <c r="I62" s="7">
        <f t="shared" si="2"/>
        <v>6.3793965821957732E-2</v>
      </c>
      <c r="J62" s="7">
        <f t="shared" si="3"/>
        <v>28.5</v>
      </c>
      <c r="K62" s="7">
        <f t="shared" si="8"/>
        <v>23.437141536783464</v>
      </c>
    </row>
    <row r="63" spans="1:11" x14ac:dyDescent="0.3">
      <c r="A63" s="16">
        <v>42</v>
      </c>
      <c r="B63" s="16">
        <v>215</v>
      </c>
      <c r="C63" s="16">
        <v>213</v>
      </c>
      <c r="D63" s="16"/>
      <c r="E63" s="4">
        <f t="shared" si="6"/>
        <v>0</v>
      </c>
      <c r="F63" s="7">
        <f t="shared" si="7"/>
        <v>21.4</v>
      </c>
      <c r="G63" s="80"/>
      <c r="H63" s="72" t="str">
        <f t="shared" si="4"/>
        <v/>
      </c>
      <c r="I63" s="7">
        <f t="shared" si="2"/>
        <v>3.5968094290949534E-2</v>
      </c>
      <c r="J63" s="7" t="str">
        <f t="shared" si="3"/>
        <v/>
      </c>
      <c r="K63" s="7">
        <f t="shared" si="8"/>
        <v>21.291295220654007</v>
      </c>
    </row>
    <row r="64" spans="1:11" x14ac:dyDescent="0.3">
      <c r="A64" s="16">
        <v>43</v>
      </c>
      <c r="B64" s="16">
        <v>194</v>
      </c>
      <c r="C64" s="16">
        <v>187</v>
      </c>
      <c r="D64" s="16"/>
      <c r="E64" s="4">
        <f t="shared" si="6"/>
        <v>0</v>
      </c>
      <c r="F64" s="7">
        <f t="shared" si="7"/>
        <v>19.05</v>
      </c>
      <c r="G64" s="80"/>
      <c r="H64" s="72" t="str">
        <f t="shared" si="4"/>
        <v/>
      </c>
      <c r="I64" s="7">
        <f t="shared" si="2"/>
        <v>2.8502295699234247E-2</v>
      </c>
      <c r="J64" s="7" t="str">
        <f t="shared" si="3"/>
        <v/>
      </c>
      <c r="K64" s="7">
        <f t="shared" si="8"/>
        <v>20.302615214978562</v>
      </c>
    </row>
    <row r="65" spans="1:11" x14ac:dyDescent="0.3">
      <c r="A65" s="16">
        <v>44</v>
      </c>
      <c r="B65" s="16">
        <v>248</v>
      </c>
      <c r="C65" s="16">
        <v>247</v>
      </c>
      <c r="D65" s="16"/>
      <c r="E65" s="4">
        <f t="shared" si="6"/>
        <v>0</v>
      </c>
      <c r="F65" s="7">
        <f t="shared" si="7"/>
        <v>24.75</v>
      </c>
      <c r="G65" s="80"/>
      <c r="H65" s="72" t="str">
        <f t="shared" si="4"/>
        <v/>
      </c>
      <c r="I65" s="7">
        <f t="shared" si="2"/>
        <v>4.8110546246614941E-2</v>
      </c>
      <c r="J65" s="7" t="str">
        <f t="shared" si="3"/>
        <v/>
      </c>
      <c r="K65" s="7">
        <f t="shared" si="8"/>
        <v>22.431583847163566</v>
      </c>
    </row>
    <row r="66" spans="1:11" x14ac:dyDescent="0.3">
      <c r="A66" s="16">
        <v>45</v>
      </c>
      <c r="B66" s="16">
        <v>258</v>
      </c>
      <c r="C66" s="16">
        <v>259</v>
      </c>
      <c r="D66" s="16"/>
      <c r="E66" s="4">
        <f t="shared" si="6"/>
        <v>0</v>
      </c>
      <c r="F66" s="7">
        <f t="shared" si="7"/>
        <v>25.85</v>
      </c>
      <c r="G66" s="80"/>
      <c r="H66" s="72" t="str">
        <f t="shared" si="4"/>
        <v/>
      </c>
      <c r="I66" s="7">
        <f t="shared" si="2"/>
        <v>5.248207242408514E-2</v>
      </c>
      <c r="J66" s="7" t="str">
        <f t="shared" si="3"/>
        <v/>
      </c>
      <c r="K66" s="7">
        <f t="shared" si="8"/>
        <v>22.75197372068488</v>
      </c>
    </row>
    <row r="67" spans="1:11" x14ac:dyDescent="0.3">
      <c r="A67" s="16">
        <v>46</v>
      </c>
      <c r="B67" s="16">
        <v>246</v>
      </c>
      <c r="C67" s="16">
        <v>258</v>
      </c>
      <c r="D67" s="16"/>
      <c r="E67" s="4">
        <f t="shared" si="6"/>
        <v>0</v>
      </c>
      <c r="F67" s="7">
        <f t="shared" si="7"/>
        <v>25.2</v>
      </c>
      <c r="G67" s="80"/>
      <c r="H67" s="72" t="str">
        <f t="shared" si="4"/>
        <v/>
      </c>
      <c r="I67" s="7">
        <f t="shared" si="2"/>
        <v>4.987592496839155E-2</v>
      </c>
      <c r="J67" s="7" t="str">
        <f t="shared" si="3"/>
        <v/>
      </c>
      <c r="K67" s="7">
        <f t="shared" si="8"/>
        <v>22.565480082907552</v>
      </c>
    </row>
    <row r="68" spans="1:11" x14ac:dyDescent="0.3">
      <c r="A68" s="16">
        <v>47</v>
      </c>
      <c r="B68" s="16">
        <v>197</v>
      </c>
      <c r="C68" s="16">
        <v>211</v>
      </c>
      <c r="D68" s="16"/>
      <c r="E68" s="4">
        <f t="shared" si="6"/>
        <v>0</v>
      </c>
      <c r="F68" s="7">
        <f t="shared" si="7"/>
        <v>20.399999999999999</v>
      </c>
      <c r="G68" s="80"/>
      <c r="H68" s="72" t="str">
        <f t="shared" si="4"/>
        <v/>
      </c>
      <c r="I68" s="7">
        <f t="shared" si="2"/>
        <v>3.2685129967948208E-2</v>
      </c>
      <c r="J68" s="7" t="str">
        <f t="shared" si="3"/>
        <v/>
      </c>
      <c r="K68" s="7">
        <f t="shared" si="8"/>
        <v>20.892784125419659</v>
      </c>
    </row>
    <row r="69" spans="1:11" x14ac:dyDescent="0.3">
      <c r="A69" s="16">
        <v>48</v>
      </c>
      <c r="B69" s="16">
        <v>215</v>
      </c>
      <c r="C69" s="16">
        <v>213</v>
      </c>
      <c r="D69" s="16"/>
      <c r="E69" s="4">
        <f t="shared" si="6"/>
        <v>0</v>
      </c>
      <c r="F69" s="7">
        <f t="shared" si="7"/>
        <v>21.4</v>
      </c>
      <c r="G69" s="80"/>
      <c r="H69" s="72" t="str">
        <f t="shared" si="4"/>
        <v/>
      </c>
      <c r="I69" s="7">
        <f t="shared" si="2"/>
        <v>3.5968094290949534E-2</v>
      </c>
      <c r="J69" s="7" t="str">
        <f t="shared" si="3"/>
        <v/>
      </c>
      <c r="K69" s="7">
        <f t="shared" si="8"/>
        <v>21.291295220654007</v>
      </c>
    </row>
    <row r="70" spans="1:11" x14ac:dyDescent="0.3">
      <c r="A70" s="16">
        <v>49</v>
      </c>
      <c r="B70" s="16">
        <v>249</v>
      </c>
      <c r="C70" s="16">
        <v>236</v>
      </c>
      <c r="D70" s="16"/>
      <c r="E70" s="4">
        <f t="shared" si="6"/>
        <v>0</v>
      </c>
      <c r="F70" s="7">
        <f t="shared" si="7"/>
        <v>24.25</v>
      </c>
      <c r="G70" s="80"/>
      <c r="H70" s="72" t="str">
        <f t="shared" si="4"/>
        <v/>
      </c>
      <c r="I70" s="7">
        <f t="shared" si="2"/>
        <v>4.6186320746291191E-2</v>
      </c>
      <c r="J70" s="7" t="str">
        <f t="shared" si="3"/>
        <v/>
      </c>
      <c r="K70" s="7">
        <f t="shared" si="8"/>
        <v>22.27796999211472</v>
      </c>
    </row>
    <row r="71" spans="1:11" x14ac:dyDescent="0.3">
      <c r="A71" s="16">
        <v>50</v>
      </c>
      <c r="B71" s="16"/>
      <c r="C71" s="16"/>
      <c r="D71" s="16"/>
      <c r="E71" s="4">
        <f t="shared" si="6"/>
        <v>1</v>
      </c>
      <c r="F71" s="7">
        <f t="shared" si="7"/>
        <v>0</v>
      </c>
      <c r="G71" s="80"/>
      <c r="H71" s="72" t="str">
        <f t="shared" si="4"/>
        <v/>
      </c>
      <c r="I71" s="7">
        <f t="shared" si="2"/>
        <v>0</v>
      </c>
      <c r="J71" s="7" t="str">
        <f t="shared" si="3"/>
        <v/>
      </c>
      <c r="K71" s="7" t="str">
        <f t="shared" si="8"/>
        <v/>
      </c>
    </row>
    <row r="72" spans="1:11" x14ac:dyDescent="0.3">
      <c r="A72" s="16">
        <v>51</v>
      </c>
      <c r="B72" s="16"/>
      <c r="C72" s="16"/>
      <c r="D72" s="16"/>
      <c r="E72" s="4">
        <f t="shared" si="6"/>
        <v>1</v>
      </c>
      <c r="F72" s="7">
        <f t="shared" si="7"/>
        <v>0</v>
      </c>
      <c r="G72" s="80"/>
      <c r="H72" s="72" t="str">
        <f t="shared" si="4"/>
        <v/>
      </c>
      <c r="I72" s="7">
        <f t="shared" si="2"/>
        <v>0</v>
      </c>
      <c r="J72" s="7" t="str">
        <f t="shared" si="3"/>
        <v/>
      </c>
      <c r="K72" s="7" t="str">
        <f t="shared" si="8"/>
        <v/>
      </c>
    </row>
    <row r="73" spans="1:11" x14ac:dyDescent="0.3">
      <c r="A73" s="60">
        <v>52</v>
      </c>
      <c r="B73" s="60">
        <v>266</v>
      </c>
      <c r="C73" s="60">
        <v>272</v>
      </c>
      <c r="D73" s="60">
        <v>22</v>
      </c>
      <c r="E73" s="61">
        <f t="shared" si="6"/>
        <v>0</v>
      </c>
      <c r="F73" s="62">
        <f t="shared" si="7"/>
        <v>26.9</v>
      </c>
      <c r="G73" s="79">
        <v>14</v>
      </c>
      <c r="H73" s="72">
        <f t="shared" si="4"/>
        <v>22</v>
      </c>
      <c r="I73" s="7">
        <f t="shared" si="2"/>
        <v>5.683219650160274E-2</v>
      </c>
      <c r="J73" s="7">
        <f t="shared" si="3"/>
        <v>26.9</v>
      </c>
      <c r="K73" s="7">
        <f t="shared" si="8"/>
        <v>23.037129182967558</v>
      </c>
    </row>
    <row r="74" spans="1:11" x14ac:dyDescent="0.3">
      <c r="A74" s="60">
        <v>53</v>
      </c>
      <c r="B74" s="60">
        <v>292</v>
      </c>
      <c r="C74" s="60">
        <v>283</v>
      </c>
      <c r="D74" s="60"/>
      <c r="E74" s="61">
        <f t="shared" si="6"/>
        <v>0</v>
      </c>
      <c r="F74" s="62">
        <f t="shared" si="7"/>
        <v>28.75</v>
      </c>
      <c r="G74" s="79">
        <v>4</v>
      </c>
      <c r="H74" s="72" t="str">
        <f t="shared" si="4"/>
        <v/>
      </c>
      <c r="I74" s="7">
        <f t="shared" si="2"/>
        <v>6.4918066943320335E-2</v>
      </c>
      <c r="J74" s="7">
        <f t="shared" si="3"/>
        <v>28.75</v>
      </c>
      <c r="K74" s="7">
        <f t="shared" si="8"/>
        <v>23.496200695443768</v>
      </c>
    </row>
    <row r="75" spans="1:11" x14ac:dyDescent="0.3">
      <c r="A75" s="16">
        <v>54</v>
      </c>
      <c r="B75" s="16">
        <v>242</v>
      </c>
      <c r="C75" s="16">
        <v>230</v>
      </c>
      <c r="D75" s="16"/>
      <c r="E75" s="4">
        <f t="shared" si="6"/>
        <v>0</v>
      </c>
      <c r="F75" s="7">
        <f t="shared" si="7"/>
        <v>23.6</v>
      </c>
      <c r="G75" s="80"/>
      <c r="H75" s="72" t="str">
        <f t="shared" si="4"/>
        <v/>
      </c>
      <c r="I75" s="7">
        <f t="shared" si="2"/>
        <v>4.374353610858428E-2</v>
      </c>
      <c r="J75" s="7" t="str">
        <f t="shared" si="3"/>
        <v/>
      </c>
      <c r="K75" s="7">
        <f t="shared" si="8"/>
        <v>22.070234273570662</v>
      </c>
    </row>
    <row r="76" spans="1:11" x14ac:dyDescent="0.3">
      <c r="A76" s="16">
        <v>55</v>
      </c>
      <c r="B76" s="16">
        <v>273</v>
      </c>
      <c r="C76" s="16">
        <v>257</v>
      </c>
      <c r="D76" s="16"/>
      <c r="E76" s="4">
        <f t="shared" si="6"/>
        <v>0</v>
      </c>
      <c r="F76" s="7">
        <f t="shared" si="7"/>
        <v>26.5</v>
      </c>
      <c r="G76" s="80"/>
      <c r="H76" s="72" t="str">
        <f t="shared" si="4"/>
        <v/>
      </c>
      <c r="I76" s="7">
        <f t="shared" si="2"/>
        <v>5.5154586024585811E-2</v>
      </c>
      <c r="J76" s="7" t="str">
        <f t="shared" si="3"/>
        <v/>
      </c>
      <c r="K76" s="7">
        <f t="shared" si="8"/>
        <v>22.930748147128995</v>
      </c>
    </row>
    <row r="77" spans="1:11" x14ac:dyDescent="0.3">
      <c r="A77" s="16">
        <v>56</v>
      </c>
      <c r="B77" s="16">
        <v>141</v>
      </c>
      <c r="C77" s="16">
        <v>140</v>
      </c>
      <c r="D77" s="16"/>
      <c r="E77" s="4">
        <f t="shared" si="6"/>
        <v>0</v>
      </c>
      <c r="F77" s="7">
        <f t="shared" si="7"/>
        <v>14.05</v>
      </c>
      <c r="G77" s="80"/>
      <c r="H77" s="72" t="str">
        <f t="shared" si="4"/>
        <v/>
      </c>
      <c r="I77" s="7">
        <f t="shared" si="2"/>
        <v>1.5503956095006481E-2</v>
      </c>
      <c r="J77" s="7" t="str">
        <f t="shared" si="3"/>
        <v/>
      </c>
      <c r="K77" s="7">
        <f t="shared" si="8"/>
        <v>17.403279433841977</v>
      </c>
    </row>
    <row r="78" spans="1:11" x14ac:dyDescent="0.3">
      <c r="A78" s="16">
        <v>57</v>
      </c>
      <c r="B78" s="16">
        <v>231</v>
      </c>
      <c r="C78" s="16">
        <v>225</v>
      </c>
      <c r="D78" s="16"/>
      <c r="E78" s="4">
        <f t="shared" si="6"/>
        <v>0</v>
      </c>
      <c r="F78" s="7">
        <f t="shared" si="7"/>
        <v>22.8</v>
      </c>
      <c r="G78" s="80"/>
      <c r="H78" s="72" t="str">
        <f t="shared" si="4"/>
        <v/>
      </c>
      <c r="I78" s="7">
        <f t="shared" si="2"/>
        <v>4.0828138126052953E-2</v>
      </c>
      <c r="J78" s="7" t="str">
        <f t="shared" si="3"/>
        <v/>
      </c>
      <c r="K78" s="7">
        <f t="shared" si="8"/>
        <v>21.801224245464759</v>
      </c>
    </row>
    <row r="79" spans="1:11" x14ac:dyDescent="0.3">
      <c r="A79" s="60">
        <v>58</v>
      </c>
      <c r="B79" s="60">
        <v>288</v>
      </c>
      <c r="C79" s="60">
        <v>275</v>
      </c>
      <c r="D79" s="60">
        <v>23.5</v>
      </c>
      <c r="E79" s="61">
        <f t="shared" si="6"/>
        <v>0</v>
      </c>
      <c r="F79" s="62">
        <f t="shared" si="7"/>
        <v>28.15</v>
      </c>
      <c r="G79" s="79">
        <v>8</v>
      </c>
      <c r="H79" s="72">
        <f t="shared" si="4"/>
        <v>23.5</v>
      </c>
      <c r="I79" s="7">
        <f t="shared" si="2"/>
        <v>6.2236717613481436E-2</v>
      </c>
      <c r="J79" s="7">
        <f t="shared" si="3"/>
        <v>28.15</v>
      </c>
      <c r="K79" s="7">
        <f t="shared" si="8"/>
        <v>23.352954164741142</v>
      </c>
    </row>
    <row r="80" spans="1:11" x14ac:dyDescent="0.3">
      <c r="A80" s="16">
        <v>59</v>
      </c>
      <c r="B80" s="16">
        <v>212</v>
      </c>
      <c r="C80" s="16">
        <v>208</v>
      </c>
      <c r="D80" s="16"/>
      <c r="E80" s="4">
        <f t="shared" si="6"/>
        <v>0</v>
      </c>
      <c r="F80" s="7">
        <f t="shared" si="7"/>
        <v>21</v>
      </c>
      <c r="G80" s="80"/>
      <c r="H80" s="72" t="str">
        <f t="shared" si="4"/>
        <v/>
      </c>
      <c r="I80" s="7">
        <f t="shared" si="2"/>
        <v>3.4636059005827467E-2</v>
      </c>
      <c r="J80" s="7" t="str">
        <f t="shared" si="3"/>
        <v/>
      </c>
      <c r="K80" s="7">
        <f t="shared" si="8"/>
        <v>21.13555011192901</v>
      </c>
    </row>
    <row r="81" spans="1:11" x14ac:dyDescent="0.3">
      <c r="A81" s="16">
        <v>60</v>
      </c>
      <c r="B81" s="16">
        <v>257</v>
      </c>
      <c r="C81" s="16">
        <v>254</v>
      </c>
      <c r="D81" s="16"/>
      <c r="E81" s="4">
        <f t="shared" si="6"/>
        <v>0</v>
      </c>
      <c r="F81" s="7">
        <f t="shared" si="7"/>
        <v>25.55</v>
      </c>
      <c r="G81" s="80"/>
      <c r="H81" s="72" t="str">
        <f t="shared" si="4"/>
        <v/>
      </c>
      <c r="I81" s="7">
        <f t="shared" si="2"/>
        <v>5.1270988456126272E-2</v>
      </c>
      <c r="J81" s="7" t="str">
        <f t="shared" si="3"/>
        <v/>
      </c>
      <c r="K81" s="7">
        <f t="shared" si="8"/>
        <v>22.666888476778787</v>
      </c>
    </row>
    <row r="82" spans="1:11" x14ac:dyDescent="0.3">
      <c r="A82" s="16">
        <v>61</v>
      </c>
      <c r="B82" s="16">
        <v>227</v>
      </c>
      <c r="C82" s="16">
        <v>227</v>
      </c>
      <c r="D82" s="16"/>
      <c r="E82" s="4">
        <f t="shared" si="6"/>
        <v>0</v>
      </c>
      <c r="F82" s="7">
        <f t="shared" si="7"/>
        <v>22.7</v>
      </c>
      <c r="G82" s="80"/>
      <c r="H82" s="72" t="str">
        <f t="shared" si="4"/>
        <v/>
      </c>
      <c r="I82" s="7">
        <f t="shared" si="2"/>
        <v>4.0470781961707107E-2</v>
      </c>
      <c r="J82" s="7" t="str">
        <f t="shared" si="3"/>
        <v/>
      </c>
      <c r="K82" s="7">
        <f t="shared" si="8"/>
        <v>21.766506393594945</v>
      </c>
    </row>
    <row r="83" spans="1:11" x14ac:dyDescent="0.3">
      <c r="A83" s="60">
        <v>62</v>
      </c>
      <c r="B83" s="60">
        <v>284</v>
      </c>
      <c r="C83" s="60">
        <v>279</v>
      </c>
      <c r="D83" s="60"/>
      <c r="E83" s="61">
        <f t="shared" si="6"/>
        <v>0</v>
      </c>
      <c r="F83" s="62">
        <f t="shared" si="7"/>
        <v>28.15</v>
      </c>
      <c r="G83" s="79">
        <v>9</v>
      </c>
      <c r="H83" s="72" t="str">
        <f t="shared" si="4"/>
        <v/>
      </c>
      <c r="I83" s="7">
        <f t="shared" si="2"/>
        <v>6.2236717613481436E-2</v>
      </c>
      <c r="J83" s="7">
        <f t="shared" si="3"/>
        <v>28.15</v>
      </c>
      <c r="K83" s="7">
        <f t="shared" si="8"/>
        <v>23.352954164741142</v>
      </c>
    </row>
    <row r="84" spans="1:11" x14ac:dyDescent="0.3">
      <c r="A84" s="16">
        <v>63</v>
      </c>
      <c r="B84" s="16"/>
      <c r="C84" s="16"/>
      <c r="D84" s="16"/>
      <c r="E84" s="4">
        <f t="shared" si="6"/>
        <v>1</v>
      </c>
      <c r="F84" s="7">
        <f t="shared" si="7"/>
        <v>0</v>
      </c>
      <c r="G84" s="80"/>
      <c r="H84" s="72" t="str">
        <f t="shared" si="4"/>
        <v/>
      </c>
      <c r="I84" s="7">
        <f t="shared" si="2"/>
        <v>0</v>
      </c>
      <c r="J84" s="7" t="str">
        <f t="shared" si="3"/>
        <v/>
      </c>
      <c r="K84" s="7" t="str">
        <f t="shared" si="8"/>
        <v/>
      </c>
    </row>
    <row r="85" spans="1:11" x14ac:dyDescent="0.3">
      <c r="A85" s="60">
        <v>64</v>
      </c>
      <c r="B85" s="60">
        <v>285</v>
      </c>
      <c r="C85" s="60">
        <v>275</v>
      </c>
      <c r="D85" s="60">
        <v>23.3</v>
      </c>
      <c r="E85" s="61">
        <f t="shared" si="6"/>
        <v>0</v>
      </c>
      <c r="F85" s="62">
        <f t="shared" si="7"/>
        <v>28</v>
      </c>
      <c r="G85" s="79">
        <v>10</v>
      </c>
      <c r="H85" s="72">
        <f t="shared" si="4"/>
        <v>23.3</v>
      </c>
      <c r="I85" s="7">
        <f t="shared" si="2"/>
        <v>6.1575216010359944E-2</v>
      </c>
      <c r="J85" s="7">
        <f t="shared" si="3"/>
        <v>28</v>
      </c>
      <c r="K85" s="7">
        <f t="shared" si="8"/>
        <v>23.316324366256133</v>
      </c>
    </row>
    <row r="86" spans="1:11" x14ac:dyDescent="0.3">
      <c r="A86" s="16">
        <v>65</v>
      </c>
      <c r="B86" s="16">
        <v>240</v>
      </c>
      <c r="C86" s="16">
        <v>235</v>
      </c>
      <c r="D86" s="16"/>
      <c r="E86" s="4">
        <f t="shared" ref="E86:E101" si="9">IF(B86="",1,0)</f>
        <v>0</v>
      </c>
      <c r="F86" s="7">
        <f t="shared" ref="F86:F101" si="10">(B86+C86)/20</f>
        <v>23.75</v>
      </c>
      <c r="G86" s="80"/>
      <c r="H86" s="72" t="str">
        <f t="shared" si="4"/>
        <v/>
      </c>
      <c r="I86" s="7">
        <f t="shared" si="2"/>
        <v>4.4301365154137316E-2</v>
      </c>
      <c r="J86" s="7" t="str">
        <f t="shared" si="3"/>
        <v/>
      </c>
      <c r="K86" s="7">
        <f t="shared" ref="K86:K101" si="11">IF(E86=0,$I$11*EXP(($L$6+$M$6*$I$11+$N$6*$I$13/1000+$O$6*$I$16)*((1/F86)-(1/$I$17))),"")</f>
        <v>22.11900741372957</v>
      </c>
    </row>
    <row r="87" spans="1:11" x14ac:dyDescent="0.3">
      <c r="A87" s="60">
        <v>66</v>
      </c>
      <c r="B87" s="60">
        <v>290</v>
      </c>
      <c r="C87" s="60">
        <v>289</v>
      </c>
      <c r="D87" s="60"/>
      <c r="E87" s="61">
        <f t="shared" si="9"/>
        <v>0</v>
      </c>
      <c r="F87" s="62">
        <f t="shared" si="10"/>
        <v>28.95</v>
      </c>
      <c r="G87" s="79">
        <v>3</v>
      </c>
      <c r="H87" s="72" t="str">
        <f t="shared" ref="H87:H101" si="12">IF(AND(D87&lt;&gt;"",G87&lt;&gt;""),D87,"")</f>
        <v/>
      </c>
      <c r="I87" s="7">
        <f t="shared" ref="I87:I101" si="13">PI()*F87^2/40000</f>
        <v>6.5824416423880983E-2</v>
      </c>
      <c r="J87" s="7">
        <f t="shared" ref="J87:J101" si="14">IF(AND(F87&lt;&gt;0,G87&lt;&gt;""),F87,"")</f>
        <v>28.95</v>
      </c>
      <c r="K87" s="7">
        <f t="shared" si="11"/>
        <v>23.542818347463658</v>
      </c>
    </row>
    <row r="88" spans="1:11" x14ac:dyDescent="0.3">
      <c r="A88" s="60">
        <v>67</v>
      </c>
      <c r="B88" s="60">
        <v>270</v>
      </c>
      <c r="C88" s="60">
        <v>274</v>
      </c>
      <c r="D88" s="60"/>
      <c r="E88" s="61">
        <f t="shared" si="9"/>
        <v>0</v>
      </c>
      <c r="F88" s="62">
        <f t="shared" si="10"/>
        <v>27.2</v>
      </c>
      <c r="G88" s="79">
        <v>12</v>
      </c>
      <c r="H88" s="72" t="str">
        <f t="shared" si="12"/>
        <v/>
      </c>
      <c r="I88" s="7">
        <f t="shared" si="13"/>
        <v>5.8106897720796802E-2</v>
      </c>
      <c r="J88" s="7">
        <f t="shared" si="14"/>
        <v>27.2</v>
      </c>
      <c r="K88" s="7">
        <f t="shared" si="11"/>
        <v>23.115173580911879</v>
      </c>
    </row>
    <row r="89" spans="1:11" x14ac:dyDescent="0.3">
      <c r="A89" s="16">
        <v>68</v>
      </c>
      <c r="B89" s="16">
        <v>188</v>
      </c>
      <c r="C89" s="16">
        <v>198</v>
      </c>
      <c r="D89" s="16"/>
      <c r="E89" s="4">
        <f t="shared" si="9"/>
        <v>0</v>
      </c>
      <c r="F89" s="7">
        <f t="shared" si="10"/>
        <v>19.3</v>
      </c>
      <c r="G89" s="80"/>
      <c r="H89" s="72" t="str">
        <f t="shared" si="12"/>
        <v/>
      </c>
      <c r="I89" s="7">
        <f t="shared" si="13"/>
        <v>2.9255296188391556E-2</v>
      </c>
      <c r="J89" s="7" t="str">
        <f t="shared" si="14"/>
        <v/>
      </c>
      <c r="K89" s="7">
        <f t="shared" si="11"/>
        <v>20.416807535085695</v>
      </c>
    </row>
    <row r="90" spans="1:11" x14ac:dyDescent="0.3">
      <c r="A90" s="16">
        <v>69</v>
      </c>
      <c r="B90" s="16">
        <v>170</v>
      </c>
      <c r="C90" s="16">
        <v>155</v>
      </c>
      <c r="D90" s="16"/>
      <c r="E90" s="4">
        <f t="shared" si="9"/>
        <v>0</v>
      </c>
      <c r="F90" s="7">
        <f t="shared" si="10"/>
        <v>16.25</v>
      </c>
      <c r="G90" s="80"/>
      <c r="H90" s="72" t="str">
        <f t="shared" si="12"/>
        <v/>
      </c>
      <c r="I90" s="7">
        <f t="shared" si="13"/>
        <v>2.0739420252213869E-2</v>
      </c>
      <c r="J90" s="7" t="str">
        <f t="shared" si="14"/>
        <v/>
      </c>
      <c r="K90" s="7">
        <f t="shared" si="11"/>
        <v>18.842994363404184</v>
      </c>
    </row>
    <row r="91" spans="1:11" x14ac:dyDescent="0.3">
      <c r="A91" s="16">
        <v>70</v>
      </c>
      <c r="B91" s="16">
        <v>235</v>
      </c>
      <c r="C91" s="16">
        <v>239</v>
      </c>
      <c r="D91" s="16"/>
      <c r="E91" s="4">
        <f t="shared" si="9"/>
        <v>0</v>
      </c>
      <c r="F91" s="7">
        <f t="shared" si="10"/>
        <v>23.7</v>
      </c>
      <c r="G91" s="80"/>
      <c r="H91" s="72" t="str">
        <f t="shared" si="12"/>
        <v/>
      </c>
      <c r="I91" s="7">
        <f t="shared" si="13"/>
        <v>4.4115029439871264E-2</v>
      </c>
      <c r="J91" s="7" t="str">
        <f t="shared" si="14"/>
        <v/>
      </c>
      <c r="K91" s="7">
        <f t="shared" si="11"/>
        <v>22.10280635936731</v>
      </c>
    </row>
    <row r="92" spans="1:11" x14ac:dyDescent="0.3">
      <c r="A92" s="60">
        <v>71</v>
      </c>
      <c r="B92" s="60">
        <v>284</v>
      </c>
      <c r="C92" s="60">
        <v>289</v>
      </c>
      <c r="D92" s="60">
        <v>25.5</v>
      </c>
      <c r="E92" s="61">
        <f t="shared" si="9"/>
        <v>0</v>
      </c>
      <c r="F92" s="62">
        <f t="shared" si="10"/>
        <v>28.65</v>
      </c>
      <c r="G92" s="79">
        <v>5</v>
      </c>
      <c r="H92" s="72">
        <f t="shared" si="12"/>
        <v>25.5</v>
      </c>
      <c r="I92" s="7">
        <f t="shared" si="13"/>
        <v>6.4467248397530194E-2</v>
      </c>
      <c r="J92" s="7">
        <f t="shared" si="14"/>
        <v>28.65</v>
      </c>
      <c r="K92" s="7">
        <f t="shared" si="11"/>
        <v>23.472682909723726</v>
      </c>
    </row>
    <row r="93" spans="1:11" x14ac:dyDescent="0.3">
      <c r="A93" s="16">
        <v>72</v>
      </c>
      <c r="B93" s="16">
        <v>198</v>
      </c>
      <c r="C93" s="16">
        <v>211</v>
      </c>
      <c r="D93" s="16"/>
      <c r="E93" s="4">
        <f t="shared" si="9"/>
        <v>0</v>
      </c>
      <c r="F93" s="7">
        <f t="shared" si="10"/>
        <v>20.45</v>
      </c>
      <c r="G93" s="80"/>
      <c r="H93" s="72" t="str">
        <f t="shared" si="12"/>
        <v/>
      </c>
      <c r="I93" s="7">
        <f t="shared" si="13"/>
        <v>3.2845547542822137E-2</v>
      </c>
      <c r="J93" s="7" t="str">
        <f t="shared" si="14"/>
        <v/>
      </c>
      <c r="K93" s="7">
        <f t="shared" si="11"/>
        <v>20.913449164546542</v>
      </c>
    </row>
    <row r="94" spans="1:11" x14ac:dyDescent="0.3">
      <c r="A94" s="60">
        <v>73</v>
      </c>
      <c r="B94" s="60">
        <v>269</v>
      </c>
      <c r="C94" s="60">
        <v>273</v>
      </c>
      <c r="D94" s="60">
        <v>22.5</v>
      </c>
      <c r="E94" s="61">
        <f t="shared" si="9"/>
        <v>0</v>
      </c>
      <c r="F94" s="62">
        <f t="shared" si="10"/>
        <v>27.1</v>
      </c>
      <c r="G94" s="79">
        <v>13</v>
      </c>
      <c r="H94" s="72">
        <f t="shared" si="12"/>
        <v>22.5</v>
      </c>
      <c r="I94" s="7">
        <f t="shared" si="13"/>
        <v>5.7680426518072009E-2</v>
      </c>
      <c r="J94" s="7">
        <f t="shared" si="14"/>
        <v>27.1</v>
      </c>
      <c r="K94" s="7">
        <f t="shared" si="11"/>
        <v>23.089321548490844</v>
      </c>
    </row>
    <row r="95" spans="1:11" x14ac:dyDescent="0.3">
      <c r="A95" s="16">
        <v>74</v>
      </c>
      <c r="B95" s="16">
        <v>244</v>
      </c>
      <c r="C95" s="16">
        <v>236</v>
      </c>
      <c r="D95" s="16"/>
      <c r="E95" s="4">
        <f t="shared" si="9"/>
        <v>0</v>
      </c>
      <c r="F95" s="7">
        <f t="shared" si="10"/>
        <v>24</v>
      </c>
      <c r="G95" s="80"/>
      <c r="H95" s="72" t="str">
        <f t="shared" si="12"/>
        <v/>
      </c>
      <c r="I95" s="7">
        <f t="shared" si="13"/>
        <v>4.5238934211693019E-2</v>
      </c>
      <c r="J95" s="7" t="str">
        <f t="shared" si="14"/>
        <v/>
      </c>
      <c r="K95" s="7">
        <f t="shared" si="11"/>
        <v>22.199174355570026</v>
      </c>
    </row>
    <row r="96" spans="1:11" x14ac:dyDescent="0.3">
      <c r="A96" s="16">
        <v>75</v>
      </c>
      <c r="B96" s="16">
        <v>236</v>
      </c>
      <c r="C96" s="16">
        <v>240</v>
      </c>
      <c r="D96" s="16"/>
      <c r="E96" s="4">
        <f t="shared" si="9"/>
        <v>0</v>
      </c>
      <c r="F96" s="7">
        <f t="shared" si="10"/>
        <v>23.8</v>
      </c>
      <c r="G96" s="80"/>
      <c r="H96" s="72" t="str">
        <f t="shared" si="12"/>
        <v/>
      </c>
      <c r="I96" s="7">
        <f t="shared" si="13"/>
        <v>4.4488093567485065E-2</v>
      </c>
      <c r="J96" s="7" t="str">
        <f t="shared" si="14"/>
        <v/>
      </c>
      <c r="K96" s="7">
        <f t="shared" si="11"/>
        <v>22.135152196835143</v>
      </c>
    </row>
    <row r="97" spans="1:11" x14ac:dyDescent="0.3">
      <c r="A97" s="16">
        <v>76</v>
      </c>
      <c r="B97" s="16">
        <v>226</v>
      </c>
      <c r="C97" s="16">
        <v>218</v>
      </c>
      <c r="D97" s="16"/>
      <c r="E97" s="4">
        <f t="shared" si="9"/>
        <v>0</v>
      </c>
      <c r="F97" s="7">
        <f t="shared" si="10"/>
        <v>22.2</v>
      </c>
      <c r="G97" s="80"/>
      <c r="H97" s="72" t="str">
        <f t="shared" si="12"/>
        <v/>
      </c>
      <c r="I97" s="7">
        <f t="shared" si="13"/>
        <v>3.870756308487984E-2</v>
      </c>
      <c r="J97" s="7" t="str">
        <f t="shared" si="14"/>
        <v/>
      </c>
      <c r="K97" s="7">
        <f t="shared" si="11"/>
        <v>21.589094528444001</v>
      </c>
    </row>
    <row r="98" spans="1:11" x14ac:dyDescent="0.3">
      <c r="A98" s="16">
        <v>77</v>
      </c>
      <c r="B98" s="16">
        <v>179</v>
      </c>
      <c r="C98" s="16">
        <v>171</v>
      </c>
      <c r="D98" s="16"/>
      <c r="E98" s="4">
        <f t="shared" si="9"/>
        <v>0</v>
      </c>
      <c r="F98" s="7">
        <f t="shared" si="10"/>
        <v>17.5</v>
      </c>
      <c r="G98" s="80"/>
      <c r="H98" s="72" t="str">
        <f t="shared" si="12"/>
        <v/>
      </c>
      <c r="I98" s="7">
        <f t="shared" si="13"/>
        <v>2.4052818754046853E-2</v>
      </c>
      <c r="J98" s="7" t="str">
        <f t="shared" si="14"/>
        <v/>
      </c>
      <c r="K98" s="7">
        <f t="shared" si="11"/>
        <v>19.538729937529688</v>
      </c>
    </row>
    <row r="99" spans="1:11" x14ac:dyDescent="0.3">
      <c r="A99" s="60">
        <v>78</v>
      </c>
      <c r="B99" s="60">
        <v>294</v>
      </c>
      <c r="C99" s="60">
        <v>301</v>
      </c>
      <c r="D99" s="60"/>
      <c r="E99" s="61">
        <f t="shared" si="9"/>
        <v>0</v>
      </c>
      <c r="F99" s="62">
        <f t="shared" si="10"/>
        <v>29.75</v>
      </c>
      <c r="G99" s="79">
        <v>1</v>
      </c>
      <c r="H99" s="72" t="str">
        <f t="shared" si="12"/>
        <v/>
      </c>
      <c r="I99" s="7">
        <f t="shared" si="13"/>
        <v>6.9512646199195408E-2</v>
      </c>
      <c r="J99" s="7">
        <f t="shared" si="14"/>
        <v>29.75</v>
      </c>
      <c r="K99" s="7">
        <f t="shared" si="11"/>
        <v>23.723892478272571</v>
      </c>
    </row>
    <row r="100" spans="1:11" x14ac:dyDescent="0.3">
      <c r="A100" s="16">
        <v>79</v>
      </c>
      <c r="B100" s="16">
        <v>182</v>
      </c>
      <c r="C100" s="16">
        <v>190</v>
      </c>
      <c r="D100" s="16"/>
      <c r="E100" s="4">
        <f t="shared" si="9"/>
        <v>0</v>
      </c>
      <c r="F100" s="7">
        <f t="shared" si="10"/>
        <v>18.600000000000001</v>
      </c>
      <c r="G100" s="80"/>
      <c r="H100" s="72" t="str">
        <f t="shared" si="12"/>
        <v/>
      </c>
      <c r="I100" s="7">
        <f t="shared" si="13"/>
        <v>2.717163486089812E-2</v>
      </c>
      <c r="J100" s="7" t="str">
        <f t="shared" si="14"/>
        <v/>
      </c>
      <c r="K100" s="7">
        <f t="shared" si="11"/>
        <v>20.091041122263476</v>
      </c>
    </row>
    <row r="101" spans="1:11" x14ac:dyDescent="0.3">
      <c r="A101" s="16">
        <v>80</v>
      </c>
      <c r="B101" s="16">
        <v>245</v>
      </c>
      <c r="C101" s="16">
        <v>242</v>
      </c>
      <c r="D101" s="16">
        <v>22</v>
      </c>
      <c r="E101" s="4">
        <f t="shared" si="9"/>
        <v>0</v>
      </c>
      <c r="F101" s="7">
        <f t="shared" si="10"/>
        <v>24.35</v>
      </c>
      <c r="G101" s="80"/>
      <c r="H101" s="72" t="str">
        <f t="shared" si="12"/>
        <v/>
      </c>
      <c r="I101" s="7">
        <f t="shared" si="13"/>
        <v>4.6568024253702357E-2</v>
      </c>
      <c r="J101" s="7" t="str">
        <f t="shared" si="14"/>
        <v/>
      </c>
      <c r="K101" s="7">
        <f t="shared" si="11"/>
        <v>22.309112026146554</v>
      </c>
    </row>
  </sheetData>
  <autoFilter ref="A21:AL101"/>
  <sortState ref="A20:G99">
    <sortCondition ref="A20:A99"/>
  </sortState>
  <mergeCells count="7">
    <mergeCell ref="A17:H17"/>
    <mergeCell ref="A15:H15"/>
    <mergeCell ref="A16:H16"/>
    <mergeCell ref="A11:H11"/>
    <mergeCell ref="A12:H12"/>
    <mergeCell ref="A13:H13"/>
    <mergeCell ref="A14:H1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4" r:id="rId4">
          <objectPr defaultSize="0" autoPict="0" r:id="rId5">
            <anchor moveWithCells="1" sizeWithCells="1">
              <from>
                <xdr:col>7</xdr:col>
                <xdr:colOff>144780</xdr:colOff>
                <xdr:row>0</xdr:row>
                <xdr:rowOff>190500</xdr:rowOff>
              </from>
              <to>
                <xdr:col>9</xdr:col>
                <xdr:colOff>594360</xdr:colOff>
                <xdr:row>5</xdr:row>
                <xdr:rowOff>60960</xdr:rowOff>
              </to>
            </anchor>
          </objectPr>
        </oleObject>
      </mc:Choice>
      <mc:Fallback>
        <oleObject progId="Equation.3" shapeId="3074" r:id="rId4"/>
      </mc:Fallback>
    </mc:AlternateContent>
    <mc:AlternateContent xmlns:mc="http://schemas.openxmlformats.org/markup-compatibility/2006">
      <mc:Choice Requires="x14">
        <oleObject progId="Equation.3" shapeId="3075" r:id="rId6">
          <objectPr defaultSize="0" autoPict="0" r:id="rId7">
            <anchor moveWithCells="1" sizeWithCells="1">
              <from>
                <xdr:col>11</xdr:col>
                <xdr:colOff>38100</xdr:colOff>
                <xdr:row>1</xdr:row>
                <xdr:rowOff>15240</xdr:rowOff>
              </from>
              <to>
                <xdr:col>16</xdr:col>
                <xdr:colOff>7620</xdr:colOff>
                <xdr:row>3</xdr:row>
                <xdr:rowOff>91440</xdr:rowOff>
              </to>
            </anchor>
          </objectPr>
        </oleObject>
      </mc:Choice>
      <mc:Fallback>
        <oleObject progId="Equation.3" shapeId="3075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ficha de campo</vt:lpstr>
      <vt:lpstr>Ex_321</vt:lpstr>
      <vt:lpstr>Ex_322</vt:lpstr>
      <vt:lpstr>Ex_321!_Toc36579243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cp:lastPrinted>2021-03-03T15:02:35Z</cp:lastPrinted>
  <dcterms:created xsi:type="dcterms:W3CDTF">2021-03-03T15:01:09Z</dcterms:created>
  <dcterms:modified xsi:type="dcterms:W3CDTF">2022-03-25T17:43:33Z</dcterms:modified>
</cp:coreProperties>
</file>