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2-23_Inventario\Exercicios\"/>
    </mc:Choice>
  </mc:AlternateContent>
  <bookViews>
    <workbookView xWindow="0" yWindow="0" windowWidth="23040" windowHeight="8904" tabRatio="709" activeTab="1"/>
  </bookViews>
  <sheets>
    <sheet name="ficha de campo" sheetId="2" r:id="rId1"/>
    <sheet name="322" sheetId="13" r:id="rId2"/>
    <sheet name="322_K" sheetId="14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4" l="1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11" i="14"/>
  <c r="M6" i="14"/>
  <c r="M4" i="14"/>
  <c r="M3" i="14"/>
  <c r="M5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11" i="14"/>
  <c r="AA6" i="13"/>
  <c r="AB4" i="13"/>
  <c r="AB5" i="13" s="1"/>
  <c r="AA2" i="13"/>
  <c r="K3" i="13" l="1"/>
  <c r="M20" i="13"/>
  <c r="N2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38" i="13"/>
  <c r="N39" i="13"/>
  <c r="N40" i="13"/>
  <c r="N37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G20" i="13" l="1"/>
  <c r="K1" i="13"/>
  <c r="T4" i="13"/>
  <c r="K2" i="13"/>
  <c r="L20" i="13"/>
  <c r="K20" i="13"/>
  <c r="T3" i="13"/>
  <c r="L21" i="13" l="1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J21" i="13" l="1"/>
  <c r="J22" i="13"/>
  <c r="J23" i="13"/>
  <c r="K23" i="13" s="1"/>
  <c r="J24" i="13"/>
  <c r="J25" i="13"/>
  <c r="J26" i="13"/>
  <c r="K26" i="13" s="1"/>
  <c r="J27" i="13"/>
  <c r="J28" i="13"/>
  <c r="K28" i="13" s="1"/>
  <c r="J29" i="13"/>
  <c r="J30" i="13"/>
  <c r="J31" i="13"/>
  <c r="K31" i="13" s="1"/>
  <c r="J32" i="13"/>
  <c r="K32" i="13" s="1"/>
  <c r="J33" i="13"/>
  <c r="K33" i="13" s="1"/>
  <c r="J34" i="13"/>
  <c r="K34" i="13" s="1"/>
  <c r="J35" i="13"/>
  <c r="J36" i="13"/>
  <c r="J37" i="13"/>
  <c r="J38" i="13"/>
  <c r="J39" i="13"/>
  <c r="K39" i="13" s="1"/>
  <c r="J40" i="13"/>
  <c r="K40" i="13" s="1"/>
  <c r="J41" i="13"/>
  <c r="K41" i="13" s="1"/>
  <c r="J42" i="13"/>
  <c r="K42" i="13" s="1"/>
  <c r="J43" i="13"/>
  <c r="J44" i="13"/>
  <c r="J45" i="13"/>
  <c r="J46" i="13"/>
  <c r="J47" i="13"/>
  <c r="K47" i="13" s="1"/>
  <c r="J48" i="13"/>
  <c r="K48" i="13" s="1"/>
  <c r="J49" i="13"/>
  <c r="K49" i="13" s="1"/>
  <c r="J50" i="13"/>
  <c r="K50" i="13" s="1"/>
  <c r="J51" i="13"/>
  <c r="J52" i="13"/>
  <c r="J53" i="13"/>
  <c r="J54" i="13"/>
  <c r="J55" i="13"/>
  <c r="K55" i="13" s="1"/>
  <c r="J56" i="13"/>
  <c r="K56" i="13" s="1"/>
  <c r="J57" i="13"/>
  <c r="K57" i="13" s="1"/>
  <c r="J58" i="13"/>
  <c r="K58" i="13" s="1"/>
  <c r="J59" i="13"/>
  <c r="J60" i="13"/>
  <c r="J61" i="13"/>
  <c r="J62" i="13"/>
  <c r="J63" i="13"/>
  <c r="K63" i="13" s="1"/>
  <c r="J64" i="13"/>
  <c r="K64" i="13" s="1"/>
  <c r="J65" i="13"/>
  <c r="K65" i="13" s="1"/>
  <c r="J66" i="13"/>
  <c r="K66" i="13" s="1"/>
  <c r="J67" i="13"/>
  <c r="J68" i="13"/>
  <c r="J69" i="13"/>
  <c r="J70" i="13"/>
  <c r="J71" i="13"/>
  <c r="K71" i="13" s="1"/>
  <c r="J72" i="13"/>
  <c r="K72" i="13" s="1"/>
  <c r="J73" i="13"/>
  <c r="K73" i="13" s="1"/>
  <c r="J74" i="13"/>
  <c r="K74" i="13" s="1"/>
  <c r="J75" i="13"/>
  <c r="J76" i="13"/>
  <c r="J77" i="13"/>
  <c r="J78" i="13"/>
  <c r="J79" i="13"/>
  <c r="K79" i="13" s="1"/>
  <c r="J80" i="13"/>
  <c r="K80" i="13" s="1"/>
  <c r="J81" i="13"/>
  <c r="K81" i="13" s="1"/>
  <c r="J82" i="13"/>
  <c r="K82" i="13" s="1"/>
  <c r="J83" i="13"/>
  <c r="J84" i="13"/>
  <c r="J85" i="13"/>
  <c r="J86" i="13"/>
  <c r="J87" i="13"/>
  <c r="K87" i="13" s="1"/>
  <c r="J88" i="13"/>
  <c r="K88" i="13" s="1"/>
  <c r="J89" i="13"/>
  <c r="K89" i="13" s="1"/>
  <c r="J90" i="13"/>
  <c r="K90" i="13" s="1"/>
  <c r="J91" i="13"/>
  <c r="J92" i="13"/>
  <c r="J93" i="13"/>
  <c r="J94" i="13"/>
  <c r="J95" i="13"/>
  <c r="K95" i="13" s="1"/>
  <c r="J96" i="13"/>
  <c r="K96" i="13" s="1"/>
  <c r="J97" i="13"/>
  <c r="K97" i="13" s="1"/>
  <c r="J98" i="13"/>
  <c r="K98" i="13" s="1"/>
  <c r="J99" i="13"/>
  <c r="J20" i="13"/>
  <c r="K21" i="13"/>
  <c r="K22" i="13"/>
  <c r="K24" i="13"/>
  <c r="K25" i="13"/>
  <c r="K27" i="13"/>
  <c r="K29" i="13"/>
  <c r="K30" i="13"/>
  <c r="K35" i="13"/>
  <c r="K36" i="13"/>
  <c r="K37" i="13"/>
  <c r="K38" i="13"/>
  <c r="K43" i="13"/>
  <c r="K44" i="13"/>
  <c r="K45" i="13"/>
  <c r="K46" i="13"/>
  <c r="K51" i="13"/>
  <c r="K52" i="13"/>
  <c r="K53" i="13"/>
  <c r="K54" i="13"/>
  <c r="K59" i="13"/>
  <c r="K60" i="13"/>
  <c r="K61" i="13"/>
  <c r="K62" i="13"/>
  <c r="K67" i="13"/>
  <c r="K68" i="13"/>
  <c r="K69" i="13"/>
  <c r="K70" i="13"/>
  <c r="K75" i="13"/>
  <c r="K76" i="13"/>
  <c r="K77" i="13"/>
  <c r="K78" i="13"/>
  <c r="K83" i="13"/>
  <c r="K84" i="13"/>
  <c r="K85" i="13"/>
  <c r="K86" i="13"/>
  <c r="K91" i="13"/>
  <c r="K92" i="13"/>
  <c r="K93" i="13"/>
  <c r="K94" i="13"/>
  <c r="K99" i="13"/>
  <c r="F37" i="13"/>
  <c r="F21" i="13"/>
  <c r="F38" i="13"/>
  <c r="F39" i="13"/>
  <c r="F20" i="13"/>
  <c r="F40" i="13"/>
  <c r="F41" i="13"/>
  <c r="F22" i="13"/>
  <c r="F42" i="13"/>
  <c r="F23" i="13"/>
  <c r="F43" i="13"/>
  <c r="F44" i="13"/>
  <c r="F26" i="13"/>
  <c r="F29" i="13"/>
  <c r="F24" i="13"/>
  <c r="F45" i="13"/>
  <c r="F46" i="13"/>
  <c r="F25" i="13"/>
  <c r="F47" i="13"/>
  <c r="F48" i="13"/>
  <c r="F49" i="13"/>
  <c r="F50" i="13"/>
  <c r="F51" i="13"/>
  <c r="F52" i="13"/>
  <c r="F30" i="13"/>
  <c r="F53" i="13"/>
  <c r="F54" i="13"/>
  <c r="F55" i="13"/>
  <c r="F56" i="13"/>
  <c r="F31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33" i="13"/>
  <c r="F69" i="13"/>
  <c r="F70" i="13"/>
  <c r="F71" i="13"/>
  <c r="F72" i="13"/>
  <c r="F73" i="13"/>
  <c r="F74" i="13"/>
  <c r="F75" i="13"/>
  <c r="F76" i="13"/>
  <c r="F27" i="13"/>
  <c r="F77" i="13"/>
  <c r="F78" i="13"/>
  <c r="F28" i="13"/>
  <c r="F79" i="13"/>
  <c r="F80" i="13"/>
  <c r="F81" i="13"/>
  <c r="F82" i="13"/>
  <c r="F83" i="13"/>
  <c r="F84" i="13"/>
  <c r="F85" i="13"/>
  <c r="F32" i="13"/>
  <c r="F86" i="13"/>
  <c r="F87" i="13"/>
  <c r="F88" i="13"/>
  <c r="F89" i="13"/>
  <c r="F90" i="13"/>
  <c r="F91" i="13"/>
  <c r="F92" i="13"/>
  <c r="F34" i="13"/>
  <c r="F93" i="13"/>
  <c r="F35" i="13"/>
  <c r="F36" i="13"/>
  <c r="F94" i="13"/>
  <c r="F95" i="13"/>
  <c r="F96" i="13"/>
  <c r="F97" i="13"/>
  <c r="F98" i="13"/>
  <c r="F99" i="13"/>
  <c r="B12" i="13"/>
  <c r="B11" i="13"/>
  <c r="G35" i="13"/>
  <c r="H35" i="13" s="1"/>
  <c r="G34" i="13"/>
  <c r="H34" i="13" s="1"/>
  <c r="G33" i="13"/>
  <c r="H33" i="13" s="1"/>
  <c r="G32" i="13"/>
  <c r="H32" i="13" s="1"/>
  <c r="G30" i="13"/>
  <c r="H30" i="13" s="1"/>
  <c r="G29" i="13"/>
  <c r="H29" i="13" s="1"/>
  <c r="G31" i="13"/>
  <c r="H31" i="13" s="1"/>
  <c r="G27" i="13"/>
  <c r="H27" i="13" s="1"/>
  <c r="G28" i="13"/>
  <c r="H28" i="13" s="1"/>
  <c r="G26" i="13"/>
  <c r="H26" i="13" s="1"/>
  <c r="G25" i="13"/>
  <c r="H25" i="13" s="1"/>
  <c r="G24" i="13"/>
  <c r="H24" i="13" s="1"/>
  <c r="G23" i="13"/>
  <c r="H23" i="13" s="1"/>
  <c r="G21" i="13"/>
  <c r="H21" i="13" s="1"/>
  <c r="G22" i="13"/>
  <c r="H22" i="13" s="1"/>
  <c r="H20" i="13"/>
  <c r="G43" i="13"/>
  <c r="H43" i="13" s="1"/>
  <c r="G76" i="13"/>
  <c r="H76" i="13" s="1"/>
  <c r="G48" i="13"/>
  <c r="H48" i="13" s="1"/>
  <c r="G45" i="13"/>
  <c r="H45" i="13" s="1"/>
  <c r="G53" i="13"/>
  <c r="H53" i="13" s="1"/>
  <c r="G94" i="13"/>
  <c r="H94" i="13" s="1"/>
  <c r="G72" i="13"/>
  <c r="H72" i="13" s="1"/>
  <c r="G81" i="13"/>
  <c r="H81" i="13" s="1"/>
  <c r="G95" i="13"/>
  <c r="H95" i="13" s="1"/>
  <c r="G52" i="13"/>
  <c r="H52" i="13" s="1"/>
  <c r="G41" i="13"/>
  <c r="H41" i="13" s="1"/>
  <c r="G80" i="13"/>
  <c r="H80" i="13" s="1"/>
  <c r="G55" i="13"/>
  <c r="H55" i="13" s="1"/>
  <c r="G50" i="13"/>
  <c r="H50" i="13" s="1"/>
  <c r="G73" i="13"/>
  <c r="H73" i="13" s="1"/>
  <c r="G67" i="13"/>
  <c r="H67" i="13" s="1"/>
  <c r="G92" i="13"/>
  <c r="H92" i="13" s="1"/>
  <c r="G85" i="13"/>
  <c r="H85" i="13" s="1"/>
  <c r="G84" i="13"/>
  <c r="H84" i="13" s="1"/>
  <c r="G69" i="13"/>
  <c r="H69" i="13" s="1"/>
  <c r="G96" i="13"/>
  <c r="H96" i="13" s="1"/>
  <c r="G90" i="13"/>
  <c r="H90" i="13" s="1"/>
  <c r="G56" i="13"/>
  <c r="H56" i="13" s="1"/>
  <c r="G65" i="13"/>
  <c r="H65" i="13" s="1"/>
  <c r="G57" i="13"/>
  <c r="H57" i="13" s="1"/>
  <c r="G74" i="13"/>
  <c r="H74" i="13" s="1"/>
  <c r="G70" i="13"/>
  <c r="H70" i="13" s="1"/>
  <c r="G64" i="13"/>
  <c r="H64" i="13" s="1"/>
  <c r="G75" i="13"/>
  <c r="H75" i="13" s="1"/>
  <c r="G40" i="13"/>
  <c r="H40" i="13" s="1"/>
  <c r="G77" i="13"/>
  <c r="H77" i="13" s="1"/>
  <c r="G87" i="13"/>
  <c r="H87" i="13" s="1"/>
  <c r="G54" i="13"/>
  <c r="H54" i="13" s="1"/>
  <c r="G47" i="13"/>
  <c r="H47" i="13" s="1"/>
  <c r="G51" i="13"/>
  <c r="H51" i="13" s="1"/>
  <c r="G83" i="13"/>
  <c r="H83" i="13" s="1"/>
  <c r="G78" i="13"/>
  <c r="H78" i="13" s="1"/>
  <c r="G58" i="13"/>
  <c r="H58" i="13" s="1"/>
  <c r="G97" i="13"/>
  <c r="H97" i="13" s="1"/>
  <c r="G98" i="13"/>
  <c r="H98" i="13" s="1"/>
  <c r="G39" i="13"/>
  <c r="H39" i="13" s="1"/>
  <c r="G63" i="13"/>
  <c r="H63" i="13" s="1"/>
  <c r="G46" i="13"/>
  <c r="H46" i="13" s="1"/>
  <c r="G93" i="13"/>
  <c r="H93" i="13" s="1"/>
  <c r="G66" i="13"/>
  <c r="H66" i="13" s="1"/>
  <c r="G79" i="13"/>
  <c r="H79" i="13" s="1"/>
  <c r="G49" i="13"/>
  <c r="H49" i="13" s="1"/>
  <c r="G68" i="13"/>
  <c r="H68" i="13" s="1"/>
  <c r="G42" i="13"/>
  <c r="H42" i="13" s="1"/>
  <c r="G99" i="13"/>
  <c r="H99" i="13" s="1"/>
  <c r="G61" i="13"/>
  <c r="H61" i="13" s="1"/>
  <c r="G38" i="13"/>
  <c r="H38" i="13" s="1"/>
  <c r="G44" i="13"/>
  <c r="H44" i="13" s="1"/>
  <c r="G86" i="13"/>
  <c r="H86" i="13" s="1"/>
  <c r="G91" i="13"/>
  <c r="H91" i="13" s="1"/>
  <c r="G62" i="13"/>
  <c r="H62" i="13" s="1"/>
  <c r="G82" i="13"/>
  <c r="H82" i="13" s="1"/>
  <c r="G59" i="13"/>
  <c r="H59" i="13" s="1"/>
  <c r="G60" i="13"/>
  <c r="H60" i="13" s="1"/>
  <c r="G71" i="13"/>
  <c r="H71" i="13" s="1"/>
  <c r="G89" i="13"/>
  <c r="H89" i="13" s="1"/>
  <c r="G37" i="13"/>
  <c r="H37" i="13" s="1"/>
  <c r="G88" i="13"/>
  <c r="H88" i="13" s="1"/>
  <c r="G36" i="13"/>
  <c r="H36" i="13" s="1"/>
  <c r="K5" i="13" l="1"/>
  <c r="H16" i="13"/>
  <c r="K6" i="13" s="1"/>
  <c r="K4" i="13"/>
  <c r="K7" i="13" l="1"/>
</calcChain>
</file>

<file path=xl/sharedStrings.xml><?xml version="1.0" encoding="utf-8"?>
<sst xmlns="http://schemas.openxmlformats.org/spreadsheetml/2006/main" count="157" uniqueCount="98">
  <si>
    <t>Altura</t>
  </si>
  <si>
    <t>id_arv</t>
  </si>
  <si>
    <t>d1 c/casca</t>
  </si>
  <si>
    <t>d2 c/casca</t>
  </si>
  <si>
    <t>d (cm)</t>
  </si>
  <si>
    <t>h</t>
  </si>
  <si>
    <r>
      <t xml:space="preserve">PARCELA nº: </t>
    </r>
    <r>
      <rPr>
        <sz val="11"/>
        <color rgb="FF0000FF"/>
        <rFont val="Monotype Corsiva"/>
        <family val="4"/>
      </rPr>
      <t>35</t>
    </r>
  </si>
  <si>
    <t>Distribuição de diâmetros</t>
  </si>
  <si>
    <t xml:space="preserve">Medição de d´s </t>
  </si>
  <si>
    <t>Classe d</t>
  </si>
  <si>
    <r>
      <t>Espécie principal</t>
    </r>
    <r>
      <rPr>
        <b/>
        <sz val="10"/>
        <color rgb="FF333399"/>
        <rFont val="Monotype Corsiva"/>
        <family val="4"/>
      </rPr>
      <t xml:space="preserve">: </t>
    </r>
    <r>
      <rPr>
        <sz val="12"/>
        <color rgb="FF0000FF"/>
        <rFont val="Monotype Corsiva"/>
        <family val="4"/>
      </rPr>
      <t>Pb</t>
    </r>
  </si>
  <si>
    <t>Outras:</t>
  </si>
  <si>
    <r>
      <t xml:space="preserve">Espécie principal: </t>
    </r>
    <r>
      <rPr>
        <sz val="12"/>
        <color rgb="FF0000FF"/>
        <rFont val="Monotype Corsiva"/>
        <family val="4"/>
      </rPr>
      <t>Pb</t>
    </r>
  </si>
  <si>
    <r>
      <t xml:space="preserve">Outras: </t>
    </r>
    <r>
      <rPr>
        <sz val="11"/>
        <color rgb="FF0000FF"/>
        <rFont val="Monotype Corsiva"/>
        <family val="4"/>
      </rPr>
      <t>Pm</t>
    </r>
  </si>
  <si>
    <t>2.5-7.4</t>
  </si>
  <si>
    <t>II</t>
  </si>
  <si>
    <t>7.5-12.4</t>
  </si>
  <si>
    <t>12.5-17.4</t>
  </si>
  <si>
    <t>IIII</t>
  </si>
  <si>
    <t>17.5-22.4</t>
  </si>
  <si>
    <t>22.5-27.4</t>
  </si>
  <si>
    <t>27.5-32.4</t>
  </si>
  <si>
    <t>I</t>
  </si>
  <si>
    <t>32.5-37.4</t>
  </si>
  <si>
    <t>37.5-42.4</t>
  </si>
  <si>
    <t>42.5-47.4</t>
  </si>
  <si>
    <t>47.5-52.4</t>
  </si>
  <si>
    <t>52.5-57.4</t>
  </si>
  <si>
    <t>57.5-62.4</t>
  </si>
  <si>
    <t>62.5-67.4</t>
  </si>
  <si>
    <t>&gt;=67.4</t>
  </si>
  <si>
    <t>Árvores modelo</t>
  </si>
  <si>
    <t>Nº</t>
  </si>
  <si>
    <t>Esp</t>
  </si>
  <si>
    <t>d</t>
  </si>
  <si>
    <r>
      <t>h</t>
    </r>
    <r>
      <rPr>
        <b/>
        <vertAlign val="subscript"/>
        <sz val="9"/>
        <color theme="1"/>
        <rFont val="Arial"/>
        <family val="2"/>
      </rPr>
      <t>copa</t>
    </r>
  </si>
  <si>
    <t>casc</t>
  </si>
  <si>
    <r>
      <t>i</t>
    </r>
    <r>
      <rPr>
        <b/>
        <vertAlign val="subscript"/>
        <sz val="9"/>
        <color theme="1"/>
        <rFont val="Arial"/>
        <family val="2"/>
      </rPr>
      <t>d</t>
    </r>
  </si>
  <si>
    <t>Pb</t>
  </si>
  <si>
    <t>IIIII</t>
  </si>
  <si>
    <t>b) O índice de qualidade da estação (idade padrão 10 anos para Ec), S =</t>
  </si>
  <si>
    <t>extra) ddom =</t>
  </si>
  <si>
    <t>Anexo I, Tabela 15</t>
  </si>
  <si>
    <t>Anexo I, Tabela 2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</si>
  <si>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</si>
  <si>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</si>
  <si>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</si>
  <si>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</si>
  <si>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A</t>
  </si>
  <si>
    <t>n</t>
  </si>
  <si>
    <t>tp</t>
  </si>
  <si>
    <r>
      <t>a)</t>
    </r>
    <r>
      <rPr>
        <sz val="7"/>
        <rFont val="Calibri"/>
        <family val="2"/>
        <scheme val="minor"/>
      </rPr>
      <t>  </t>
    </r>
    <r>
      <rPr>
        <sz val="11"/>
        <rFont val="Calibri"/>
        <family val="2"/>
        <scheme val="minor"/>
      </rPr>
      <t>A altura dominante do povoamento (m), hdom =</t>
    </r>
  </si>
  <si>
    <r>
      <t>c)</t>
    </r>
    <r>
      <rPr>
        <sz val="7"/>
        <rFont val="Calibri"/>
        <family val="2"/>
        <scheme val="minor"/>
      </rPr>
      <t xml:space="preserve">     </t>
    </r>
    <r>
      <rPr>
        <sz val="11"/>
        <rFont val="Calibri"/>
        <family val="2"/>
        <scheme val="minor"/>
      </rPr>
      <t>O número de árvores vivas por ha, N_vivas =</t>
    </r>
  </si>
  <si>
    <r>
      <t>d)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O número de árvores mortas por ha, N_mortas =</t>
    </r>
  </si>
  <si>
    <r>
      <t>e)</t>
    </r>
    <r>
      <rPr>
        <sz val="7"/>
        <rFont val="Calibri"/>
        <family val="2"/>
        <scheme val="minor"/>
      </rPr>
      <t xml:space="preserve">     </t>
    </r>
    <r>
      <rPr>
        <sz val="11"/>
        <rFont val="Calibri"/>
        <family val="2"/>
        <scheme val="minor"/>
      </rPr>
      <t>A área basal por hectare 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ha</t>
    </r>
    <r>
      <rPr>
        <vertAlign val="superscript"/>
        <sz val="11"/>
        <rFont val="Calibri"/>
        <family val="2"/>
        <scheme val="minor"/>
      </rPr>
      <t>-1</t>
    </r>
    <r>
      <rPr>
        <sz val="11"/>
        <rFont val="Calibri"/>
        <family val="2"/>
        <scheme val="minor"/>
      </rPr>
      <t>), G =</t>
    </r>
  </si>
  <si>
    <t>gi (m2)</t>
  </si>
  <si>
    <t>Gpar =</t>
  </si>
  <si>
    <t>F_exp=</t>
  </si>
  <si>
    <t>Area=</t>
  </si>
  <si>
    <t>n_dom=</t>
  </si>
  <si>
    <t>cod_est</t>
  </si>
  <si>
    <t>cod_dom</t>
  </si>
  <si>
    <t>aux hdom</t>
  </si>
  <si>
    <t>hdom (m)=</t>
  </si>
  <si>
    <t>Alternativamente a calcular a hdom com recurso à criação do cod_dom (código de dominante) podiam simplesmente copiar as alturas das árvores dominantes e fazer a média numa tabelinha à parte</t>
  </si>
  <si>
    <t>id_dom</t>
  </si>
  <si>
    <t xml:space="preserve">l) Estime a altura das árvores cuja altura não foi medida com as relações hipsométricas gerais do Inventário Florestal Nacional (no ANEXO I) </t>
  </si>
  <si>
    <t>h_est (m)</t>
  </si>
  <si>
    <r>
      <t>f)</t>
    </r>
    <r>
      <rPr>
        <sz val="7"/>
        <color theme="0"/>
        <rFont val="Calibri"/>
        <family val="2"/>
        <scheme val="minor"/>
      </rPr>
      <t xml:space="preserve">     </t>
    </r>
    <r>
      <rPr>
        <sz val="11"/>
        <color theme="0"/>
        <rFont val="Calibri"/>
        <family val="2"/>
        <scheme val="minor"/>
      </rPr>
      <t>O diâmetro quadrático médio =</t>
    </r>
  </si>
  <si>
    <t>aux ddom</t>
  </si>
  <si>
    <t>ddom (m)=</t>
  </si>
  <si>
    <t>t=</t>
  </si>
  <si>
    <t xml:space="preserve">h) Quantas árvores por ha deverá desbastar para colocar o povoamento a um factor de Wilson de 0.25? </t>
  </si>
  <si>
    <r>
      <t>N</t>
    </r>
    <r>
      <rPr>
        <vertAlign val="subscript"/>
        <sz val="11"/>
        <color theme="1"/>
        <rFont val="Calibri"/>
        <family val="2"/>
        <scheme val="minor"/>
      </rPr>
      <t>FW0.25</t>
    </r>
    <r>
      <rPr>
        <sz val="11"/>
        <color theme="1"/>
        <rFont val="Calibri"/>
        <family val="2"/>
        <scheme val="minor"/>
      </rPr>
      <t>=</t>
    </r>
  </si>
  <si>
    <r>
      <t>Fw</t>
    </r>
    <r>
      <rPr>
        <vertAlign val="subscript"/>
        <sz val="11"/>
        <color theme="1"/>
        <rFont val="Calibri"/>
        <family val="2"/>
        <scheme val="minor"/>
      </rPr>
      <t>silv</t>
    </r>
    <r>
      <rPr>
        <sz val="11"/>
        <color theme="1"/>
        <rFont val="Calibri"/>
        <family val="2"/>
        <scheme val="minor"/>
      </rPr>
      <t>=</t>
    </r>
  </si>
  <si>
    <r>
      <t>N</t>
    </r>
    <r>
      <rPr>
        <vertAlign val="subscript"/>
        <sz val="11"/>
        <color theme="1"/>
        <rFont val="Calibri"/>
        <family val="2"/>
        <scheme val="minor"/>
      </rPr>
      <t>desb</t>
    </r>
    <r>
      <rPr>
        <sz val="11"/>
        <color theme="1"/>
        <rFont val="Calibri"/>
        <family val="2"/>
        <scheme val="minor"/>
      </rPr>
      <t>=</t>
    </r>
  </si>
  <si>
    <t xml:space="preserve">g)     O factor de Wilson, FW = </t>
  </si>
  <si>
    <t>j) O Índice de Densidade do Povoamento, SDI =</t>
  </si>
  <si>
    <t>k) % de coberto e coeficiente de espaçamento para as parcelas 8 e 13 das Figura 12 e Figura 13 (só para Sb)</t>
  </si>
  <si>
    <t>Parcelas permanentes da herdade do Chaparro - Parcela 8</t>
  </si>
  <si>
    <t>Narv</t>
  </si>
  <si>
    <t>Raios da Copa (m)</t>
  </si>
  <si>
    <t>N</t>
  </si>
  <si>
    <t>S</t>
  </si>
  <si>
    <t>E</t>
  </si>
  <si>
    <t>W</t>
  </si>
  <si>
    <t>Sb</t>
  </si>
  <si>
    <t>Pm</t>
  </si>
  <si>
    <t>CW_med=</t>
  </si>
  <si>
    <t>N=</t>
  </si>
  <si>
    <t>raio (m) =</t>
  </si>
  <si>
    <t>Area_p =</t>
  </si>
  <si>
    <t>Cspac=</t>
  </si>
  <si>
    <t>area copa</t>
  </si>
  <si>
    <t>CC (%) =</t>
  </si>
  <si>
    <t>r_med</t>
  </si>
  <si>
    <r>
      <rPr>
        <b/>
        <sz val="11"/>
        <color theme="9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As percentagens de coberto recomendadas por Natividade para o montado rondam os 58%. Sungundo este autor esta é a percentagem de coberto maxima e acima dela deverá realizar-se desbaste. Notem que a 58% de coberto corresponde um coef de espaçamento de 1.2. CONTUDO, na pratica os gestores florestais praticam % muito inferiores, como as obtidas para as parcelas 8 e 13.  No caso da gestão com vista a produção de cortiça e simultânea exploração cinegética (veado) os valores de % Coberto recomendados devem ficar abaixo dos 35%.</t>
    </r>
  </si>
  <si>
    <t>k) (ver folha 322_K)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</si>
</sst>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"/>
    <numFmt numFmtId="168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FF"/>
      <name val="Monotype Corsiva"/>
      <family val="4"/>
    </font>
    <font>
      <i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FF"/>
      <name val="Monotype Corsiva"/>
      <family val="4"/>
    </font>
    <font>
      <b/>
      <sz val="9"/>
      <color theme="1"/>
      <name val="Arial"/>
      <family val="2"/>
    </font>
    <font>
      <b/>
      <sz val="10"/>
      <color rgb="FF333399"/>
      <name val="Monotype Corsiva"/>
      <family val="4"/>
    </font>
    <font>
      <sz val="12"/>
      <color rgb="FF0000FF"/>
      <name val="Monotype Corsiva"/>
      <family val="4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b/>
      <vertAlign val="subscript"/>
      <sz val="9"/>
      <color theme="1"/>
      <name val="Arial"/>
      <family val="2"/>
    </font>
    <font>
      <i/>
      <sz val="10"/>
      <color rgb="FF0000FF"/>
      <name val="Monotype Corsiva"/>
      <family val="4"/>
    </font>
    <font>
      <sz val="11"/>
      <color theme="0"/>
      <name val="Calibri"/>
      <family val="2"/>
      <scheme val="minor"/>
    </font>
    <font>
      <b/>
      <sz val="10"/>
      <color theme="1"/>
      <name val="Monotype Corsiva"/>
      <family val="4"/>
    </font>
    <font>
      <sz val="10"/>
      <color theme="1"/>
      <name val="Monotype Corsiva"/>
      <family val="4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7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3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5" xfId="0" applyBorder="1"/>
    <xf numFmtId="0" fontId="0" fillId="0" borderId="0" xfId="0" applyFill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5" xfId="0" applyNumberFormat="1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0" borderId="45" xfId="0" applyBorder="1"/>
    <xf numFmtId="0" fontId="0" fillId="0" borderId="0" xfId="0" applyBorder="1"/>
    <xf numFmtId="0" fontId="0" fillId="0" borderId="51" xfId="0" applyBorder="1"/>
    <xf numFmtId="0" fontId="0" fillId="2" borderId="0" xfId="0" applyFill="1" applyBorder="1"/>
    <xf numFmtId="0" fontId="0" fillId="0" borderId="0" xfId="0" applyAlignment="1">
      <alignment horizontal="left"/>
    </xf>
    <xf numFmtId="0" fontId="0" fillId="5" borderId="5" xfId="0" applyFill="1" applyBorder="1"/>
    <xf numFmtId="0" fontId="0" fillId="0" borderId="0" xfId="0"/>
    <xf numFmtId="0" fontId="0" fillId="2" borderId="0" xfId="0" applyFill="1"/>
    <xf numFmtId="0" fontId="0" fillId="4" borderId="5" xfId="0" applyFill="1" applyBorder="1" applyAlignment="1">
      <alignment horizontal="center"/>
    </xf>
    <xf numFmtId="0" fontId="0" fillId="2" borderId="50" xfId="0" applyFill="1" applyBorder="1"/>
    <xf numFmtId="0" fontId="0" fillId="2" borderId="51" xfId="0" applyFill="1" applyBorder="1"/>
    <xf numFmtId="0" fontId="0" fillId="2" borderId="48" xfId="0" applyFill="1" applyBorder="1"/>
    <xf numFmtId="0" fontId="0" fillId="2" borderId="49" xfId="0" applyFill="1" applyBorder="1"/>
    <xf numFmtId="0" fontId="2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5" borderId="0" xfId="0" applyFill="1"/>
    <xf numFmtId="2" fontId="0" fillId="5" borderId="0" xfId="0" applyNumberFormat="1" applyFill="1"/>
    <xf numFmtId="1" fontId="0" fillId="4" borderId="0" xfId="0" applyNumberFormat="1" applyFill="1"/>
    <xf numFmtId="0" fontId="2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47" xfId="0" applyFill="1" applyBorder="1"/>
    <xf numFmtId="0" fontId="5" fillId="2" borderId="50" xfId="0" applyFont="1" applyFill="1" applyBorder="1"/>
    <xf numFmtId="0" fontId="0" fillId="9" borderId="0" xfId="0" applyFill="1"/>
    <xf numFmtId="2" fontId="17" fillId="8" borderId="46" xfId="0" applyNumberFormat="1" applyFont="1" applyFill="1" applyBorder="1"/>
    <xf numFmtId="0" fontId="0" fillId="10" borderId="47" xfId="0" applyFill="1" applyBorder="1"/>
    <xf numFmtId="0" fontId="0" fillId="10" borderId="48" xfId="0" applyFill="1" applyBorder="1"/>
    <xf numFmtId="0" fontId="0" fillId="10" borderId="49" xfId="0" applyFill="1" applyBorder="1"/>
    <xf numFmtId="0" fontId="21" fillId="10" borderId="5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0" xfId="0" applyFill="1" applyBorder="1"/>
    <xf numFmtId="0" fontId="0" fillId="10" borderId="51" xfId="0" applyFill="1" applyBorder="1"/>
    <xf numFmtId="0" fontId="20" fillId="10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52" xfId="0" applyFill="1" applyBorder="1"/>
    <xf numFmtId="0" fontId="0" fillId="10" borderId="45" xfId="0" applyFill="1" applyBorder="1"/>
    <xf numFmtId="0" fontId="0" fillId="10" borderId="45" xfId="0" applyFill="1" applyBorder="1" applyAlignment="1">
      <alignment horizontal="center" vertical="center"/>
    </xf>
    <xf numFmtId="0" fontId="0" fillId="10" borderId="53" xfId="0" applyFill="1" applyBorder="1"/>
    <xf numFmtId="0" fontId="0" fillId="10" borderId="0" xfId="0" applyFill="1"/>
    <xf numFmtId="2" fontId="17" fillId="8" borderId="0" xfId="0" applyNumberFormat="1" applyFont="1" applyFill="1" applyBorder="1"/>
    <xf numFmtId="2" fontId="0" fillId="10" borderId="0" xfId="0" applyNumberFormat="1" applyFill="1"/>
    <xf numFmtId="0" fontId="10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7" borderId="45" xfId="0" applyFill="1" applyBorder="1"/>
    <xf numFmtId="0" fontId="0" fillId="0" borderId="54" xfId="0" applyFill="1" applyBorder="1"/>
    <xf numFmtId="0" fontId="5" fillId="7" borderId="52" xfId="0" applyFont="1" applyFill="1" applyBorder="1"/>
    <xf numFmtId="0" fontId="0" fillId="10" borderId="5" xfId="0" applyFill="1" applyBorder="1" applyAlignment="1">
      <alignment horizontal="center" wrapText="1"/>
    </xf>
    <xf numFmtId="0" fontId="0" fillId="10" borderId="5" xfId="0" applyFill="1" applyBorder="1"/>
    <xf numFmtId="0" fontId="2" fillId="5" borderId="0" xfId="0" applyFont="1" applyFill="1" applyAlignment="1">
      <alignment horizontal="right"/>
    </xf>
    <xf numFmtId="0" fontId="0" fillId="10" borderId="5" xfId="0" applyFill="1" applyBorder="1" applyAlignment="1">
      <alignment horizontal="center"/>
    </xf>
    <xf numFmtId="2" fontId="0" fillId="10" borderId="0" xfId="0" applyNumberFormat="1" applyFill="1" applyBorder="1" applyAlignment="1">
      <alignment horizontal="left"/>
    </xf>
    <xf numFmtId="2" fontId="0" fillId="7" borderId="5" xfId="0" applyNumberFormat="1" applyFill="1" applyBorder="1"/>
    <xf numFmtId="165" fontId="0" fillId="0" borderId="0" xfId="0" applyNumberFormat="1"/>
    <xf numFmtId="0" fontId="0" fillId="10" borderId="5" xfId="0" applyFill="1" applyBorder="1" applyAlignment="1">
      <alignment horizontal="left" indent="2"/>
    </xf>
    <xf numFmtId="165" fontId="0" fillId="10" borderId="0" xfId="0" applyNumberFormat="1" applyFill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left" vertical="center"/>
    </xf>
    <xf numFmtId="0" fontId="1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justify" vertical="center" wrapText="1"/>
    </xf>
    <xf numFmtId="0" fontId="18" fillId="7" borderId="1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19" fillId="5" borderId="30" xfId="0" applyFont="1" applyFill="1" applyBorder="1" applyAlignment="1">
      <alignment horizontal="justify" vertical="center" wrapText="1"/>
    </xf>
    <xf numFmtId="0" fontId="19" fillId="5" borderId="1" xfId="0" applyFont="1" applyFill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7" xfId="0" applyFont="1" applyBorder="1" applyAlignment="1">
      <alignment horizontal="justify" vertical="center" wrapText="1"/>
    </xf>
    <xf numFmtId="0" fontId="18" fillId="4" borderId="28" xfId="0" applyFont="1" applyFill="1" applyBorder="1" applyAlignment="1">
      <alignment horizontal="justify" vertical="center" wrapText="1"/>
    </xf>
    <xf numFmtId="0" fontId="18" fillId="4" borderId="27" xfId="0" applyFont="1" applyFill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10" borderId="0" xfId="0" applyFill="1" applyAlignment="1">
      <alignment horizontal="right" vertical="center"/>
    </xf>
    <xf numFmtId="0" fontId="26" fillId="10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right" vertical="center" wrapText="1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/>
    </xf>
    <xf numFmtId="0" fontId="2" fillId="4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17" fillId="8" borderId="44" xfId="0" applyFont="1" applyFill="1" applyBorder="1" applyAlignment="1">
      <alignment horizontal="right" vertical="center"/>
    </xf>
    <xf numFmtId="0" fontId="17" fillId="8" borderId="55" xfId="0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50" xfId="0" applyFont="1" applyBorder="1" applyAlignment="1">
      <alignment vertical="center" wrapText="1"/>
    </xf>
    <xf numFmtId="0" fontId="28" fillId="0" borderId="5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1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1" fontId="0" fillId="0" borderId="0" xfId="0" applyNumberFormat="1" applyFill="1"/>
    <xf numFmtId="0" fontId="0" fillId="0" borderId="52" xfId="0" applyBorder="1"/>
    <xf numFmtId="0" fontId="0" fillId="0" borderId="53" xfId="0" applyBorder="1"/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58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168" fontId="0" fillId="0" borderId="0" xfId="0" applyNumberFormat="1" applyAlignment="1">
      <alignment horizontal="left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31" fillId="7" borderId="5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2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3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96455</xdr:rowOff>
    </xdr:from>
    <xdr:to>
      <xdr:col>2</xdr:col>
      <xdr:colOff>9645</xdr:colOff>
      <xdr:row>7</xdr:row>
      <xdr:rowOff>126512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607" t="59587" r="61321" b="29846"/>
        <a:stretch/>
      </xdr:blipFill>
      <xdr:spPr>
        <a:xfrm>
          <a:off x="0" y="829518"/>
          <a:ext cx="1224987" cy="613000"/>
        </a:xfrm>
        <a:prstGeom prst="rect">
          <a:avLst/>
        </a:prstGeom>
        <a:ln w="28575">
          <a:solidFill>
            <a:schemeClr val="accent2">
              <a:lumMod val="75000"/>
            </a:schemeClr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10</xdr:row>
          <xdr:rowOff>7620</xdr:rowOff>
        </xdr:from>
        <xdr:to>
          <xdr:col>4</xdr:col>
          <xdr:colOff>510540</xdr:colOff>
          <xdr:row>14</xdr:row>
          <xdr:rowOff>53340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11</xdr:row>
          <xdr:rowOff>38100</xdr:rowOff>
        </xdr:from>
        <xdr:to>
          <xdr:col>12</xdr:col>
          <xdr:colOff>518160</xdr:colOff>
          <xdr:row>13</xdr:row>
          <xdr:rowOff>144780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13854</xdr:colOff>
      <xdr:row>1</xdr:row>
      <xdr:rowOff>106217</xdr:rowOff>
    </xdr:from>
    <xdr:to>
      <xdr:col>30</xdr:col>
      <xdr:colOff>4618</xdr:colOff>
      <xdr:row>4</xdr:row>
      <xdr:rowOff>27160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22"/>
            <xdr:cNvSpPr txBox="1"/>
          </xdr:nvSpPr>
          <xdr:spPr>
            <a:xfrm>
              <a:off x="16907163" y="290944"/>
              <a:ext cx="1209964" cy="4889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SDI</m:t>
                    </m:r>
                    <m: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N</m:t>
                    </m:r>
                    <m: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pt-PT" sz="13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PT" sz="13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3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sty m:val="p"/>
                                  </m:rPr>
                                  <a:rPr lang="pt-PT" sz="1300" b="0" i="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dg</m:t>
                                </m:r>
                              </m:num>
                              <m:den>
                                <m:r>
                                  <a:rPr lang="pt-PT" sz="1300" b="0" i="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25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3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1.6</m:t>
                        </m:r>
                      </m:sup>
                    </m:sSup>
                  </m:oMath>
                </m:oMathPara>
              </a14:m>
              <a:endParaRPr lang="pt-PT" sz="1300">
                <a:solidFill>
                  <a:schemeClr val="tx1"/>
                </a:solidFill>
              </a:endParaRPr>
            </a:p>
          </xdr:txBody>
        </xdr:sp>
      </mc:Choice>
      <mc:Fallback>
        <xdr:sp macro="" textlink="">
          <xdr:nvSpPr>
            <xdr:cNvPr id="5" name="TextBox 22"/>
            <xdr:cNvSpPr txBox="1"/>
          </xdr:nvSpPr>
          <xdr:spPr>
            <a:xfrm>
              <a:off x="16907163" y="290944"/>
              <a:ext cx="1209964" cy="4889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SDI=N </a:t>
              </a:r>
              <a:r>
                <a:rPr lang="pt-PT" sz="1300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dg/25)^</a:t>
              </a:r>
              <a:r>
                <a:rPr lang="en-US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1.6</a:t>
              </a:r>
              <a:endParaRPr lang="pt-PT" sz="13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504242</xdr:colOff>
      <xdr:row>2</xdr:row>
      <xdr:rowOff>34258</xdr:rowOff>
    </xdr:from>
    <xdr:to>
      <xdr:col>7</xdr:col>
      <xdr:colOff>437206</xdr:colOff>
      <xdr:row>5</xdr:row>
      <xdr:rowOff>149972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Rectangle 1"/>
            <xdr:cNvSpPr/>
          </xdr:nvSpPr>
          <xdr:spPr>
            <a:xfrm>
              <a:off x="2947680" y="399514"/>
              <a:ext cx="1765543" cy="66359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Cspac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altLang="en-US" i="0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acc>
                          <m:accPr>
                            <m:chr m:val="̅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cw</m:t>
                            </m:r>
                          </m:e>
                        </m:acc>
                        <m:rad>
                          <m:radPr>
                            <m:degHide m:val="on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2" name="Rectangle 1"/>
            <xdr:cNvSpPr/>
          </xdr:nvSpPr>
          <xdr:spPr>
            <a:xfrm>
              <a:off x="2947680" y="399514"/>
              <a:ext cx="1765543" cy="66359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altLang="en-US" i="0">
                  <a:latin typeface="Cambria Math" panose="02040503050406030204" pitchFamily="18" charset="0"/>
                </a:rPr>
                <a:t>Cspac=100/((cw) ̅√N)</a:t>
              </a:r>
              <a:endParaRPr lang="en-US"/>
            </a:p>
          </xdr:txBody>
        </xdr:sp>
      </mc:Fallback>
    </mc:AlternateContent>
    <xdr:clientData/>
  </xdr:twoCellAnchor>
  <xdr:twoCellAnchor>
    <xdr:from>
      <xdr:col>7</xdr:col>
      <xdr:colOff>320040</xdr:colOff>
      <xdr:row>0</xdr:row>
      <xdr:rowOff>50594</xdr:rowOff>
    </xdr:from>
    <xdr:to>
      <xdr:col>10</xdr:col>
      <xdr:colOff>598264</xdr:colOff>
      <xdr:row>6</xdr:row>
      <xdr:rowOff>180893</xdr:rowOff>
    </xdr:to>
    <xdr:grpSp>
      <xdr:nvGrpSpPr>
        <xdr:cNvPr id="3" name="Group 2"/>
        <xdr:cNvGrpSpPr/>
      </xdr:nvGrpSpPr>
      <xdr:grpSpPr>
        <a:xfrm>
          <a:off x="4587240" y="50594"/>
          <a:ext cx="2117910" cy="1240642"/>
          <a:chOff x="3492397" y="3715006"/>
          <a:chExt cx="2113889" cy="1226005"/>
        </a:xfrm>
      </xdr:grpSpPr>
      <xdr:cxnSp macro="">
        <xdr:nvCxnSpPr>
          <xdr:cNvPr id="4" name="Straight Connector 3"/>
          <xdr:cNvCxnSpPr/>
        </xdr:nvCxnSpPr>
        <xdr:spPr>
          <a:xfrm>
            <a:off x="3935760" y="3933056"/>
            <a:ext cx="0" cy="80862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3696876" y="4401755"/>
            <a:ext cx="792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Freeform 5"/>
          <xdr:cNvSpPr/>
        </xdr:nvSpPr>
        <xdr:spPr>
          <a:xfrm>
            <a:off x="3714735" y="3939753"/>
            <a:ext cx="812353" cy="818604"/>
          </a:xfrm>
          <a:custGeom>
            <a:avLst/>
            <a:gdLst>
              <a:gd name="connsiteX0" fmla="*/ 4040 w 812353"/>
              <a:gd name="connsiteY0" fmla="*/ 477701 h 818604"/>
              <a:gd name="connsiteX1" fmla="*/ 90972 w 812353"/>
              <a:gd name="connsiteY1" fmla="*/ 387548 h 818604"/>
              <a:gd name="connsiteX2" fmla="*/ 39457 w 812353"/>
              <a:gd name="connsiteY2" fmla="*/ 361791 h 818604"/>
              <a:gd name="connsiteX3" fmla="*/ 49116 w 812353"/>
              <a:gd name="connsiteY3" fmla="*/ 287737 h 818604"/>
              <a:gd name="connsiteX4" fmla="*/ 65214 w 812353"/>
              <a:gd name="connsiteY4" fmla="*/ 223343 h 818604"/>
              <a:gd name="connsiteX5" fmla="*/ 90972 w 812353"/>
              <a:gd name="connsiteY5" fmla="*/ 162168 h 818604"/>
              <a:gd name="connsiteX6" fmla="*/ 129609 w 812353"/>
              <a:gd name="connsiteY6" fmla="*/ 165388 h 818604"/>
              <a:gd name="connsiteX7" fmla="*/ 152147 w 812353"/>
              <a:gd name="connsiteY7" fmla="*/ 97774 h 818604"/>
              <a:gd name="connsiteX8" fmla="*/ 152147 w 812353"/>
              <a:gd name="connsiteY8" fmla="*/ 68796 h 818604"/>
              <a:gd name="connsiteX9" fmla="*/ 148927 w 812353"/>
              <a:gd name="connsiteY9" fmla="*/ 36599 h 818604"/>
              <a:gd name="connsiteX10" fmla="*/ 197223 w 812353"/>
              <a:gd name="connsiteY10" fmla="*/ 7622 h 818604"/>
              <a:gd name="connsiteX11" fmla="*/ 248738 w 812353"/>
              <a:gd name="connsiteY11" fmla="*/ 1182 h 818604"/>
              <a:gd name="connsiteX12" fmla="*/ 277716 w 812353"/>
              <a:gd name="connsiteY12" fmla="*/ 26940 h 818604"/>
              <a:gd name="connsiteX13" fmla="*/ 297034 w 812353"/>
              <a:gd name="connsiteY13" fmla="*/ 68796 h 818604"/>
              <a:gd name="connsiteX14" fmla="*/ 300254 w 812353"/>
              <a:gd name="connsiteY14" fmla="*/ 107433 h 818604"/>
              <a:gd name="connsiteX15" fmla="*/ 300254 w 812353"/>
              <a:gd name="connsiteY15" fmla="*/ 152509 h 818604"/>
              <a:gd name="connsiteX16" fmla="*/ 329231 w 812353"/>
              <a:gd name="connsiteY16" fmla="*/ 204024 h 818604"/>
              <a:gd name="connsiteX17" fmla="*/ 354989 w 812353"/>
              <a:gd name="connsiteY17" fmla="*/ 197585 h 818604"/>
              <a:gd name="connsiteX18" fmla="*/ 380747 w 812353"/>
              <a:gd name="connsiteY18" fmla="*/ 191146 h 818604"/>
              <a:gd name="connsiteX19" fmla="*/ 419383 w 812353"/>
              <a:gd name="connsiteY19" fmla="*/ 181486 h 818604"/>
              <a:gd name="connsiteX20" fmla="*/ 425823 w 812353"/>
              <a:gd name="connsiteY20" fmla="*/ 216903 h 818604"/>
              <a:gd name="connsiteX21" fmla="*/ 429042 w 812353"/>
              <a:gd name="connsiteY21" fmla="*/ 261979 h 818604"/>
              <a:gd name="connsiteX22" fmla="*/ 441921 w 812353"/>
              <a:gd name="connsiteY22" fmla="*/ 274858 h 818604"/>
              <a:gd name="connsiteX23" fmla="*/ 461240 w 812353"/>
              <a:gd name="connsiteY23" fmla="*/ 261979 h 818604"/>
              <a:gd name="connsiteX24" fmla="*/ 480558 w 812353"/>
              <a:gd name="connsiteY24" fmla="*/ 239441 h 818604"/>
              <a:gd name="connsiteX25" fmla="*/ 493437 w 812353"/>
              <a:gd name="connsiteY25" fmla="*/ 255540 h 818604"/>
              <a:gd name="connsiteX26" fmla="*/ 509535 w 812353"/>
              <a:gd name="connsiteY26" fmla="*/ 284517 h 818604"/>
              <a:gd name="connsiteX27" fmla="*/ 515975 w 812353"/>
              <a:gd name="connsiteY27" fmla="*/ 332813 h 818604"/>
              <a:gd name="connsiteX28" fmla="*/ 557831 w 812353"/>
              <a:gd name="connsiteY28" fmla="*/ 336033 h 818604"/>
              <a:gd name="connsiteX29" fmla="*/ 590028 w 812353"/>
              <a:gd name="connsiteY29" fmla="*/ 329593 h 818604"/>
              <a:gd name="connsiteX30" fmla="*/ 615786 w 812353"/>
              <a:gd name="connsiteY30" fmla="*/ 329593 h 818604"/>
              <a:gd name="connsiteX31" fmla="*/ 712378 w 812353"/>
              <a:gd name="connsiteY31" fmla="*/ 329593 h 818604"/>
              <a:gd name="connsiteX32" fmla="*/ 734916 w 812353"/>
              <a:gd name="connsiteY32" fmla="*/ 352132 h 818604"/>
              <a:gd name="connsiteX33" fmla="*/ 760673 w 812353"/>
              <a:gd name="connsiteY33" fmla="*/ 384329 h 818604"/>
              <a:gd name="connsiteX34" fmla="*/ 776772 w 812353"/>
              <a:gd name="connsiteY34" fmla="*/ 406867 h 818604"/>
              <a:gd name="connsiteX35" fmla="*/ 796090 w 812353"/>
              <a:gd name="connsiteY35" fmla="*/ 435844 h 818604"/>
              <a:gd name="connsiteX36" fmla="*/ 812189 w 812353"/>
              <a:gd name="connsiteY36" fmla="*/ 468041 h 818604"/>
              <a:gd name="connsiteX37" fmla="*/ 802530 w 812353"/>
              <a:gd name="connsiteY37" fmla="*/ 497019 h 818604"/>
              <a:gd name="connsiteX38" fmla="*/ 773552 w 812353"/>
              <a:gd name="connsiteY38" fmla="*/ 522777 h 818604"/>
              <a:gd name="connsiteX39" fmla="*/ 751014 w 812353"/>
              <a:gd name="connsiteY39" fmla="*/ 551754 h 818604"/>
              <a:gd name="connsiteX40" fmla="*/ 722037 w 812353"/>
              <a:gd name="connsiteY40" fmla="*/ 564633 h 818604"/>
              <a:gd name="connsiteX41" fmla="*/ 693059 w 812353"/>
              <a:gd name="connsiteY41" fmla="*/ 571072 h 818604"/>
              <a:gd name="connsiteX42" fmla="*/ 644764 w 812353"/>
              <a:gd name="connsiteY42" fmla="*/ 619368 h 818604"/>
              <a:gd name="connsiteX43" fmla="*/ 609347 w 812353"/>
              <a:gd name="connsiteY43" fmla="*/ 622588 h 818604"/>
              <a:gd name="connsiteX44" fmla="*/ 525634 w 812353"/>
              <a:gd name="connsiteY44" fmla="*/ 587171 h 818604"/>
              <a:gd name="connsiteX45" fmla="*/ 499876 w 812353"/>
              <a:gd name="connsiteY45" fmla="*/ 645126 h 818604"/>
              <a:gd name="connsiteX46" fmla="*/ 303473 w 812353"/>
              <a:gd name="connsiteY46" fmla="*/ 651565 h 818604"/>
              <a:gd name="connsiteX47" fmla="*/ 293814 w 812353"/>
              <a:gd name="connsiteY47" fmla="*/ 667664 h 818604"/>
              <a:gd name="connsiteX48" fmla="*/ 293814 w 812353"/>
              <a:gd name="connsiteY48" fmla="*/ 693422 h 818604"/>
              <a:gd name="connsiteX49" fmla="*/ 293814 w 812353"/>
              <a:gd name="connsiteY49" fmla="*/ 738498 h 818604"/>
              <a:gd name="connsiteX50" fmla="*/ 297034 w 812353"/>
              <a:gd name="connsiteY50" fmla="*/ 770695 h 818604"/>
              <a:gd name="connsiteX51" fmla="*/ 264837 w 812353"/>
              <a:gd name="connsiteY51" fmla="*/ 809332 h 818604"/>
              <a:gd name="connsiteX52" fmla="*/ 197223 w 812353"/>
              <a:gd name="connsiteY52" fmla="*/ 809332 h 818604"/>
              <a:gd name="connsiteX53" fmla="*/ 168245 w 812353"/>
              <a:gd name="connsiteY53" fmla="*/ 706301 h 818604"/>
              <a:gd name="connsiteX54" fmla="*/ 136048 w 812353"/>
              <a:gd name="connsiteY54" fmla="*/ 645126 h 818604"/>
              <a:gd name="connsiteX55" fmla="*/ 42676 w 812353"/>
              <a:gd name="connsiteY55" fmla="*/ 622588 h 818604"/>
              <a:gd name="connsiteX56" fmla="*/ 4040 w 812353"/>
              <a:gd name="connsiteY56" fmla="*/ 609709 h 818604"/>
              <a:gd name="connsiteX57" fmla="*/ 820 w 812353"/>
              <a:gd name="connsiteY57" fmla="*/ 580732 h 818604"/>
              <a:gd name="connsiteX58" fmla="*/ 820 w 812353"/>
              <a:gd name="connsiteY58" fmla="*/ 551754 h 818604"/>
              <a:gd name="connsiteX59" fmla="*/ 4040 w 812353"/>
              <a:gd name="connsiteY59" fmla="*/ 477701 h 8186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</a:cxnLst>
            <a:rect l="l" t="t" r="r" b="b"/>
            <a:pathLst>
              <a:path w="812353" h="818604">
                <a:moveTo>
                  <a:pt x="4040" y="477701"/>
                </a:moveTo>
                <a:cubicBezTo>
                  <a:pt x="44554" y="442283"/>
                  <a:pt x="85069" y="406866"/>
                  <a:pt x="90972" y="387548"/>
                </a:cubicBezTo>
                <a:cubicBezTo>
                  <a:pt x="96875" y="368230"/>
                  <a:pt x="46433" y="378426"/>
                  <a:pt x="39457" y="361791"/>
                </a:cubicBezTo>
                <a:cubicBezTo>
                  <a:pt x="32481" y="345156"/>
                  <a:pt x="44823" y="310812"/>
                  <a:pt x="49116" y="287737"/>
                </a:cubicBezTo>
                <a:cubicBezTo>
                  <a:pt x="53409" y="264662"/>
                  <a:pt x="58238" y="244271"/>
                  <a:pt x="65214" y="223343"/>
                </a:cubicBezTo>
                <a:cubicBezTo>
                  <a:pt x="72190" y="202415"/>
                  <a:pt x="80240" y="171827"/>
                  <a:pt x="90972" y="162168"/>
                </a:cubicBezTo>
                <a:cubicBezTo>
                  <a:pt x="101704" y="152509"/>
                  <a:pt x="119413" y="176120"/>
                  <a:pt x="129609" y="165388"/>
                </a:cubicBezTo>
                <a:cubicBezTo>
                  <a:pt x="139805" y="154656"/>
                  <a:pt x="148391" y="113873"/>
                  <a:pt x="152147" y="97774"/>
                </a:cubicBezTo>
                <a:cubicBezTo>
                  <a:pt x="155903" y="81675"/>
                  <a:pt x="152684" y="78992"/>
                  <a:pt x="152147" y="68796"/>
                </a:cubicBezTo>
                <a:cubicBezTo>
                  <a:pt x="151610" y="58600"/>
                  <a:pt x="141414" y="46795"/>
                  <a:pt x="148927" y="36599"/>
                </a:cubicBezTo>
                <a:cubicBezTo>
                  <a:pt x="156440" y="26403"/>
                  <a:pt x="180588" y="13525"/>
                  <a:pt x="197223" y="7622"/>
                </a:cubicBezTo>
                <a:cubicBezTo>
                  <a:pt x="213858" y="1719"/>
                  <a:pt x="235323" y="-2038"/>
                  <a:pt x="248738" y="1182"/>
                </a:cubicBezTo>
                <a:cubicBezTo>
                  <a:pt x="262153" y="4402"/>
                  <a:pt x="269667" y="15671"/>
                  <a:pt x="277716" y="26940"/>
                </a:cubicBezTo>
                <a:cubicBezTo>
                  <a:pt x="285765" y="38209"/>
                  <a:pt x="293278" y="55381"/>
                  <a:pt x="297034" y="68796"/>
                </a:cubicBezTo>
                <a:cubicBezTo>
                  <a:pt x="300790" y="82211"/>
                  <a:pt x="299717" y="93481"/>
                  <a:pt x="300254" y="107433"/>
                </a:cubicBezTo>
                <a:cubicBezTo>
                  <a:pt x="300791" y="121385"/>
                  <a:pt x="295425" y="136410"/>
                  <a:pt x="300254" y="152509"/>
                </a:cubicBezTo>
                <a:cubicBezTo>
                  <a:pt x="305084" y="168607"/>
                  <a:pt x="320109" y="196511"/>
                  <a:pt x="329231" y="204024"/>
                </a:cubicBezTo>
                <a:cubicBezTo>
                  <a:pt x="338353" y="211537"/>
                  <a:pt x="354989" y="197585"/>
                  <a:pt x="354989" y="197585"/>
                </a:cubicBezTo>
                <a:lnTo>
                  <a:pt x="380747" y="191146"/>
                </a:lnTo>
                <a:cubicBezTo>
                  <a:pt x="391479" y="188463"/>
                  <a:pt x="411870" y="177193"/>
                  <a:pt x="419383" y="181486"/>
                </a:cubicBezTo>
                <a:cubicBezTo>
                  <a:pt x="426896" y="185779"/>
                  <a:pt x="424213" y="203488"/>
                  <a:pt x="425823" y="216903"/>
                </a:cubicBezTo>
                <a:cubicBezTo>
                  <a:pt x="427433" y="230318"/>
                  <a:pt x="426359" y="252320"/>
                  <a:pt x="429042" y="261979"/>
                </a:cubicBezTo>
                <a:cubicBezTo>
                  <a:pt x="431725" y="271638"/>
                  <a:pt x="436555" y="274858"/>
                  <a:pt x="441921" y="274858"/>
                </a:cubicBezTo>
                <a:cubicBezTo>
                  <a:pt x="447287" y="274858"/>
                  <a:pt x="454801" y="267882"/>
                  <a:pt x="461240" y="261979"/>
                </a:cubicBezTo>
                <a:cubicBezTo>
                  <a:pt x="467679" y="256076"/>
                  <a:pt x="475192" y="240514"/>
                  <a:pt x="480558" y="239441"/>
                </a:cubicBezTo>
                <a:cubicBezTo>
                  <a:pt x="485924" y="238368"/>
                  <a:pt x="488608" y="248027"/>
                  <a:pt x="493437" y="255540"/>
                </a:cubicBezTo>
                <a:cubicBezTo>
                  <a:pt x="498266" y="263053"/>
                  <a:pt x="505779" y="271638"/>
                  <a:pt x="509535" y="284517"/>
                </a:cubicBezTo>
                <a:cubicBezTo>
                  <a:pt x="513291" y="297396"/>
                  <a:pt x="507926" y="324227"/>
                  <a:pt x="515975" y="332813"/>
                </a:cubicBezTo>
                <a:cubicBezTo>
                  <a:pt x="524024" y="341399"/>
                  <a:pt x="545489" y="336570"/>
                  <a:pt x="557831" y="336033"/>
                </a:cubicBezTo>
                <a:cubicBezTo>
                  <a:pt x="570173" y="335496"/>
                  <a:pt x="580369" y="330666"/>
                  <a:pt x="590028" y="329593"/>
                </a:cubicBezTo>
                <a:cubicBezTo>
                  <a:pt x="599687" y="328520"/>
                  <a:pt x="615786" y="329593"/>
                  <a:pt x="615786" y="329593"/>
                </a:cubicBezTo>
                <a:cubicBezTo>
                  <a:pt x="636178" y="329593"/>
                  <a:pt x="692523" y="325837"/>
                  <a:pt x="712378" y="329593"/>
                </a:cubicBezTo>
                <a:cubicBezTo>
                  <a:pt x="732233" y="333349"/>
                  <a:pt x="726867" y="343009"/>
                  <a:pt x="734916" y="352132"/>
                </a:cubicBezTo>
                <a:cubicBezTo>
                  <a:pt x="742965" y="361255"/>
                  <a:pt x="753697" y="375207"/>
                  <a:pt x="760673" y="384329"/>
                </a:cubicBezTo>
                <a:cubicBezTo>
                  <a:pt x="767649" y="393451"/>
                  <a:pt x="770869" y="398281"/>
                  <a:pt x="776772" y="406867"/>
                </a:cubicBezTo>
                <a:cubicBezTo>
                  <a:pt x="782675" y="415453"/>
                  <a:pt x="790187" y="425648"/>
                  <a:pt x="796090" y="435844"/>
                </a:cubicBezTo>
                <a:cubicBezTo>
                  <a:pt x="801993" y="446040"/>
                  <a:pt x="811116" y="457845"/>
                  <a:pt x="812189" y="468041"/>
                </a:cubicBezTo>
                <a:cubicBezTo>
                  <a:pt x="813262" y="478237"/>
                  <a:pt x="808970" y="487896"/>
                  <a:pt x="802530" y="497019"/>
                </a:cubicBezTo>
                <a:cubicBezTo>
                  <a:pt x="796090" y="506142"/>
                  <a:pt x="782138" y="513655"/>
                  <a:pt x="773552" y="522777"/>
                </a:cubicBezTo>
                <a:cubicBezTo>
                  <a:pt x="764966" y="531899"/>
                  <a:pt x="759600" y="544778"/>
                  <a:pt x="751014" y="551754"/>
                </a:cubicBezTo>
                <a:cubicBezTo>
                  <a:pt x="742428" y="558730"/>
                  <a:pt x="731696" y="561413"/>
                  <a:pt x="722037" y="564633"/>
                </a:cubicBezTo>
                <a:cubicBezTo>
                  <a:pt x="712378" y="567853"/>
                  <a:pt x="705938" y="561950"/>
                  <a:pt x="693059" y="571072"/>
                </a:cubicBezTo>
                <a:cubicBezTo>
                  <a:pt x="680180" y="580194"/>
                  <a:pt x="658716" y="610782"/>
                  <a:pt x="644764" y="619368"/>
                </a:cubicBezTo>
                <a:cubicBezTo>
                  <a:pt x="630812" y="627954"/>
                  <a:pt x="629202" y="627954"/>
                  <a:pt x="609347" y="622588"/>
                </a:cubicBezTo>
                <a:cubicBezTo>
                  <a:pt x="589492" y="617222"/>
                  <a:pt x="543879" y="583415"/>
                  <a:pt x="525634" y="587171"/>
                </a:cubicBezTo>
                <a:cubicBezTo>
                  <a:pt x="507389" y="590927"/>
                  <a:pt x="536903" y="634394"/>
                  <a:pt x="499876" y="645126"/>
                </a:cubicBezTo>
                <a:cubicBezTo>
                  <a:pt x="462849" y="655858"/>
                  <a:pt x="337817" y="647809"/>
                  <a:pt x="303473" y="651565"/>
                </a:cubicBezTo>
                <a:cubicBezTo>
                  <a:pt x="269129" y="655321"/>
                  <a:pt x="295424" y="660688"/>
                  <a:pt x="293814" y="667664"/>
                </a:cubicBezTo>
                <a:cubicBezTo>
                  <a:pt x="292204" y="674640"/>
                  <a:pt x="293814" y="693422"/>
                  <a:pt x="293814" y="693422"/>
                </a:cubicBezTo>
                <a:cubicBezTo>
                  <a:pt x="293814" y="705228"/>
                  <a:pt x="293277" y="725619"/>
                  <a:pt x="293814" y="738498"/>
                </a:cubicBezTo>
                <a:cubicBezTo>
                  <a:pt x="294351" y="751377"/>
                  <a:pt x="301863" y="758889"/>
                  <a:pt x="297034" y="770695"/>
                </a:cubicBezTo>
                <a:cubicBezTo>
                  <a:pt x="292205" y="782501"/>
                  <a:pt x="281472" y="802893"/>
                  <a:pt x="264837" y="809332"/>
                </a:cubicBezTo>
                <a:cubicBezTo>
                  <a:pt x="248202" y="815771"/>
                  <a:pt x="213322" y="826504"/>
                  <a:pt x="197223" y="809332"/>
                </a:cubicBezTo>
                <a:cubicBezTo>
                  <a:pt x="181124" y="792160"/>
                  <a:pt x="178441" y="733669"/>
                  <a:pt x="168245" y="706301"/>
                </a:cubicBezTo>
                <a:cubicBezTo>
                  <a:pt x="158049" y="678933"/>
                  <a:pt x="156976" y="659078"/>
                  <a:pt x="136048" y="645126"/>
                </a:cubicBezTo>
                <a:cubicBezTo>
                  <a:pt x="115120" y="631174"/>
                  <a:pt x="64677" y="628491"/>
                  <a:pt x="42676" y="622588"/>
                </a:cubicBezTo>
                <a:cubicBezTo>
                  <a:pt x="20675" y="616685"/>
                  <a:pt x="11016" y="616685"/>
                  <a:pt x="4040" y="609709"/>
                </a:cubicBezTo>
                <a:cubicBezTo>
                  <a:pt x="-2936" y="602733"/>
                  <a:pt x="1357" y="590391"/>
                  <a:pt x="820" y="580732"/>
                </a:cubicBezTo>
                <a:cubicBezTo>
                  <a:pt x="283" y="571073"/>
                  <a:pt x="820" y="551754"/>
                  <a:pt x="820" y="551754"/>
                </a:cubicBezTo>
                <a:lnTo>
                  <a:pt x="4040" y="477701"/>
                </a:lnTo>
                <a:close/>
              </a:path>
            </a:pathLst>
          </a:custGeom>
          <a:noFill/>
          <a:ln w="3175">
            <a:solidFill>
              <a:srgbClr val="008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7" name="TextBox 28"/>
          <xdr:cNvSpPr txBox="1"/>
        </xdr:nvSpPr>
        <xdr:spPr>
          <a:xfrm>
            <a:off x="3811177" y="3715006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N</a:t>
            </a:r>
          </a:p>
        </xdr:txBody>
      </xdr:sp>
      <xdr:sp macro="" textlink="">
        <xdr:nvSpPr>
          <xdr:cNvPr id="8" name="TextBox 29"/>
          <xdr:cNvSpPr txBox="1"/>
        </xdr:nvSpPr>
        <xdr:spPr>
          <a:xfrm>
            <a:off x="3818805" y="4664012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S</a:t>
            </a:r>
          </a:p>
        </xdr:txBody>
      </xdr:sp>
      <xdr:sp macro="" textlink="">
        <xdr:nvSpPr>
          <xdr:cNvPr id="9" name="TextBox 30"/>
          <xdr:cNvSpPr txBox="1"/>
        </xdr:nvSpPr>
        <xdr:spPr>
          <a:xfrm>
            <a:off x="4459249" y="4253750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E</a:t>
            </a:r>
          </a:p>
        </xdr:txBody>
      </xdr:sp>
      <xdr:sp macro="" textlink="">
        <xdr:nvSpPr>
          <xdr:cNvPr id="10" name="TextBox 31"/>
          <xdr:cNvSpPr txBox="1"/>
        </xdr:nvSpPr>
        <xdr:spPr>
          <a:xfrm>
            <a:off x="3492397" y="4223867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O</a:t>
            </a:r>
          </a:p>
        </xdr:txBody>
      </xdr:sp>
      <xdr:sp macro="" textlink="">
        <xdr:nvSpPr>
          <xdr:cNvPr id="11" name="TextBox 32"/>
          <xdr:cNvSpPr txBox="1"/>
        </xdr:nvSpPr>
        <xdr:spPr>
          <a:xfrm>
            <a:off x="4685098" y="3982248"/>
            <a:ext cx="921188" cy="8437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i="1">
                <a:solidFill>
                  <a:schemeClr val="tx1">
                    <a:lumMod val="50000"/>
                    <a:lumOff val="50000"/>
                  </a:schemeClr>
                </a:solidFill>
              </a:rPr>
              <a:t>Média de todos os r das árvores da parcela</a:t>
            </a:r>
          </a:p>
        </xdr:txBody>
      </xdr:sp>
    </xdr:grpSp>
    <xdr:clientData/>
  </xdr:twoCellAnchor>
  <xdr:twoCellAnchor>
    <xdr:from>
      <xdr:col>10</xdr:col>
      <xdr:colOff>0</xdr:colOff>
      <xdr:row>9</xdr:row>
      <xdr:rowOff>0</xdr:rowOff>
    </xdr:from>
    <xdr:to>
      <xdr:col>14</xdr:col>
      <xdr:colOff>287958</xdr:colOff>
      <xdr:row>11</xdr:row>
      <xdr:rowOff>98411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Rectangle 11"/>
            <xdr:cNvSpPr/>
          </xdr:nvSpPr>
          <xdr:spPr>
            <a:xfrm>
              <a:off x="6114893" y="1684587"/>
              <a:ext cx="246375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sty m:val="p"/>
                                <m:brk m:alnAt="23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i</m:t>
                            </m:r>
                            <m:r>
                              <a:rPr lang="pt-PT" altLang="en-US" i="0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sup>
                          <m:e>
                            <m:sSub>
                              <m:sSubPr>
                                <m:ctrlPr>
                                  <a:rPr lang="pt-PT" altLang="en-US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ca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sub>
                            </m:sSub>
                          </m:e>
                        </m:nary>
                      </m:num>
                      <m:den>
                        <m:r>
                          <m:rPr>
                            <m:sty m:val="p"/>
                          </m:rPr>
                          <a:rPr lang="pt-PT" altLang="en-US" i="0">
                            <a:latin typeface="Cambria Math" panose="02040503050406030204" pitchFamily="18" charset="0"/>
                          </a:rPr>
                          <m:t>A</m:t>
                        </m:r>
                      </m:den>
                    </m:f>
                    <m:r>
                      <a:rPr lang="pt-PT" altLang="en-US" i="0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pt-PT" altLang="en-US"/>
            </a:p>
          </xdr:txBody>
        </xdr:sp>
      </mc:Choice>
      <mc:Fallback>
        <xdr:sp macro="" textlink="">
          <xdr:nvSpPr>
            <xdr:cNvPr id="12" name="Rectangle 11"/>
            <xdr:cNvSpPr/>
          </xdr:nvSpPr>
          <xdr:spPr>
            <a:xfrm>
              <a:off x="6114893" y="1684587"/>
              <a:ext cx="246375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:r>
                <a:rPr lang="pt-PT" altLang="en-US" i="0">
                  <a:latin typeface="Cambria Math" panose="02040503050406030204" pitchFamily="18" charset="0"/>
                </a:rPr>
                <a:t>Cc=(∑_(i=1)^n▒ca_i )/A  100</a:t>
              </a:r>
              <a:endParaRPr lang="pt-PT" altLang="en-US"/>
            </a:p>
          </xdr:txBody>
        </xdr:sp>
      </mc:Fallback>
    </mc:AlternateContent>
    <xdr:clientData/>
  </xdr:twoCellAnchor>
  <xdr:twoCellAnchor editAs="oneCell">
    <xdr:from>
      <xdr:col>10</xdr:col>
      <xdr:colOff>119743</xdr:colOff>
      <xdr:row>11</xdr:row>
      <xdr:rowOff>32657</xdr:rowOff>
    </xdr:from>
    <xdr:to>
      <xdr:col>14</xdr:col>
      <xdr:colOff>90326</xdr:colOff>
      <xdr:row>18</xdr:row>
      <xdr:rowOff>105934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6629" y="2275114"/>
          <a:ext cx="2213040" cy="1444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8"/>
  <sheetViews>
    <sheetView topLeftCell="A10" zoomScale="95" zoomScaleNormal="95" workbookViewId="0">
      <selection activeCell="AH3" sqref="AH3"/>
    </sheetView>
  </sheetViews>
  <sheetFormatPr defaultRowHeight="14.4" x14ac:dyDescent="0.3"/>
  <cols>
    <col min="1" max="1" width="1.77734375" customWidth="1"/>
    <col min="2" max="3" width="4.5546875" customWidth="1"/>
    <col min="4" max="12" width="2.33203125" customWidth="1"/>
    <col min="13" max="13" width="3" customWidth="1"/>
    <col min="14" max="16" width="2.33203125" customWidth="1"/>
    <col min="17" max="17" width="5.5546875" customWidth="1"/>
    <col min="18" max="19" width="3.109375" customWidth="1"/>
    <col min="20" max="32" width="3" customWidth="1"/>
    <col min="34" max="41" width="4.21875" customWidth="1"/>
  </cols>
  <sheetData>
    <row r="2" spans="2:41" ht="15" thickBot="1" x14ac:dyDescent="0.35">
      <c r="B2" s="109" t="s">
        <v>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2:41" ht="15.6" thickTop="1" thickBot="1" x14ac:dyDescent="0.35">
      <c r="B3" s="191" t="s">
        <v>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  <c r="Q3" s="152" t="s">
        <v>8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5"/>
    </row>
    <row r="4" spans="2:41" ht="16.2" customHeight="1" thickTop="1" thickBot="1" x14ac:dyDescent="0.35">
      <c r="B4" s="194" t="s">
        <v>9</v>
      </c>
      <c r="C4" s="151"/>
      <c r="D4" s="195" t="s">
        <v>10</v>
      </c>
      <c r="E4" s="196"/>
      <c r="F4" s="196"/>
      <c r="G4" s="196"/>
      <c r="H4" s="196"/>
      <c r="I4" s="196"/>
      <c r="J4" s="196"/>
      <c r="K4" s="196"/>
      <c r="L4" s="196"/>
      <c r="M4" s="197"/>
      <c r="N4" s="198" t="s">
        <v>11</v>
      </c>
      <c r="O4" s="199"/>
      <c r="P4" s="200"/>
      <c r="Q4" s="201" t="s">
        <v>12</v>
      </c>
      <c r="R4" s="202"/>
      <c r="S4" s="202"/>
      <c r="T4" s="202"/>
      <c r="U4" s="202"/>
      <c r="V4" s="202"/>
      <c r="W4" s="202"/>
      <c r="X4" s="202"/>
      <c r="Y4" s="202"/>
      <c r="Z4" s="202"/>
      <c r="AA4" s="203"/>
      <c r="AB4" s="198" t="s">
        <v>13</v>
      </c>
      <c r="AC4" s="199"/>
      <c r="AD4" s="199"/>
      <c r="AE4" s="199"/>
      <c r="AF4" s="200"/>
    </row>
    <row r="5" spans="2:41" ht="15.6" thickTop="1" thickBot="1" x14ac:dyDescent="0.35">
      <c r="B5" s="206" t="s">
        <v>14</v>
      </c>
      <c r="C5" s="207"/>
      <c r="D5" s="101"/>
      <c r="E5" s="102"/>
      <c r="F5" s="103"/>
      <c r="G5" s="102"/>
      <c r="H5" s="103"/>
      <c r="I5" s="102"/>
      <c r="J5" s="103"/>
      <c r="K5" s="102"/>
      <c r="L5" s="167"/>
      <c r="M5" s="168"/>
      <c r="N5" s="182"/>
      <c r="O5" s="183"/>
      <c r="P5" s="5"/>
      <c r="Q5" s="25">
        <v>30.6</v>
      </c>
      <c r="R5" s="184">
        <v>19.600000000000001</v>
      </c>
      <c r="S5" s="185"/>
      <c r="T5" s="186"/>
      <c r="U5" s="187"/>
      <c r="V5" s="184"/>
      <c r="W5" s="185"/>
      <c r="X5" s="186"/>
      <c r="Y5" s="187"/>
      <c r="Z5" s="184"/>
      <c r="AA5" s="185"/>
      <c r="AB5" s="186">
        <v>8.4</v>
      </c>
      <c r="AC5" s="187"/>
      <c r="AD5" s="184"/>
      <c r="AE5" s="185"/>
      <c r="AF5" s="6"/>
      <c r="AH5" s="188" t="s">
        <v>15</v>
      </c>
      <c r="AI5" s="189"/>
      <c r="AJ5" s="190"/>
      <c r="AK5" s="183"/>
      <c r="AL5" s="190"/>
      <c r="AM5" s="183"/>
      <c r="AN5" s="190"/>
      <c r="AO5" s="183"/>
    </row>
    <row r="6" spans="2:41" ht="15" thickBot="1" x14ac:dyDescent="0.35">
      <c r="B6" s="204" t="s">
        <v>16</v>
      </c>
      <c r="C6" s="205"/>
      <c r="D6" s="101"/>
      <c r="E6" s="102"/>
      <c r="F6" s="103"/>
      <c r="G6" s="102"/>
      <c r="H6" s="103"/>
      <c r="I6" s="102"/>
      <c r="J6" s="103"/>
      <c r="K6" s="102"/>
      <c r="L6" s="167"/>
      <c r="M6" s="168"/>
      <c r="N6" s="163"/>
      <c r="O6" s="164"/>
      <c r="P6" s="5"/>
      <c r="Q6" s="26">
        <v>26.4</v>
      </c>
      <c r="R6" s="130">
        <v>21.7</v>
      </c>
      <c r="S6" s="131"/>
      <c r="T6" s="134"/>
      <c r="U6" s="135"/>
      <c r="V6" s="130"/>
      <c r="W6" s="131"/>
      <c r="X6" s="134"/>
      <c r="Y6" s="135"/>
      <c r="Z6" s="130"/>
      <c r="AA6" s="131"/>
      <c r="AB6" s="134"/>
      <c r="AC6" s="135"/>
      <c r="AD6" s="130"/>
      <c r="AE6" s="131"/>
      <c r="AF6" s="6"/>
      <c r="AH6" s="165" t="s">
        <v>15</v>
      </c>
      <c r="AI6" s="161"/>
      <c r="AJ6" s="166"/>
      <c r="AK6" s="164"/>
      <c r="AL6" s="166"/>
      <c r="AM6" s="164"/>
      <c r="AN6" s="166"/>
      <c r="AO6" s="164"/>
    </row>
    <row r="7" spans="2:41" ht="15" thickBot="1" x14ac:dyDescent="0.35">
      <c r="B7" s="175" t="s">
        <v>17</v>
      </c>
      <c r="C7" s="176"/>
      <c r="D7" s="101" t="s">
        <v>15</v>
      </c>
      <c r="E7" s="102"/>
      <c r="F7" s="103"/>
      <c r="G7" s="102"/>
      <c r="H7" s="103"/>
      <c r="I7" s="102"/>
      <c r="J7" s="103"/>
      <c r="K7" s="102"/>
      <c r="L7" s="167"/>
      <c r="M7" s="168"/>
      <c r="N7" s="163"/>
      <c r="O7" s="164"/>
      <c r="P7" s="5"/>
      <c r="Q7" s="27">
        <v>14.6</v>
      </c>
      <c r="R7" s="130">
        <v>23.2</v>
      </c>
      <c r="S7" s="131"/>
      <c r="T7" s="134"/>
      <c r="U7" s="135"/>
      <c r="V7" s="130"/>
      <c r="W7" s="131"/>
      <c r="X7" s="134"/>
      <c r="Y7" s="135"/>
      <c r="Z7" s="130"/>
      <c r="AA7" s="131"/>
      <c r="AB7" s="134"/>
      <c r="AC7" s="135"/>
      <c r="AD7" s="130"/>
      <c r="AE7" s="131"/>
      <c r="AF7" s="6"/>
      <c r="AH7" s="165" t="s">
        <v>18</v>
      </c>
      <c r="AI7" s="161"/>
      <c r="AJ7" s="166"/>
      <c r="AK7" s="164"/>
      <c r="AL7" s="166"/>
      <c r="AM7" s="164"/>
      <c r="AN7" s="166"/>
      <c r="AO7" s="164"/>
    </row>
    <row r="8" spans="2:41" ht="15" thickBot="1" x14ac:dyDescent="0.35">
      <c r="B8" s="173" t="s">
        <v>19</v>
      </c>
      <c r="C8" s="174"/>
      <c r="D8" s="101"/>
      <c r="E8" s="102"/>
      <c r="F8" s="103"/>
      <c r="G8" s="102"/>
      <c r="H8" s="103"/>
      <c r="I8" s="102"/>
      <c r="J8" s="103"/>
      <c r="K8" s="102"/>
      <c r="L8" s="167"/>
      <c r="M8" s="168"/>
      <c r="N8" s="163"/>
      <c r="O8" s="164"/>
      <c r="P8" s="5"/>
      <c r="Q8" s="14">
        <v>24.1</v>
      </c>
      <c r="R8" s="130">
        <v>25.4</v>
      </c>
      <c r="S8" s="131"/>
      <c r="T8" s="134"/>
      <c r="U8" s="135"/>
      <c r="V8" s="130"/>
      <c r="W8" s="131"/>
      <c r="X8" s="134"/>
      <c r="Y8" s="135"/>
      <c r="Z8" s="130"/>
      <c r="AA8" s="131"/>
      <c r="AB8" s="134"/>
      <c r="AC8" s="135"/>
      <c r="AD8" s="130"/>
      <c r="AE8" s="131"/>
      <c r="AF8" s="6"/>
      <c r="AH8" s="177" t="s">
        <v>18</v>
      </c>
      <c r="AI8" s="178"/>
      <c r="AJ8" s="166" t="s">
        <v>18</v>
      </c>
      <c r="AK8" s="164"/>
      <c r="AL8" s="166"/>
      <c r="AM8" s="164"/>
      <c r="AN8" s="166"/>
      <c r="AO8" s="164"/>
    </row>
    <row r="9" spans="2:41" ht="15" thickBot="1" x14ac:dyDescent="0.35">
      <c r="B9" s="171" t="s">
        <v>20</v>
      </c>
      <c r="C9" s="172"/>
      <c r="D9" s="101" t="s">
        <v>39</v>
      </c>
      <c r="E9" s="102"/>
      <c r="F9" s="103" t="s">
        <v>15</v>
      </c>
      <c r="G9" s="102"/>
      <c r="H9" s="103"/>
      <c r="I9" s="102"/>
      <c r="J9" s="103"/>
      <c r="K9" s="102"/>
      <c r="L9" s="167"/>
      <c r="M9" s="168"/>
      <c r="N9" s="163"/>
      <c r="O9" s="164"/>
      <c r="P9" s="5"/>
      <c r="Q9" s="14">
        <v>26</v>
      </c>
      <c r="R9" s="130">
        <v>14.5</v>
      </c>
      <c r="S9" s="131"/>
      <c r="T9" s="134"/>
      <c r="U9" s="135"/>
      <c r="V9" s="130"/>
      <c r="W9" s="131"/>
      <c r="X9" s="134"/>
      <c r="Y9" s="135"/>
      <c r="Z9" s="130"/>
      <c r="AA9" s="131"/>
      <c r="AB9" s="134"/>
      <c r="AC9" s="135"/>
      <c r="AD9" s="130"/>
      <c r="AE9" s="131"/>
      <c r="AF9" s="6"/>
      <c r="AH9" s="177" t="s">
        <v>18</v>
      </c>
      <c r="AI9" s="178"/>
      <c r="AJ9" s="179" t="s">
        <v>18</v>
      </c>
      <c r="AK9" s="178"/>
      <c r="AL9" s="180" t="s">
        <v>18</v>
      </c>
      <c r="AM9" s="181"/>
      <c r="AN9" s="166"/>
      <c r="AO9" s="164"/>
    </row>
    <row r="10" spans="2:41" ht="15" thickBot="1" x14ac:dyDescent="0.35">
      <c r="B10" s="169" t="s">
        <v>21</v>
      </c>
      <c r="C10" s="170"/>
      <c r="D10" s="101" t="s">
        <v>22</v>
      </c>
      <c r="E10" s="102"/>
      <c r="F10" s="103"/>
      <c r="G10" s="102"/>
      <c r="H10" s="103"/>
      <c r="I10" s="102"/>
      <c r="J10" s="103"/>
      <c r="K10" s="102"/>
      <c r="L10" s="167"/>
      <c r="M10" s="168"/>
      <c r="N10" s="163"/>
      <c r="O10" s="164"/>
      <c r="P10" s="5"/>
      <c r="Q10" s="14">
        <v>23.8</v>
      </c>
      <c r="R10" s="130">
        <v>22.1</v>
      </c>
      <c r="S10" s="131"/>
      <c r="T10" s="134"/>
      <c r="U10" s="135"/>
      <c r="V10" s="130"/>
      <c r="W10" s="131"/>
      <c r="X10" s="134"/>
      <c r="Y10" s="135"/>
      <c r="Z10" s="130"/>
      <c r="AA10" s="131"/>
      <c r="AB10" s="134"/>
      <c r="AC10" s="135"/>
      <c r="AD10" s="130"/>
      <c r="AE10" s="131"/>
      <c r="AF10" s="6"/>
      <c r="AH10" s="165" t="s">
        <v>15</v>
      </c>
      <c r="AI10" s="161"/>
      <c r="AJ10" s="166"/>
      <c r="AK10" s="164"/>
      <c r="AL10" s="166"/>
      <c r="AM10" s="164"/>
      <c r="AN10" s="166"/>
      <c r="AO10" s="164"/>
    </row>
    <row r="11" spans="2:41" ht="15" thickBot="1" x14ac:dyDescent="0.35">
      <c r="B11" s="147" t="s">
        <v>23</v>
      </c>
      <c r="C11" s="148"/>
      <c r="D11" s="101"/>
      <c r="E11" s="102"/>
      <c r="F11" s="103"/>
      <c r="G11" s="102"/>
      <c r="H11" s="103"/>
      <c r="I11" s="102"/>
      <c r="J11" s="103"/>
      <c r="K11" s="102"/>
      <c r="L11" s="167"/>
      <c r="M11" s="168"/>
      <c r="N11" s="163"/>
      <c r="O11" s="164"/>
      <c r="P11" s="5"/>
      <c r="Q11" s="15">
        <v>13.9</v>
      </c>
      <c r="R11" s="130">
        <v>20.3</v>
      </c>
      <c r="S11" s="131"/>
      <c r="T11" s="134"/>
      <c r="U11" s="135"/>
      <c r="V11" s="130"/>
      <c r="W11" s="131"/>
      <c r="X11" s="134"/>
      <c r="Y11" s="135"/>
      <c r="Z11" s="130"/>
      <c r="AA11" s="131"/>
      <c r="AB11" s="134"/>
      <c r="AC11" s="135"/>
      <c r="AD11" s="130"/>
      <c r="AE11" s="131"/>
      <c r="AF11" s="6"/>
      <c r="AH11" s="165"/>
      <c r="AI11" s="161"/>
      <c r="AJ11" s="166"/>
      <c r="AK11" s="164"/>
      <c r="AL11" s="166"/>
      <c r="AM11" s="164"/>
      <c r="AN11" s="166"/>
      <c r="AO11" s="164"/>
    </row>
    <row r="12" spans="2:41" ht="15" thickBot="1" x14ac:dyDescent="0.35">
      <c r="B12" s="147" t="s">
        <v>24</v>
      </c>
      <c r="C12" s="148"/>
      <c r="D12" s="101"/>
      <c r="E12" s="102"/>
      <c r="F12" s="103"/>
      <c r="G12" s="102"/>
      <c r="H12" s="103"/>
      <c r="I12" s="102"/>
      <c r="J12" s="103"/>
      <c r="K12" s="102"/>
      <c r="L12" s="167"/>
      <c r="M12" s="168"/>
      <c r="N12" s="163"/>
      <c r="O12" s="164"/>
      <c r="P12" s="5"/>
      <c r="Q12" s="14">
        <v>22.7</v>
      </c>
      <c r="R12" s="130">
        <v>23.5</v>
      </c>
      <c r="S12" s="131"/>
      <c r="T12" s="134"/>
      <c r="U12" s="135"/>
      <c r="V12" s="130"/>
      <c r="W12" s="131"/>
      <c r="X12" s="134"/>
      <c r="Y12" s="135"/>
      <c r="Z12" s="130"/>
      <c r="AA12" s="131"/>
      <c r="AB12" s="134"/>
      <c r="AC12" s="135"/>
      <c r="AD12" s="130"/>
      <c r="AE12" s="131"/>
      <c r="AF12" s="6"/>
      <c r="AH12" s="165"/>
      <c r="AI12" s="161"/>
      <c r="AJ12" s="166"/>
      <c r="AK12" s="164"/>
      <c r="AL12" s="166"/>
      <c r="AM12" s="164"/>
      <c r="AN12" s="166"/>
      <c r="AO12" s="164"/>
    </row>
    <row r="13" spans="2:41" ht="15" thickBot="1" x14ac:dyDescent="0.35">
      <c r="B13" s="147" t="s">
        <v>25</v>
      </c>
      <c r="C13" s="148"/>
      <c r="D13" s="101"/>
      <c r="E13" s="102"/>
      <c r="F13" s="103"/>
      <c r="G13" s="102"/>
      <c r="H13" s="103"/>
      <c r="I13" s="102"/>
      <c r="J13" s="103"/>
      <c r="K13" s="102"/>
      <c r="L13" s="167"/>
      <c r="M13" s="168"/>
      <c r="N13" s="163"/>
      <c r="O13" s="164"/>
      <c r="P13" s="5"/>
      <c r="Q13" s="28">
        <v>25.7</v>
      </c>
      <c r="R13" s="130">
        <v>17.100000000000001</v>
      </c>
      <c r="S13" s="131"/>
      <c r="T13" s="134"/>
      <c r="U13" s="135"/>
      <c r="V13" s="130"/>
      <c r="W13" s="131"/>
      <c r="X13" s="134"/>
      <c r="Y13" s="135"/>
      <c r="Z13" s="130"/>
      <c r="AA13" s="131"/>
      <c r="AB13" s="134"/>
      <c r="AC13" s="135"/>
      <c r="AD13" s="130"/>
      <c r="AE13" s="131"/>
      <c r="AF13" s="6"/>
      <c r="AH13" s="165"/>
      <c r="AI13" s="161"/>
      <c r="AJ13" s="166"/>
      <c r="AK13" s="164"/>
      <c r="AL13" s="166"/>
      <c r="AM13" s="164"/>
      <c r="AN13" s="166"/>
      <c r="AO13" s="164"/>
    </row>
    <row r="14" spans="2:41" ht="15" thickBot="1" x14ac:dyDescent="0.35">
      <c r="B14" s="147" t="s">
        <v>26</v>
      </c>
      <c r="C14" s="148"/>
      <c r="D14" s="101"/>
      <c r="E14" s="102"/>
      <c r="F14" s="103"/>
      <c r="G14" s="102"/>
      <c r="H14" s="103"/>
      <c r="I14" s="102"/>
      <c r="J14" s="103"/>
      <c r="K14" s="102"/>
      <c r="L14" s="167"/>
      <c r="M14" s="168"/>
      <c r="N14" s="163"/>
      <c r="O14" s="164"/>
      <c r="P14" s="5"/>
      <c r="Q14" s="18">
        <v>22.7</v>
      </c>
      <c r="R14" s="130">
        <v>24.1</v>
      </c>
      <c r="S14" s="131"/>
      <c r="T14" s="134"/>
      <c r="U14" s="135"/>
      <c r="V14" s="130"/>
      <c r="W14" s="131"/>
      <c r="X14" s="134"/>
      <c r="Y14" s="135"/>
      <c r="Z14" s="130"/>
      <c r="AA14" s="131"/>
      <c r="AB14" s="134"/>
      <c r="AC14" s="135"/>
      <c r="AD14" s="130"/>
      <c r="AE14" s="131"/>
      <c r="AF14" s="6"/>
      <c r="AH14" s="165"/>
      <c r="AI14" s="161"/>
      <c r="AJ14" s="166"/>
      <c r="AK14" s="164"/>
      <c r="AL14" s="166"/>
      <c r="AM14" s="164"/>
      <c r="AN14" s="166"/>
      <c r="AO14" s="164"/>
    </row>
    <row r="15" spans="2:41" ht="15" thickBot="1" x14ac:dyDescent="0.35">
      <c r="B15" s="147" t="s">
        <v>27</v>
      </c>
      <c r="C15" s="148"/>
      <c r="D15" s="101"/>
      <c r="E15" s="102"/>
      <c r="F15" s="103"/>
      <c r="G15" s="102"/>
      <c r="H15" s="103"/>
      <c r="I15" s="102"/>
      <c r="J15" s="103"/>
      <c r="K15" s="102"/>
      <c r="L15" s="167"/>
      <c r="M15" s="168"/>
      <c r="N15" s="163"/>
      <c r="O15" s="164"/>
      <c r="P15" s="5"/>
      <c r="Q15" s="17">
        <v>11.5</v>
      </c>
      <c r="R15" s="130">
        <v>25.4</v>
      </c>
      <c r="S15" s="131"/>
      <c r="T15" s="134"/>
      <c r="U15" s="135"/>
      <c r="V15" s="130"/>
      <c r="W15" s="131"/>
      <c r="X15" s="134"/>
      <c r="Y15" s="135"/>
      <c r="Z15" s="130"/>
      <c r="AA15" s="131"/>
      <c r="AB15" s="134"/>
      <c r="AC15" s="135"/>
      <c r="AD15" s="130"/>
      <c r="AE15" s="131"/>
      <c r="AF15" s="7"/>
      <c r="AH15" s="165"/>
      <c r="AI15" s="161"/>
      <c r="AJ15" s="166"/>
      <c r="AK15" s="164"/>
      <c r="AL15" s="166"/>
      <c r="AM15" s="164"/>
      <c r="AN15" s="166"/>
      <c r="AO15" s="164"/>
    </row>
    <row r="16" spans="2:41" ht="15" thickBot="1" x14ac:dyDescent="0.35">
      <c r="B16" s="147" t="s">
        <v>28</v>
      </c>
      <c r="C16" s="148"/>
      <c r="D16" s="101"/>
      <c r="E16" s="102"/>
      <c r="F16" s="103"/>
      <c r="G16" s="102"/>
      <c r="H16" s="103"/>
      <c r="I16" s="102"/>
      <c r="J16" s="103"/>
      <c r="K16" s="102"/>
      <c r="L16" s="167"/>
      <c r="M16" s="168"/>
      <c r="N16" s="163"/>
      <c r="O16" s="164"/>
      <c r="P16" s="5"/>
      <c r="Q16" s="17">
        <v>11.1</v>
      </c>
      <c r="R16" s="130"/>
      <c r="S16" s="131"/>
      <c r="T16" s="134"/>
      <c r="U16" s="135"/>
      <c r="V16" s="130"/>
      <c r="W16" s="131"/>
      <c r="X16" s="134"/>
      <c r="Y16" s="135"/>
      <c r="Z16" s="130"/>
      <c r="AA16" s="131"/>
      <c r="AB16" s="134"/>
      <c r="AC16" s="135"/>
      <c r="AD16" s="130"/>
      <c r="AE16" s="131"/>
      <c r="AF16" s="8"/>
      <c r="AH16" s="165"/>
      <c r="AI16" s="161"/>
      <c r="AJ16" s="166"/>
      <c r="AK16" s="164"/>
      <c r="AL16" s="166"/>
      <c r="AM16" s="164"/>
      <c r="AN16" s="166"/>
      <c r="AO16" s="164"/>
    </row>
    <row r="17" spans="2:41" ht="15" thickBot="1" x14ac:dyDescent="0.35">
      <c r="B17" s="147" t="s">
        <v>29</v>
      </c>
      <c r="C17" s="148"/>
      <c r="D17" s="101"/>
      <c r="E17" s="102"/>
      <c r="F17" s="103"/>
      <c r="G17" s="102"/>
      <c r="H17" s="103"/>
      <c r="I17" s="102"/>
      <c r="J17" s="103"/>
      <c r="K17" s="102"/>
      <c r="L17" s="167"/>
      <c r="M17" s="168"/>
      <c r="N17" s="163"/>
      <c r="O17" s="164"/>
      <c r="P17" s="5"/>
      <c r="Q17" s="19">
        <v>23.2</v>
      </c>
      <c r="R17" s="130"/>
      <c r="S17" s="131"/>
      <c r="T17" s="134"/>
      <c r="U17" s="135"/>
      <c r="V17" s="130"/>
      <c r="W17" s="131"/>
      <c r="X17" s="134"/>
      <c r="Y17" s="135"/>
      <c r="Z17" s="130"/>
      <c r="AA17" s="131"/>
      <c r="AB17" s="134"/>
      <c r="AC17" s="135"/>
      <c r="AD17" s="130"/>
      <c r="AE17" s="131"/>
      <c r="AF17" s="7"/>
      <c r="AH17" s="165"/>
      <c r="AI17" s="161"/>
      <c r="AJ17" s="166"/>
      <c r="AK17" s="164"/>
      <c r="AL17" s="166"/>
      <c r="AM17" s="164"/>
      <c r="AN17" s="166"/>
      <c r="AO17" s="164"/>
    </row>
    <row r="18" spans="2:41" ht="15" thickBot="1" x14ac:dyDescent="0.35">
      <c r="B18" s="145" t="s">
        <v>30</v>
      </c>
      <c r="C18" s="146"/>
      <c r="D18" s="104"/>
      <c r="E18" s="105"/>
      <c r="F18" s="106"/>
      <c r="G18" s="105"/>
      <c r="H18" s="106"/>
      <c r="I18" s="105"/>
      <c r="J18" s="106"/>
      <c r="K18" s="105"/>
      <c r="L18" s="160"/>
      <c r="M18" s="161"/>
      <c r="N18" s="162"/>
      <c r="O18" s="159"/>
      <c r="P18" s="9"/>
      <c r="Q18" s="24">
        <v>21.6</v>
      </c>
      <c r="R18" s="130"/>
      <c r="S18" s="131"/>
      <c r="T18" s="134"/>
      <c r="U18" s="135"/>
      <c r="V18" s="130"/>
      <c r="W18" s="131"/>
      <c r="X18" s="134"/>
      <c r="Y18" s="135"/>
      <c r="Z18" s="130"/>
      <c r="AA18" s="131"/>
      <c r="AB18" s="134"/>
      <c r="AC18" s="135"/>
      <c r="AD18" s="130"/>
      <c r="AE18" s="131"/>
      <c r="AF18" s="10"/>
      <c r="AH18" s="156"/>
      <c r="AI18" s="157"/>
      <c r="AJ18" s="158"/>
      <c r="AK18" s="159"/>
      <c r="AL18" s="158"/>
      <c r="AM18" s="159"/>
      <c r="AN18" s="158"/>
      <c r="AO18" s="159"/>
    </row>
    <row r="19" spans="2:41" ht="15.6" thickTop="1" thickBot="1" x14ac:dyDescent="0.35">
      <c r="B19" s="152" t="s">
        <v>31</v>
      </c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3"/>
      <c r="O19" s="153"/>
      <c r="P19" s="155"/>
      <c r="Q19" s="20">
        <v>18.2</v>
      </c>
      <c r="R19" s="130"/>
      <c r="S19" s="131"/>
      <c r="T19" s="134"/>
      <c r="U19" s="135"/>
      <c r="V19" s="130"/>
      <c r="W19" s="131"/>
      <c r="X19" s="134"/>
      <c r="Y19" s="135"/>
      <c r="Z19" s="130"/>
      <c r="AA19" s="131"/>
      <c r="AB19" s="134"/>
      <c r="AC19" s="135"/>
      <c r="AD19" s="130"/>
      <c r="AE19" s="131"/>
      <c r="AF19" s="10"/>
    </row>
    <row r="20" spans="2:41" ht="15.6" thickTop="1" thickBot="1" x14ac:dyDescent="0.35">
      <c r="B20" s="11" t="s">
        <v>32</v>
      </c>
      <c r="C20" s="149" t="s">
        <v>33</v>
      </c>
      <c r="D20" s="150"/>
      <c r="E20" s="149" t="s">
        <v>34</v>
      </c>
      <c r="F20" s="150"/>
      <c r="G20" s="149" t="s">
        <v>5</v>
      </c>
      <c r="H20" s="150"/>
      <c r="I20" s="149" t="s">
        <v>35</v>
      </c>
      <c r="J20" s="150"/>
      <c r="K20" s="149" t="s">
        <v>36</v>
      </c>
      <c r="L20" s="150"/>
      <c r="M20" s="149" t="s">
        <v>37</v>
      </c>
      <c r="N20" s="150"/>
      <c r="O20" s="149"/>
      <c r="P20" s="151"/>
      <c r="Q20" s="21">
        <v>24.2</v>
      </c>
      <c r="R20" s="130"/>
      <c r="S20" s="131"/>
      <c r="T20" s="134"/>
      <c r="U20" s="135"/>
      <c r="V20" s="130"/>
      <c r="W20" s="131"/>
      <c r="X20" s="134"/>
      <c r="Y20" s="135"/>
      <c r="Z20" s="130"/>
      <c r="AA20" s="131"/>
      <c r="AB20" s="134"/>
      <c r="AC20" s="135"/>
      <c r="AD20" s="130"/>
      <c r="AE20" s="131"/>
      <c r="AF20" s="8"/>
    </row>
    <row r="21" spans="2:41" ht="15.6" thickTop="1" thickBot="1" x14ac:dyDescent="0.35">
      <c r="B21" s="12">
        <v>1</v>
      </c>
      <c r="C21" s="141" t="s">
        <v>38</v>
      </c>
      <c r="D21" s="142"/>
      <c r="E21" s="143">
        <v>30.6</v>
      </c>
      <c r="F21" s="144"/>
      <c r="G21" s="136">
        <v>14.2</v>
      </c>
      <c r="H21" s="137"/>
      <c r="I21" s="136">
        <v>6.2</v>
      </c>
      <c r="J21" s="137"/>
      <c r="K21" s="136">
        <v>1.5</v>
      </c>
      <c r="L21" s="137"/>
      <c r="M21" s="136">
        <v>1.7</v>
      </c>
      <c r="N21" s="137"/>
      <c r="O21" s="136"/>
      <c r="P21" s="140"/>
      <c r="Q21" s="22">
        <v>21.5</v>
      </c>
      <c r="R21" s="130"/>
      <c r="S21" s="131"/>
      <c r="T21" s="134"/>
      <c r="U21" s="135"/>
      <c r="V21" s="130"/>
      <c r="W21" s="131"/>
      <c r="X21" s="134"/>
      <c r="Y21" s="135"/>
      <c r="Z21" s="130"/>
      <c r="AA21" s="131"/>
      <c r="AB21" s="134"/>
      <c r="AC21" s="135"/>
      <c r="AD21" s="130"/>
      <c r="AE21" s="131"/>
      <c r="AF21" s="6"/>
    </row>
    <row r="22" spans="2:41" ht="15" thickBot="1" x14ac:dyDescent="0.35">
      <c r="B22" s="12">
        <v>2</v>
      </c>
      <c r="C22" s="113" t="s">
        <v>38</v>
      </c>
      <c r="D22" s="114"/>
      <c r="E22" s="138">
        <v>26.4</v>
      </c>
      <c r="F22" s="139"/>
      <c r="G22" s="117">
        <v>14.9</v>
      </c>
      <c r="H22" s="118"/>
      <c r="I22" s="117">
        <v>6.3</v>
      </c>
      <c r="J22" s="118"/>
      <c r="K22" s="117">
        <v>2</v>
      </c>
      <c r="L22" s="118"/>
      <c r="M22" s="117">
        <v>1.5</v>
      </c>
      <c r="N22" s="118"/>
      <c r="O22" s="117"/>
      <c r="P22" s="119"/>
      <c r="Q22" s="22">
        <v>22.4</v>
      </c>
      <c r="R22" s="130"/>
      <c r="S22" s="131"/>
      <c r="T22" s="134"/>
      <c r="U22" s="135"/>
      <c r="V22" s="130"/>
      <c r="W22" s="131"/>
      <c r="X22" s="134"/>
      <c r="Y22" s="135"/>
      <c r="Z22" s="130"/>
      <c r="AA22" s="131"/>
      <c r="AB22" s="134"/>
      <c r="AC22" s="135"/>
      <c r="AD22" s="130"/>
      <c r="AE22" s="131"/>
      <c r="AF22" s="6"/>
    </row>
    <row r="23" spans="2:41" ht="15" thickBot="1" x14ac:dyDescent="0.35">
      <c r="B23" s="12">
        <v>3</v>
      </c>
      <c r="C23" s="113" t="s">
        <v>38</v>
      </c>
      <c r="D23" s="114"/>
      <c r="E23" s="132">
        <v>14.6</v>
      </c>
      <c r="F23" s="133"/>
      <c r="G23" s="117">
        <v>9.4</v>
      </c>
      <c r="H23" s="118"/>
      <c r="I23" s="117">
        <v>3.9</v>
      </c>
      <c r="J23" s="118"/>
      <c r="K23" s="117">
        <v>1.1000000000000001</v>
      </c>
      <c r="L23" s="118"/>
      <c r="M23" s="117">
        <v>1</v>
      </c>
      <c r="N23" s="118"/>
      <c r="O23" s="117"/>
      <c r="P23" s="119"/>
      <c r="Q23" s="16">
        <v>27.5</v>
      </c>
      <c r="R23" s="130"/>
      <c r="S23" s="131"/>
      <c r="T23" s="134"/>
      <c r="U23" s="135"/>
      <c r="V23" s="130"/>
      <c r="W23" s="131"/>
      <c r="X23" s="134"/>
      <c r="Y23" s="135"/>
      <c r="Z23" s="130"/>
      <c r="AA23" s="131"/>
      <c r="AB23" s="134"/>
      <c r="AC23" s="135"/>
      <c r="AD23" s="130"/>
      <c r="AE23" s="131"/>
      <c r="AF23" s="6"/>
    </row>
    <row r="24" spans="2:41" ht="15" thickBot="1" x14ac:dyDescent="0.35">
      <c r="B24" s="12">
        <v>4</v>
      </c>
      <c r="C24" s="113" t="s">
        <v>38</v>
      </c>
      <c r="D24" s="114"/>
      <c r="E24" s="128">
        <v>25.7</v>
      </c>
      <c r="F24" s="129"/>
      <c r="G24" s="117">
        <v>15.2</v>
      </c>
      <c r="H24" s="118"/>
      <c r="I24" s="117">
        <v>4.9000000000000004</v>
      </c>
      <c r="J24" s="118"/>
      <c r="K24" s="117">
        <v>2.2000000000000002</v>
      </c>
      <c r="L24" s="118"/>
      <c r="M24" s="117">
        <v>1.6</v>
      </c>
      <c r="N24" s="118"/>
      <c r="O24" s="117"/>
      <c r="P24" s="119"/>
      <c r="Q24" s="22">
        <v>21.1</v>
      </c>
      <c r="R24" s="130"/>
      <c r="S24" s="131"/>
      <c r="T24" s="134"/>
      <c r="U24" s="135"/>
      <c r="V24" s="130"/>
      <c r="W24" s="131"/>
      <c r="X24" s="134"/>
      <c r="Y24" s="135"/>
      <c r="Z24" s="130"/>
      <c r="AA24" s="131"/>
      <c r="AB24" s="134"/>
      <c r="AC24" s="135"/>
      <c r="AD24" s="130"/>
      <c r="AE24" s="131"/>
      <c r="AF24" s="6"/>
    </row>
    <row r="25" spans="2:41" ht="15" thickBot="1" x14ac:dyDescent="0.35">
      <c r="B25" s="12">
        <v>5</v>
      </c>
      <c r="C25" s="113" t="s">
        <v>38</v>
      </c>
      <c r="D25" s="114"/>
      <c r="E25" s="115">
        <v>11.5</v>
      </c>
      <c r="F25" s="116"/>
      <c r="G25" s="117">
        <v>10.5</v>
      </c>
      <c r="H25" s="118"/>
      <c r="I25" s="117">
        <v>5.0999999999999996</v>
      </c>
      <c r="J25" s="118"/>
      <c r="K25" s="117">
        <v>0.9</v>
      </c>
      <c r="L25" s="118"/>
      <c r="M25" s="117">
        <v>0.9</v>
      </c>
      <c r="N25" s="118"/>
      <c r="O25" s="117"/>
      <c r="P25" s="119"/>
      <c r="Q25" s="23">
        <v>25.2</v>
      </c>
      <c r="R25" s="123"/>
      <c r="S25" s="124"/>
      <c r="T25" s="121"/>
      <c r="U25" s="122"/>
      <c r="V25" s="123"/>
      <c r="W25" s="124"/>
      <c r="X25" s="121"/>
      <c r="Y25" s="122"/>
      <c r="Z25" s="123"/>
      <c r="AA25" s="124"/>
      <c r="AB25" s="121"/>
      <c r="AC25" s="122"/>
      <c r="AD25" s="123"/>
      <c r="AE25" s="124"/>
      <c r="AF25" s="13"/>
    </row>
    <row r="26" spans="2:41" ht="15.6" thickTop="1" thickBot="1" x14ac:dyDescent="0.35">
      <c r="B26" s="12">
        <v>6</v>
      </c>
      <c r="C26" s="113" t="s">
        <v>38</v>
      </c>
      <c r="D26" s="114"/>
      <c r="E26" s="115">
        <v>21.6</v>
      </c>
      <c r="F26" s="116"/>
      <c r="G26" s="117">
        <v>17.7</v>
      </c>
      <c r="H26" s="118"/>
      <c r="I26" s="117">
        <v>5.8</v>
      </c>
      <c r="J26" s="118"/>
      <c r="K26" s="117">
        <v>0.6</v>
      </c>
      <c r="L26" s="118"/>
      <c r="M26" s="117">
        <v>1.9</v>
      </c>
      <c r="N26" s="118"/>
      <c r="O26" s="117"/>
      <c r="P26" s="119"/>
      <c r="Q26" s="125" t="s">
        <v>31</v>
      </c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7"/>
    </row>
    <row r="27" spans="2:41" ht="15" thickBot="1" x14ac:dyDescent="0.35">
      <c r="B27" s="12">
        <v>7</v>
      </c>
      <c r="C27" s="113" t="s">
        <v>38</v>
      </c>
      <c r="D27" s="114"/>
      <c r="E27" s="115">
        <v>19.600000000000001</v>
      </c>
      <c r="F27" s="116"/>
      <c r="G27" s="117">
        <v>16.100000000000001</v>
      </c>
      <c r="H27" s="118"/>
      <c r="I27" s="117">
        <v>10</v>
      </c>
      <c r="J27" s="118"/>
      <c r="K27" s="117">
        <v>0.8</v>
      </c>
      <c r="L27" s="118"/>
      <c r="M27" s="117">
        <v>1.2</v>
      </c>
      <c r="N27" s="118"/>
      <c r="O27" s="117"/>
      <c r="P27" s="119"/>
      <c r="Q27" s="120" t="s">
        <v>32</v>
      </c>
      <c r="R27" s="112"/>
      <c r="S27" s="111" t="s">
        <v>33</v>
      </c>
      <c r="T27" s="112"/>
      <c r="U27" s="111" t="s">
        <v>34</v>
      </c>
      <c r="V27" s="112"/>
      <c r="W27" s="111" t="s">
        <v>5</v>
      </c>
      <c r="X27" s="112"/>
      <c r="Y27" s="111" t="s">
        <v>35</v>
      </c>
      <c r="Z27" s="112"/>
      <c r="AA27" s="111" t="s">
        <v>36</v>
      </c>
      <c r="AB27" s="112"/>
      <c r="AC27" s="111" t="s">
        <v>37</v>
      </c>
      <c r="AD27" s="112"/>
      <c r="AE27" s="111"/>
      <c r="AF27" s="112"/>
    </row>
    <row r="28" spans="2:41" ht="15" thickBot="1" x14ac:dyDescent="0.35">
      <c r="B28" s="12">
        <v>8</v>
      </c>
      <c r="C28" s="113" t="s">
        <v>38</v>
      </c>
      <c r="D28" s="114"/>
      <c r="E28" s="115">
        <v>23.2</v>
      </c>
      <c r="F28" s="116"/>
      <c r="G28" s="117">
        <v>14.5</v>
      </c>
      <c r="H28" s="118"/>
      <c r="I28" s="117">
        <v>7.6</v>
      </c>
      <c r="J28" s="118"/>
      <c r="K28" s="117">
        <v>2.8</v>
      </c>
      <c r="L28" s="118"/>
      <c r="M28" s="117">
        <v>1</v>
      </c>
      <c r="N28" s="118"/>
      <c r="O28" s="117"/>
      <c r="P28" s="119"/>
      <c r="Q28" s="110"/>
      <c r="R28" s="108"/>
      <c r="S28" s="107"/>
      <c r="T28" s="108"/>
      <c r="U28" s="107"/>
      <c r="V28" s="108"/>
      <c r="W28" s="107"/>
      <c r="X28" s="108"/>
      <c r="Y28" s="107"/>
      <c r="Z28" s="108"/>
      <c r="AA28" s="107"/>
      <c r="AB28" s="108"/>
      <c r="AC28" s="107"/>
      <c r="AD28" s="108"/>
      <c r="AE28" s="107"/>
      <c r="AF28" s="108"/>
    </row>
  </sheetData>
  <mergeCells count="390">
    <mergeCell ref="B3:P3"/>
    <mergeCell ref="Q3:AF3"/>
    <mergeCell ref="B4:C4"/>
    <mergeCell ref="D4:M4"/>
    <mergeCell ref="N4:P4"/>
    <mergeCell ref="Q4:AA4"/>
    <mergeCell ref="AB4:AF4"/>
    <mergeCell ref="AH6:AI6"/>
    <mergeCell ref="AJ6:AK6"/>
    <mergeCell ref="B6:C6"/>
    <mergeCell ref="B5:C5"/>
    <mergeCell ref="AL6:AM6"/>
    <mergeCell ref="AN6:AO6"/>
    <mergeCell ref="L6:M6"/>
    <mergeCell ref="N6:O6"/>
    <mergeCell ref="R6:S6"/>
    <mergeCell ref="N5:O5"/>
    <mergeCell ref="R5:S5"/>
    <mergeCell ref="T5:U5"/>
    <mergeCell ref="V5:W5"/>
    <mergeCell ref="X5:Y5"/>
    <mergeCell ref="Z5:AA5"/>
    <mergeCell ref="AH5:AI5"/>
    <mergeCell ref="AJ5:AK5"/>
    <mergeCell ref="AL5:AM5"/>
    <mergeCell ref="AN5:AO5"/>
    <mergeCell ref="L5:M5"/>
    <mergeCell ref="T6:U6"/>
    <mergeCell ref="V6:W6"/>
    <mergeCell ref="X6:Y6"/>
    <mergeCell ref="Z6:AA6"/>
    <mergeCell ref="AB6:AC6"/>
    <mergeCell ref="AD6:AE6"/>
    <mergeCell ref="AB5:AC5"/>
    <mergeCell ref="AD5:AE5"/>
    <mergeCell ref="AH8:AI8"/>
    <mergeCell ref="AJ8:AK8"/>
    <mergeCell ref="AL8:AM8"/>
    <mergeCell ref="AN8:AO8"/>
    <mergeCell ref="L8:M8"/>
    <mergeCell ref="N8:O8"/>
    <mergeCell ref="R8:S8"/>
    <mergeCell ref="N7:O7"/>
    <mergeCell ref="R7:S7"/>
    <mergeCell ref="T7:U7"/>
    <mergeCell ref="V7:W7"/>
    <mergeCell ref="X7:Y7"/>
    <mergeCell ref="Z7:AA7"/>
    <mergeCell ref="AH7:AI7"/>
    <mergeCell ref="AJ7:AK7"/>
    <mergeCell ref="AL7:AM7"/>
    <mergeCell ref="AN7:AO7"/>
    <mergeCell ref="L7:M7"/>
    <mergeCell ref="T8:U8"/>
    <mergeCell ref="V8:W8"/>
    <mergeCell ref="X8:Y8"/>
    <mergeCell ref="Z8:AA8"/>
    <mergeCell ref="AB8:AC8"/>
    <mergeCell ref="AD8:AE8"/>
    <mergeCell ref="AB7:AC7"/>
    <mergeCell ref="AD7:AE7"/>
    <mergeCell ref="B8:C8"/>
    <mergeCell ref="B7:C7"/>
    <mergeCell ref="AH10:AI10"/>
    <mergeCell ref="AJ10:AK10"/>
    <mergeCell ref="AL10:AM10"/>
    <mergeCell ref="AN10:AO10"/>
    <mergeCell ref="L10:M10"/>
    <mergeCell ref="N10:O10"/>
    <mergeCell ref="R10:S10"/>
    <mergeCell ref="N9:O9"/>
    <mergeCell ref="R9:S9"/>
    <mergeCell ref="T9:U9"/>
    <mergeCell ref="V9:W9"/>
    <mergeCell ref="X9:Y9"/>
    <mergeCell ref="Z9:AA9"/>
    <mergeCell ref="AH9:AI9"/>
    <mergeCell ref="AJ9:AK9"/>
    <mergeCell ref="AL9:AM9"/>
    <mergeCell ref="AN9:AO9"/>
    <mergeCell ref="L9:M9"/>
    <mergeCell ref="T10:U10"/>
    <mergeCell ref="V10:W10"/>
    <mergeCell ref="X10:Y10"/>
    <mergeCell ref="Z10:AA10"/>
    <mergeCell ref="AB10:AC10"/>
    <mergeCell ref="AD10:AE10"/>
    <mergeCell ref="AB9:AC9"/>
    <mergeCell ref="AD9:AE9"/>
    <mergeCell ref="B10:C10"/>
    <mergeCell ref="B9:C9"/>
    <mergeCell ref="D9:E9"/>
    <mergeCell ref="F9:G9"/>
    <mergeCell ref="H9:I9"/>
    <mergeCell ref="J9:K9"/>
    <mergeCell ref="D10:E10"/>
    <mergeCell ref="F10:G10"/>
    <mergeCell ref="H10:I10"/>
    <mergeCell ref="J10:K10"/>
    <mergeCell ref="AH12:AI12"/>
    <mergeCell ref="AJ12:AK12"/>
    <mergeCell ref="AL12:AM12"/>
    <mergeCell ref="AN12:AO12"/>
    <mergeCell ref="L12:M12"/>
    <mergeCell ref="N12:O12"/>
    <mergeCell ref="R12:S12"/>
    <mergeCell ref="N11:O11"/>
    <mergeCell ref="R11:S11"/>
    <mergeCell ref="T11:U11"/>
    <mergeCell ref="V11:W11"/>
    <mergeCell ref="X11:Y11"/>
    <mergeCell ref="Z11:AA11"/>
    <mergeCell ref="AH11:AI11"/>
    <mergeCell ref="AJ11:AK11"/>
    <mergeCell ref="AL11:AM11"/>
    <mergeCell ref="AN11:AO11"/>
    <mergeCell ref="L11:M11"/>
    <mergeCell ref="T12:U12"/>
    <mergeCell ref="V12:W12"/>
    <mergeCell ref="X12:Y12"/>
    <mergeCell ref="Z12:AA12"/>
    <mergeCell ref="AB12:AC12"/>
    <mergeCell ref="AD12:AE12"/>
    <mergeCell ref="AB11:AC11"/>
    <mergeCell ref="AD11:AE11"/>
    <mergeCell ref="B12:C12"/>
    <mergeCell ref="B11:C11"/>
    <mergeCell ref="AH14:AI14"/>
    <mergeCell ref="AJ14:AK14"/>
    <mergeCell ref="AL14:AM14"/>
    <mergeCell ref="AN14:AO14"/>
    <mergeCell ref="L14:M14"/>
    <mergeCell ref="N14:O14"/>
    <mergeCell ref="R14:S14"/>
    <mergeCell ref="N13:O13"/>
    <mergeCell ref="R13:S13"/>
    <mergeCell ref="T13:U13"/>
    <mergeCell ref="V13:W13"/>
    <mergeCell ref="X13:Y13"/>
    <mergeCell ref="Z13:AA13"/>
    <mergeCell ref="AH13:AI13"/>
    <mergeCell ref="AJ13:AK13"/>
    <mergeCell ref="AL13:AM13"/>
    <mergeCell ref="AN13:AO13"/>
    <mergeCell ref="L13:M13"/>
    <mergeCell ref="T14:U14"/>
    <mergeCell ref="V14:W14"/>
    <mergeCell ref="X14:Y14"/>
    <mergeCell ref="Z14:AA14"/>
    <mergeCell ref="AB14:AC14"/>
    <mergeCell ref="AD14:AE14"/>
    <mergeCell ref="AB13:AC13"/>
    <mergeCell ref="AD13:AE13"/>
    <mergeCell ref="B14:C14"/>
    <mergeCell ref="B13:C13"/>
    <mergeCell ref="AH16:AI16"/>
    <mergeCell ref="AD15:AE15"/>
    <mergeCell ref="B16:C16"/>
    <mergeCell ref="B15:C15"/>
    <mergeCell ref="D14:E14"/>
    <mergeCell ref="F14:G14"/>
    <mergeCell ref="H14:I14"/>
    <mergeCell ref="J14:K14"/>
    <mergeCell ref="D15:E15"/>
    <mergeCell ref="F15:G15"/>
    <mergeCell ref="H15:I15"/>
    <mergeCell ref="J15:K15"/>
    <mergeCell ref="AJ16:AK16"/>
    <mergeCell ref="AL16:AM16"/>
    <mergeCell ref="AN16:AO16"/>
    <mergeCell ref="L16:M16"/>
    <mergeCell ref="N16:O16"/>
    <mergeCell ref="R16:S16"/>
    <mergeCell ref="N15:O15"/>
    <mergeCell ref="R15:S15"/>
    <mergeCell ref="T15:U15"/>
    <mergeCell ref="V15:W15"/>
    <mergeCell ref="X15:Y15"/>
    <mergeCell ref="Z15:AA15"/>
    <mergeCell ref="AH15:AI15"/>
    <mergeCell ref="AJ15:AK15"/>
    <mergeCell ref="AL15:AM15"/>
    <mergeCell ref="AN15:AO15"/>
    <mergeCell ref="L15:M15"/>
    <mergeCell ref="T16:U16"/>
    <mergeCell ref="V16:W16"/>
    <mergeCell ref="X16:Y16"/>
    <mergeCell ref="Z16:AA16"/>
    <mergeCell ref="AB16:AC16"/>
    <mergeCell ref="AD16:AE16"/>
    <mergeCell ref="AB15:AC15"/>
    <mergeCell ref="AH18:AI18"/>
    <mergeCell ref="AJ18:AK18"/>
    <mergeCell ref="AL18:AM18"/>
    <mergeCell ref="AN18:AO18"/>
    <mergeCell ref="L18:M18"/>
    <mergeCell ref="N18:O18"/>
    <mergeCell ref="R18:S18"/>
    <mergeCell ref="N17:O17"/>
    <mergeCell ref="R17:S17"/>
    <mergeCell ref="T17:U17"/>
    <mergeCell ref="V17:W17"/>
    <mergeCell ref="X17:Y17"/>
    <mergeCell ref="Z17:AA17"/>
    <mergeCell ref="AH17:AI17"/>
    <mergeCell ref="AJ17:AK17"/>
    <mergeCell ref="AL17:AM17"/>
    <mergeCell ref="AN17:AO17"/>
    <mergeCell ref="L17:M17"/>
    <mergeCell ref="T18:U18"/>
    <mergeCell ref="V18:W18"/>
    <mergeCell ref="X18:Y18"/>
    <mergeCell ref="Z18:AA18"/>
    <mergeCell ref="AB18:AC18"/>
    <mergeCell ref="AD18:AE18"/>
    <mergeCell ref="AB17:AC17"/>
    <mergeCell ref="AD17:AE17"/>
    <mergeCell ref="B18:C18"/>
    <mergeCell ref="B17:C17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C20:D20"/>
    <mergeCell ref="E20:F20"/>
    <mergeCell ref="G20:H20"/>
    <mergeCell ref="I20:J20"/>
    <mergeCell ref="K20:L20"/>
    <mergeCell ref="M20:N20"/>
    <mergeCell ref="O20:P20"/>
    <mergeCell ref="R20:S20"/>
    <mergeCell ref="B19:P19"/>
    <mergeCell ref="R19:S19"/>
    <mergeCell ref="T19:U19"/>
    <mergeCell ref="V19:W19"/>
    <mergeCell ref="X19:Y19"/>
    <mergeCell ref="Z19:AA19"/>
    <mergeCell ref="AD22:AE22"/>
    <mergeCell ref="AB21:AC21"/>
    <mergeCell ref="AD21:AE21"/>
    <mergeCell ref="C22:D22"/>
    <mergeCell ref="E22:F22"/>
    <mergeCell ref="G22:H22"/>
    <mergeCell ref="I22:J22"/>
    <mergeCell ref="K22:L22"/>
    <mergeCell ref="M22:N22"/>
    <mergeCell ref="O22:P22"/>
    <mergeCell ref="R22:S22"/>
    <mergeCell ref="O21:P21"/>
    <mergeCell ref="R21:S21"/>
    <mergeCell ref="T21:U21"/>
    <mergeCell ref="V21:W21"/>
    <mergeCell ref="X21:Y21"/>
    <mergeCell ref="Z21:AA21"/>
    <mergeCell ref="C21:D21"/>
    <mergeCell ref="E21:F21"/>
    <mergeCell ref="G21:H21"/>
    <mergeCell ref="I21:J21"/>
    <mergeCell ref="K21:L21"/>
    <mergeCell ref="M21:N21"/>
    <mergeCell ref="G23:H23"/>
    <mergeCell ref="I23:J23"/>
    <mergeCell ref="K23:L23"/>
    <mergeCell ref="M23:N23"/>
    <mergeCell ref="T22:U22"/>
    <mergeCell ref="V22:W22"/>
    <mergeCell ref="X22:Y22"/>
    <mergeCell ref="Z22:AA22"/>
    <mergeCell ref="AB22:AC22"/>
    <mergeCell ref="T24:U24"/>
    <mergeCell ref="V24:W24"/>
    <mergeCell ref="X24:Y24"/>
    <mergeCell ref="Z24:AA24"/>
    <mergeCell ref="AB24:AC24"/>
    <mergeCell ref="AD24:AE24"/>
    <mergeCell ref="AB23:AC23"/>
    <mergeCell ref="AD23:AE23"/>
    <mergeCell ref="T23:U23"/>
    <mergeCell ref="V23:W23"/>
    <mergeCell ref="X23:Y23"/>
    <mergeCell ref="Z23:AA23"/>
    <mergeCell ref="C24:D24"/>
    <mergeCell ref="E24:F24"/>
    <mergeCell ref="G24:H24"/>
    <mergeCell ref="I24:J24"/>
    <mergeCell ref="K24:L24"/>
    <mergeCell ref="M24:N24"/>
    <mergeCell ref="O24:P24"/>
    <mergeCell ref="R24:S24"/>
    <mergeCell ref="O23:P23"/>
    <mergeCell ref="R23:S23"/>
    <mergeCell ref="C23:D23"/>
    <mergeCell ref="E23:F23"/>
    <mergeCell ref="AB25:AC25"/>
    <mergeCell ref="AD25:AE25"/>
    <mergeCell ref="C26:D26"/>
    <mergeCell ref="E26:F26"/>
    <mergeCell ref="G26:H26"/>
    <mergeCell ref="I26:J26"/>
    <mergeCell ref="K26:L26"/>
    <mergeCell ref="M26:N26"/>
    <mergeCell ref="O26:P26"/>
    <mergeCell ref="Q26:AF26"/>
    <mergeCell ref="O25:P25"/>
    <mergeCell ref="R25:S25"/>
    <mergeCell ref="T25:U25"/>
    <mergeCell ref="V25:W25"/>
    <mergeCell ref="X25:Y25"/>
    <mergeCell ref="Z25:AA25"/>
    <mergeCell ref="C25:D25"/>
    <mergeCell ref="E25:F25"/>
    <mergeCell ref="G25:H25"/>
    <mergeCell ref="I25:J25"/>
    <mergeCell ref="K25:L25"/>
    <mergeCell ref="M25:N25"/>
    <mergeCell ref="M28:N28"/>
    <mergeCell ref="O28:P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C28:AD28"/>
    <mergeCell ref="AE28:AF28"/>
    <mergeCell ref="B2:AF2"/>
    <mergeCell ref="D5:E5"/>
    <mergeCell ref="F5:G5"/>
    <mergeCell ref="H5:I5"/>
    <mergeCell ref="J5:K5"/>
    <mergeCell ref="D6:E6"/>
    <mergeCell ref="F6:G6"/>
    <mergeCell ref="H6:I6"/>
    <mergeCell ref="Q28:R28"/>
    <mergeCell ref="S28:T28"/>
    <mergeCell ref="U28:V28"/>
    <mergeCell ref="W28:X28"/>
    <mergeCell ref="Y28:Z28"/>
    <mergeCell ref="AA28:AB28"/>
    <mergeCell ref="AA27:AB27"/>
    <mergeCell ref="AC27:AD27"/>
    <mergeCell ref="AE27:AF27"/>
    <mergeCell ref="C28:D28"/>
    <mergeCell ref="E28:F28"/>
    <mergeCell ref="G28:H28"/>
    <mergeCell ref="I28:J28"/>
    <mergeCell ref="K28:L28"/>
    <mergeCell ref="D11:E11"/>
    <mergeCell ref="F11:G11"/>
    <mergeCell ref="H11:I11"/>
    <mergeCell ref="J11:K11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12:E12"/>
    <mergeCell ref="F12:G12"/>
    <mergeCell ref="H12:I12"/>
    <mergeCell ref="J12:K12"/>
    <mergeCell ref="D13:E13"/>
    <mergeCell ref="F13:G13"/>
    <mergeCell ref="H13:I13"/>
    <mergeCell ref="J13:K13"/>
    <mergeCell ref="D18:E18"/>
    <mergeCell ref="F18:G18"/>
    <mergeCell ref="H18:I18"/>
    <mergeCell ref="J18:K18"/>
    <mergeCell ref="D16:E16"/>
    <mergeCell ref="F16:G16"/>
    <mergeCell ref="H16:I16"/>
    <mergeCell ref="J16:K16"/>
    <mergeCell ref="D17:E17"/>
    <mergeCell ref="F17:G17"/>
    <mergeCell ref="H17:I17"/>
    <mergeCell ref="J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9"/>
  <sheetViews>
    <sheetView tabSelected="1" zoomScale="83" zoomScaleNormal="83" workbookViewId="0">
      <selection activeCell="Z28" sqref="Z28"/>
    </sheetView>
  </sheetViews>
  <sheetFormatPr defaultRowHeight="14.4" x14ac:dyDescent="0.3"/>
  <cols>
    <col min="9" max="9" width="7.5546875" bestFit="1" customWidth="1"/>
    <col min="10" max="10" width="8.88671875" style="48"/>
    <col min="11" max="11" width="9" customWidth="1"/>
    <col min="12" max="12" width="6.88671875" style="38" customWidth="1"/>
    <col min="13" max="13" width="7.88671875" customWidth="1"/>
    <col min="14" max="14" width="7.88671875" style="2" customWidth="1"/>
    <col min="15" max="15" width="10.21875" bestFit="1" customWidth="1"/>
    <col min="18" max="18" width="10.21875" bestFit="1" customWidth="1"/>
  </cols>
  <sheetData>
    <row r="1" spans="1:30" s="38" customFormat="1" x14ac:dyDescent="0.3">
      <c r="C1" s="208" t="s">
        <v>41</v>
      </c>
      <c r="D1" s="208"/>
      <c r="E1" s="208"/>
      <c r="F1" s="208"/>
      <c r="G1" s="208"/>
      <c r="H1" s="208"/>
      <c r="I1" s="208"/>
      <c r="J1" s="208"/>
      <c r="K1" s="81">
        <f>AVERAGE(L20:L99)</f>
        <v>25.403571428571428</v>
      </c>
      <c r="L1" s="79"/>
      <c r="N1" s="2"/>
      <c r="O1" s="66"/>
      <c r="P1" s="67"/>
      <c r="Q1" s="67"/>
      <c r="R1" s="67"/>
      <c r="S1" s="67"/>
      <c r="T1" s="67"/>
      <c r="U1" s="68"/>
      <c r="AC1" s="62"/>
      <c r="AD1" s="44"/>
    </row>
    <row r="2" spans="1:30" s="38" customFormat="1" x14ac:dyDescent="0.3">
      <c r="C2" s="211" t="s">
        <v>51</v>
      </c>
      <c r="D2" s="211"/>
      <c r="E2" s="211"/>
      <c r="F2" s="211"/>
      <c r="G2" s="211"/>
      <c r="H2" s="211"/>
      <c r="I2" s="211"/>
      <c r="J2" s="211"/>
      <c r="K2" s="98">
        <f>AVERAGE(K20:K99)</f>
        <v>22.45</v>
      </c>
      <c r="L2" s="79"/>
      <c r="N2" s="2"/>
      <c r="O2" s="93" t="s">
        <v>34</v>
      </c>
      <c r="P2" s="69" t="s">
        <v>0</v>
      </c>
      <c r="Q2" s="70" t="s">
        <v>61</v>
      </c>
      <c r="R2" s="71"/>
      <c r="S2" s="71"/>
      <c r="T2" s="71"/>
      <c r="U2" s="72"/>
      <c r="V2" s="2"/>
      <c r="W2" s="2"/>
      <c r="X2" s="2"/>
      <c r="Y2" s="2"/>
      <c r="Z2" s="217" t="s">
        <v>76</v>
      </c>
      <c r="AA2" s="225">
        <f>100/(K2*SQRT(K4))</f>
        <v>0.20712274163709449</v>
      </c>
      <c r="AC2" s="41"/>
      <c r="AD2" s="42"/>
    </row>
    <row r="3" spans="1:30" s="38" customFormat="1" ht="14.4" customHeight="1" x14ac:dyDescent="0.35">
      <c r="C3" s="212" t="s">
        <v>40</v>
      </c>
      <c r="D3" s="212"/>
      <c r="E3" s="212"/>
      <c r="F3" s="212"/>
      <c r="G3" s="212"/>
      <c r="H3" s="212"/>
      <c r="I3" s="212"/>
      <c r="J3" s="212"/>
      <c r="K3" s="64">
        <f>C17*(K2/C17)^((B13/E17)^D17)</f>
        <v>19.622712320193607</v>
      </c>
      <c r="L3" s="64"/>
      <c r="N3" s="2"/>
      <c r="O3" s="93">
        <v>28.65</v>
      </c>
      <c r="P3" s="73">
        <v>25.5</v>
      </c>
      <c r="Q3" s="70">
        <v>1</v>
      </c>
      <c r="R3" s="79"/>
      <c r="S3" s="71" t="s">
        <v>63</v>
      </c>
      <c r="T3" s="74">
        <f>AVERAGE(P3:P16)</f>
        <v>22.45</v>
      </c>
      <c r="U3" s="72"/>
      <c r="V3" s="222" t="s">
        <v>72</v>
      </c>
      <c r="W3" s="223"/>
      <c r="X3" s="223"/>
      <c r="Y3" s="223"/>
      <c r="Z3" s="223"/>
      <c r="AA3" s="29" t="s">
        <v>74</v>
      </c>
      <c r="AB3" s="36">
        <v>0.25</v>
      </c>
      <c r="AC3" s="41"/>
      <c r="AD3" s="42"/>
    </row>
    <row r="4" spans="1:30" ht="15.6" x14ac:dyDescent="0.35">
      <c r="C4" s="213" t="s">
        <v>52</v>
      </c>
      <c r="D4" s="213"/>
      <c r="E4" s="213"/>
      <c r="F4" s="213"/>
      <c r="G4" s="213"/>
      <c r="H4" s="213"/>
      <c r="I4" s="213"/>
      <c r="J4" s="213"/>
      <c r="K4" s="55">
        <f>COUNTIF(F20:F99,0)*B11</f>
        <v>462.5</v>
      </c>
      <c r="L4" s="55"/>
      <c r="O4" s="93">
        <v>29.4</v>
      </c>
      <c r="P4" s="73">
        <v>23.5</v>
      </c>
      <c r="Q4" s="70">
        <v>1</v>
      </c>
      <c r="R4" s="71"/>
      <c r="S4" s="71" t="s">
        <v>70</v>
      </c>
      <c r="T4" s="94">
        <f>AVERAGE(O3:O16)</f>
        <v>25.403571428571428</v>
      </c>
      <c r="U4" s="72"/>
      <c r="V4" s="222"/>
      <c r="W4" s="223"/>
      <c r="X4" s="223"/>
      <c r="Y4" s="223"/>
      <c r="Z4" s="223"/>
      <c r="AA4" s="29" t="s">
        <v>73</v>
      </c>
      <c r="AB4" s="224">
        <f>100^2/(K2^2*AB3^2)</f>
        <v>317.45874276417283</v>
      </c>
      <c r="AC4" s="41"/>
      <c r="AD4" s="42"/>
    </row>
    <row r="5" spans="1:30" ht="15.6" x14ac:dyDescent="0.35">
      <c r="C5" s="213" t="s">
        <v>53</v>
      </c>
      <c r="D5" s="213"/>
      <c r="E5" s="213"/>
      <c r="F5" s="213"/>
      <c r="G5" s="213"/>
      <c r="H5" s="213"/>
      <c r="I5" s="213"/>
      <c r="J5" s="213"/>
      <c r="K5" s="55">
        <f>COUNTIF(F20:F99,1)*B11</f>
        <v>37.5</v>
      </c>
      <c r="L5" s="55"/>
      <c r="O5" s="93">
        <v>28.15</v>
      </c>
      <c r="P5" s="73">
        <v>23.5</v>
      </c>
      <c r="Q5" s="70">
        <v>1</v>
      </c>
      <c r="R5" s="71"/>
      <c r="S5" s="71"/>
      <c r="T5" s="71"/>
      <c r="U5" s="72"/>
      <c r="V5" s="222"/>
      <c r="W5" s="223"/>
      <c r="X5" s="223"/>
      <c r="Y5" s="223"/>
      <c r="Z5" s="223"/>
      <c r="AA5" s="29" t="s">
        <v>75</v>
      </c>
      <c r="AB5" s="224">
        <f>K4-AB4</f>
        <v>145.04125723582717</v>
      </c>
      <c r="AC5" s="227"/>
      <c r="AD5" s="228"/>
    </row>
    <row r="6" spans="1:30" ht="16.2" x14ac:dyDescent="0.3">
      <c r="C6" s="214" t="s">
        <v>54</v>
      </c>
      <c r="D6" s="214"/>
      <c r="E6" s="214"/>
      <c r="F6" s="214"/>
      <c r="G6" s="214"/>
      <c r="H6" s="214"/>
      <c r="I6" s="214"/>
      <c r="J6" s="214"/>
      <c r="K6" s="54">
        <f>H16*B11</f>
        <v>19.821083632184365</v>
      </c>
      <c r="L6" s="54"/>
      <c r="O6" s="93">
        <v>28</v>
      </c>
      <c r="P6" s="73">
        <v>23.3</v>
      </c>
      <c r="Q6" s="70">
        <v>1</v>
      </c>
      <c r="R6" s="71"/>
      <c r="S6" s="209" t="s">
        <v>64</v>
      </c>
      <c r="T6" s="209"/>
      <c r="U6" s="72"/>
      <c r="V6" s="2"/>
      <c r="W6" s="2"/>
      <c r="X6" s="2"/>
      <c r="Y6" s="2"/>
      <c r="Z6" s="217" t="s">
        <v>77</v>
      </c>
      <c r="AA6" s="226">
        <f>K4*(K7/25)^1.6</f>
        <v>414.90468960947948</v>
      </c>
    </row>
    <row r="7" spans="1:30" x14ac:dyDescent="0.3">
      <c r="C7" s="215" t="s">
        <v>68</v>
      </c>
      <c r="D7" s="216"/>
      <c r="E7" s="216"/>
      <c r="F7" s="216"/>
      <c r="G7" s="216"/>
      <c r="H7" s="216"/>
      <c r="I7" s="216"/>
      <c r="J7" s="216"/>
      <c r="K7" s="65">
        <f>SQRT(4*K6/(PI()*K4))*100</f>
        <v>23.359464775430851</v>
      </c>
      <c r="L7" s="80"/>
      <c r="O7" s="93">
        <v>26.9</v>
      </c>
      <c r="P7" s="73">
        <v>23</v>
      </c>
      <c r="Q7" s="70">
        <v>1</v>
      </c>
      <c r="R7" s="71"/>
      <c r="S7" s="209"/>
      <c r="T7" s="209"/>
      <c r="U7" s="72"/>
      <c r="Z7" s="250" t="s">
        <v>97</v>
      </c>
      <c r="AA7" s="2"/>
    </row>
    <row r="8" spans="1:30" x14ac:dyDescent="0.3">
      <c r="C8" s="39"/>
      <c r="D8" s="210" t="s">
        <v>66</v>
      </c>
      <c r="E8" s="210"/>
      <c r="F8" s="210"/>
      <c r="G8" s="210"/>
      <c r="H8" s="210"/>
      <c r="I8" s="210"/>
      <c r="J8" s="210"/>
      <c r="K8" s="38"/>
      <c r="O8" s="93">
        <v>26.45</v>
      </c>
      <c r="P8" s="73">
        <v>23</v>
      </c>
      <c r="Q8" s="70">
        <v>1</v>
      </c>
      <c r="R8" s="71"/>
      <c r="S8" s="209"/>
      <c r="T8" s="209"/>
      <c r="U8" s="72"/>
      <c r="AA8" s="2"/>
    </row>
    <row r="9" spans="1:30" x14ac:dyDescent="0.3">
      <c r="C9" s="39"/>
      <c r="D9" s="210"/>
      <c r="E9" s="210"/>
      <c r="F9" s="210"/>
      <c r="G9" s="210"/>
      <c r="H9" s="210"/>
      <c r="I9" s="210"/>
      <c r="J9" s="210"/>
      <c r="O9" s="93">
        <v>27.1</v>
      </c>
      <c r="P9" s="73">
        <v>22.5</v>
      </c>
      <c r="Q9" s="70">
        <v>1</v>
      </c>
      <c r="R9" s="71"/>
      <c r="S9" s="209"/>
      <c r="T9" s="209"/>
      <c r="U9" s="72"/>
    </row>
    <row r="10" spans="1:30" x14ac:dyDescent="0.3">
      <c r="A10" s="29" t="s">
        <v>58</v>
      </c>
      <c r="B10" s="36">
        <v>1600</v>
      </c>
      <c r="C10" s="39"/>
      <c r="D10" s="210"/>
      <c r="E10" s="210"/>
      <c r="F10" s="210"/>
      <c r="G10" s="210"/>
      <c r="H10" s="210"/>
      <c r="I10" s="210"/>
      <c r="J10" s="210"/>
      <c r="O10" s="93">
        <v>21.45</v>
      </c>
      <c r="P10" s="73">
        <v>22.5</v>
      </c>
      <c r="Q10" s="70">
        <v>1</v>
      </c>
      <c r="R10" s="71"/>
      <c r="S10" s="209"/>
      <c r="T10" s="209"/>
      <c r="U10" s="72"/>
    </row>
    <row r="11" spans="1:30" ht="14.4" customHeight="1" x14ac:dyDescent="0.3">
      <c r="A11" s="29" t="s">
        <v>57</v>
      </c>
      <c r="B11" s="61">
        <f>10000/B10</f>
        <v>6.25</v>
      </c>
      <c r="C11" s="62"/>
      <c r="D11" s="43"/>
      <c r="E11" s="44"/>
      <c r="H11" s="32"/>
      <c r="I11" s="32"/>
      <c r="J11" s="51"/>
      <c r="K11" s="32"/>
      <c r="L11" s="32"/>
      <c r="M11" s="32"/>
      <c r="O11" s="93">
        <v>21.25</v>
      </c>
      <c r="P11" s="73">
        <v>22.5</v>
      </c>
      <c r="Q11" s="70">
        <v>1</v>
      </c>
      <c r="R11" s="71"/>
      <c r="S11" s="209"/>
      <c r="T11" s="209"/>
      <c r="U11" s="72"/>
    </row>
    <row r="12" spans="1:30" x14ac:dyDescent="0.3">
      <c r="A12" t="s">
        <v>59</v>
      </c>
      <c r="B12" s="36">
        <f>B10/100</f>
        <v>16</v>
      </c>
      <c r="C12" s="41"/>
      <c r="D12" s="35"/>
      <c r="E12" s="42"/>
      <c r="G12" s="34"/>
      <c r="H12" s="85"/>
      <c r="I12" s="85"/>
      <c r="J12" s="86"/>
      <c r="K12" s="85"/>
      <c r="L12" s="85"/>
      <c r="M12" s="85"/>
      <c r="N12" s="88"/>
      <c r="O12" s="93">
        <v>26.9</v>
      </c>
      <c r="P12" s="73">
        <v>22</v>
      </c>
      <c r="Q12" s="70">
        <v>1</v>
      </c>
      <c r="R12" s="71"/>
      <c r="S12" s="209"/>
      <c r="T12" s="209"/>
      <c r="U12" s="72"/>
    </row>
    <row r="13" spans="1:30" x14ac:dyDescent="0.3">
      <c r="A13" s="29" t="s">
        <v>71</v>
      </c>
      <c r="B13" s="36">
        <v>13</v>
      </c>
      <c r="C13" s="41"/>
      <c r="D13" s="35"/>
      <c r="E13" s="42"/>
      <c r="G13" s="34"/>
      <c r="H13" s="85"/>
      <c r="I13" s="85"/>
      <c r="J13" s="86"/>
      <c r="K13" s="85"/>
      <c r="L13" s="85"/>
      <c r="M13" s="85"/>
      <c r="N13" s="88"/>
      <c r="O13" s="93">
        <v>24.9</v>
      </c>
      <c r="P13" s="73">
        <v>22</v>
      </c>
      <c r="Q13" s="70">
        <v>1</v>
      </c>
      <c r="R13" s="71"/>
      <c r="S13" s="209"/>
      <c r="T13" s="209"/>
      <c r="U13" s="72"/>
    </row>
    <row r="14" spans="1:30" x14ac:dyDescent="0.3">
      <c r="C14" s="41"/>
      <c r="D14" s="35"/>
      <c r="E14" s="42"/>
      <c r="G14" s="34"/>
      <c r="H14" s="87"/>
      <c r="I14" s="87"/>
      <c r="J14" s="86"/>
      <c r="K14" s="85"/>
      <c r="L14" s="85"/>
      <c r="M14" s="85"/>
      <c r="N14" s="88"/>
      <c r="O14" s="93">
        <v>24.35</v>
      </c>
      <c r="P14" s="73">
        <v>22</v>
      </c>
      <c r="Q14" s="70">
        <v>1</v>
      </c>
      <c r="R14" s="71"/>
      <c r="S14" s="209"/>
      <c r="T14" s="209"/>
      <c r="U14" s="72"/>
    </row>
    <row r="15" spans="1:30" x14ac:dyDescent="0.3">
      <c r="C15" s="63" t="s">
        <v>42</v>
      </c>
      <c r="D15" s="35"/>
      <c r="E15" s="42"/>
      <c r="J15" s="89" t="s">
        <v>43</v>
      </c>
      <c r="K15" s="85"/>
      <c r="L15" s="85"/>
      <c r="M15" s="85"/>
      <c r="N15" s="82"/>
      <c r="O15" s="93">
        <v>19.55</v>
      </c>
      <c r="P15" s="73">
        <v>20.5</v>
      </c>
      <c r="Q15" s="70">
        <v>1</v>
      </c>
      <c r="R15" s="71"/>
      <c r="S15" s="209"/>
      <c r="T15" s="209"/>
      <c r="U15" s="72"/>
    </row>
    <row r="16" spans="1:30" x14ac:dyDescent="0.3">
      <c r="C16" s="31" t="s">
        <v>48</v>
      </c>
      <c r="D16" s="31" t="s">
        <v>49</v>
      </c>
      <c r="E16" s="49" t="s">
        <v>50</v>
      </c>
      <c r="G16" s="92" t="s">
        <v>56</v>
      </c>
      <c r="H16" s="53">
        <f>SUM(H20:H99)</f>
        <v>3.1713733811494986</v>
      </c>
      <c r="J16" s="84" t="s">
        <v>44</v>
      </c>
      <c r="K16" s="84" t="s">
        <v>45</v>
      </c>
      <c r="L16" s="84" t="s">
        <v>46</v>
      </c>
      <c r="M16" s="84" t="s">
        <v>47</v>
      </c>
      <c r="N16" s="83"/>
      <c r="O16" s="93">
        <v>22.6</v>
      </c>
      <c r="P16" s="73">
        <v>18.5</v>
      </c>
      <c r="Q16" s="70">
        <v>1</v>
      </c>
      <c r="R16" s="71"/>
      <c r="S16" s="71"/>
      <c r="T16" s="71"/>
      <c r="U16" s="72"/>
    </row>
    <row r="17" spans="2:21" s="38" customFormat="1" x14ac:dyDescent="0.3">
      <c r="C17" s="56">
        <v>61.1372</v>
      </c>
      <c r="D17" s="56">
        <v>0.48049999999999998</v>
      </c>
      <c r="E17" s="57">
        <v>10</v>
      </c>
      <c r="J17" s="30">
        <v>-1.770086</v>
      </c>
      <c r="K17" s="46">
        <v>-0.233239</v>
      </c>
      <c r="L17" s="46">
        <v>0.54879800000000001</v>
      </c>
      <c r="M17" s="46">
        <v>-5.5273999999999997E-2</v>
      </c>
      <c r="N17" s="2"/>
      <c r="O17" s="75"/>
      <c r="P17" s="76"/>
      <c r="Q17" s="77"/>
      <c r="R17" s="76"/>
      <c r="S17" s="76"/>
      <c r="T17" s="76"/>
      <c r="U17" s="78"/>
    </row>
    <row r="18" spans="2:21" s="38" customFormat="1" x14ac:dyDescent="0.3">
      <c r="J18" s="48"/>
      <c r="N18" s="2"/>
      <c r="O18" s="33"/>
      <c r="P18" s="33"/>
      <c r="Q18" s="50"/>
      <c r="R18" s="33"/>
      <c r="S18" s="33"/>
      <c r="T18" s="33"/>
      <c r="U18" s="33"/>
    </row>
    <row r="19" spans="2:21" ht="30" customHeight="1" x14ac:dyDescent="0.3">
      <c r="B19" s="46" t="s">
        <v>1</v>
      </c>
      <c r="C19" s="46" t="s">
        <v>3</v>
      </c>
      <c r="D19" s="46" t="s">
        <v>2</v>
      </c>
      <c r="E19" s="45" t="s">
        <v>0</v>
      </c>
      <c r="F19" s="59" t="s">
        <v>60</v>
      </c>
      <c r="G19" s="47" t="s">
        <v>4</v>
      </c>
      <c r="H19" s="58" t="s">
        <v>55</v>
      </c>
      <c r="I19" s="52" t="s">
        <v>65</v>
      </c>
      <c r="J19" s="70" t="s">
        <v>61</v>
      </c>
      <c r="K19" s="90" t="s">
        <v>62</v>
      </c>
      <c r="L19" s="90" t="s">
        <v>69</v>
      </c>
      <c r="M19" s="60" t="s">
        <v>67</v>
      </c>
      <c r="N19" s="99" t="s">
        <v>5</v>
      </c>
    </row>
    <row r="20" spans="2:21" x14ac:dyDescent="0.3">
      <c r="B20" s="4">
        <v>71</v>
      </c>
      <c r="C20" s="4">
        <v>284</v>
      </c>
      <c r="D20" s="4">
        <v>289</v>
      </c>
      <c r="E20" s="4">
        <v>25.5</v>
      </c>
      <c r="F20" s="40">
        <f t="shared" ref="F20:F51" si="0">IF(C20=0,1,0)</f>
        <v>0</v>
      </c>
      <c r="G20" s="1">
        <f>(C20+D20)/20</f>
        <v>28.65</v>
      </c>
      <c r="H20" s="37">
        <f t="shared" ref="H20:H51" si="1">PI()/40000*G20^2</f>
        <v>6.4467248397530194E-2</v>
      </c>
      <c r="I20" s="1">
        <v>1</v>
      </c>
      <c r="J20" s="70">
        <f>IF(I20&lt;=14,1,0)</f>
        <v>1</v>
      </c>
      <c r="K20" s="97">
        <f>IF(J20=1,E20*J20,"")</f>
        <v>25.5</v>
      </c>
      <c r="L20" s="91">
        <f>IF(J20=1,G20*J20,"")</f>
        <v>28.65</v>
      </c>
      <c r="M20" s="95">
        <f>$K$2*EXP(($J$17+$K$17*$K$2+$L$17*$K$4/1000+$M$17*$K$7)*(1/G20-1/$K$1))</f>
        <v>23.270106888731416</v>
      </c>
      <c r="N20" s="100">
        <f>IF(E20&lt;&gt;"",E20,M20)</f>
        <v>25.5</v>
      </c>
      <c r="O20" s="96"/>
    </row>
    <row r="21" spans="2:21" x14ac:dyDescent="0.3">
      <c r="B21" s="3">
        <v>11</v>
      </c>
      <c r="C21" s="4">
        <v>295</v>
      </c>
      <c r="D21" s="4">
        <v>293</v>
      </c>
      <c r="E21" s="4">
        <v>23.5</v>
      </c>
      <c r="F21" s="40">
        <f t="shared" si="0"/>
        <v>0</v>
      </c>
      <c r="G21" s="1">
        <f t="shared" ref="G21:G51" si="2">(C21+D21)/20</f>
        <v>29.4</v>
      </c>
      <c r="H21" s="37">
        <f t="shared" si="1"/>
        <v>6.7886675651421827E-2</v>
      </c>
      <c r="I21" s="1">
        <v>2</v>
      </c>
      <c r="J21" s="70">
        <f t="shared" ref="J21:J84" si="3">IF(I21&lt;=14,1,0)</f>
        <v>1</v>
      </c>
      <c r="K21" s="91">
        <f t="shared" ref="K21:K84" si="4">IF(J21=1,E21*J21,"")</f>
        <v>23.5</v>
      </c>
      <c r="L21" s="91">
        <f t="shared" ref="L21:L84" si="5">IF(J21=1,G21*J21,"")</f>
        <v>29.4</v>
      </c>
      <c r="M21" s="95">
        <f t="shared" ref="M21:M84" si="6">$K$2*EXP(($J$17+$K$17*$K$2+$L$17*$K$4/1000+$M$17*$K$7)*(1/G21-1/$K$1))</f>
        <v>23.437368858597107</v>
      </c>
      <c r="N21" s="100">
        <f t="shared" ref="N21:N84" si="7">IF(E21&lt;&gt;"",E21,M21)</f>
        <v>23.5</v>
      </c>
      <c r="O21" s="96"/>
    </row>
    <row r="22" spans="2:21" x14ac:dyDescent="0.3">
      <c r="B22" s="4">
        <v>58</v>
      </c>
      <c r="C22" s="4">
        <v>288</v>
      </c>
      <c r="D22" s="4">
        <v>275</v>
      </c>
      <c r="E22" s="4">
        <v>23.5</v>
      </c>
      <c r="F22" s="40">
        <f t="shared" si="0"/>
        <v>0</v>
      </c>
      <c r="G22" s="1">
        <f t="shared" si="2"/>
        <v>28.15</v>
      </c>
      <c r="H22" s="37">
        <f t="shared" si="1"/>
        <v>6.2236717613481436E-2</v>
      </c>
      <c r="I22" s="1">
        <v>3</v>
      </c>
      <c r="J22" s="70">
        <f t="shared" si="3"/>
        <v>1</v>
      </c>
      <c r="K22" s="91">
        <f t="shared" si="4"/>
        <v>23.5</v>
      </c>
      <c r="L22" s="91">
        <f t="shared" si="5"/>
        <v>28.15</v>
      </c>
      <c r="M22" s="95">
        <f t="shared" si="6"/>
        <v>23.154352811583031</v>
      </c>
      <c r="N22" s="100">
        <f t="shared" si="7"/>
        <v>23.5</v>
      </c>
      <c r="O22" s="96"/>
    </row>
    <row r="23" spans="2:21" x14ac:dyDescent="0.3">
      <c r="B23" s="4">
        <v>64</v>
      </c>
      <c r="C23" s="4">
        <v>285</v>
      </c>
      <c r="D23" s="4">
        <v>275</v>
      </c>
      <c r="E23" s="4">
        <v>23.3</v>
      </c>
      <c r="F23" s="40">
        <f t="shared" si="0"/>
        <v>0</v>
      </c>
      <c r="G23" s="1">
        <f t="shared" si="2"/>
        <v>28</v>
      </c>
      <c r="H23" s="37">
        <f t="shared" si="1"/>
        <v>6.1575216010359944E-2</v>
      </c>
      <c r="I23" s="1">
        <v>4</v>
      </c>
      <c r="J23" s="70">
        <f t="shared" si="3"/>
        <v>1</v>
      </c>
      <c r="K23" s="91">
        <f t="shared" si="4"/>
        <v>23.3</v>
      </c>
      <c r="L23" s="91">
        <f t="shared" si="5"/>
        <v>28</v>
      </c>
      <c r="M23" s="95">
        <f t="shared" si="6"/>
        <v>23.118936080654183</v>
      </c>
      <c r="N23" s="100">
        <f t="shared" si="7"/>
        <v>23.3</v>
      </c>
      <c r="O23" s="96"/>
    </row>
    <row r="24" spans="2:21" x14ac:dyDescent="0.3">
      <c r="B24" s="3">
        <v>31</v>
      </c>
      <c r="C24" s="4">
        <v>260</v>
      </c>
      <c r="D24" s="4">
        <v>278</v>
      </c>
      <c r="E24" s="4">
        <v>23</v>
      </c>
      <c r="F24" s="40">
        <f t="shared" si="0"/>
        <v>0</v>
      </c>
      <c r="G24" s="1">
        <f t="shared" si="2"/>
        <v>26.9</v>
      </c>
      <c r="H24" s="37">
        <f t="shared" si="1"/>
        <v>5.6832196501602747E-2</v>
      </c>
      <c r="I24" s="1">
        <v>5</v>
      </c>
      <c r="J24" s="70">
        <f t="shared" si="3"/>
        <v>1</v>
      </c>
      <c r="K24" s="91">
        <f t="shared" si="4"/>
        <v>23</v>
      </c>
      <c r="L24" s="91">
        <f t="shared" si="5"/>
        <v>26.9</v>
      </c>
      <c r="M24" s="95">
        <f t="shared" si="6"/>
        <v>22.848941410634261</v>
      </c>
      <c r="N24" s="100">
        <f t="shared" si="7"/>
        <v>23</v>
      </c>
      <c r="O24" s="96"/>
    </row>
    <row r="25" spans="2:21" x14ac:dyDescent="0.3">
      <c r="B25" s="3">
        <v>8</v>
      </c>
      <c r="C25" s="4">
        <v>262</v>
      </c>
      <c r="D25" s="4">
        <v>267</v>
      </c>
      <c r="E25" s="4">
        <v>23</v>
      </c>
      <c r="F25" s="40">
        <f t="shared" si="0"/>
        <v>0</v>
      </c>
      <c r="G25" s="1">
        <f t="shared" si="2"/>
        <v>26.45</v>
      </c>
      <c r="H25" s="37">
        <f t="shared" si="1"/>
        <v>5.4946651860826326E-2</v>
      </c>
      <c r="I25" s="1">
        <v>6</v>
      </c>
      <c r="J25" s="70">
        <f t="shared" si="3"/>
        <v>1</v>
      </c>
      <c r="K25" s="91">
        <f t="shared" si="4"/>
        <v>23</v>
      </c>
      <c r="L25" s="91">
        <f t="shared" si="5"/>
        <v>26.45</v>
      </c>
      <c r="M25" s="95">
        <f t="shared" si="6"/>
        <v>22.732997012395373</v>
      </c>
      <c r="N25" s="100">
        <f t="shared" si="7"/>
        <v>23</v>
      </c>
      <c r="O25" s="96"/>
    </row>
    <row r="26" spans="2:21" x14ac:dyDescent="0.3">
      <c r="B26" s="4">
        <v>73</v>
      </c>
      <c r="C26" s="4">
        <v>269</v>
      </c>
      <c r="D26" s="4">
        <v>273</v>
      </c>
      <c r="E26" s="4">
        <v>22.5</v>
      </c>
      <c r="F26" s="40">
        <f t="shared" si="0"/>
        <v>0</v>
      </c>
      <c r="G26" s="1">
        <f t="shared" si="2"/>
        <v>27.1</v>
      </c>
      <c r="H26" s="37">
        <f t="shared" si="1"/>
        <v>5.7680426518072002E-2</v>
      </c>
      <c r="I26" s="1">
        <v>7</v>
      </c>
      <c r="J26" s="70">
        <f t="shared" si="3"/>
        <v>1</v>
      </c>
      <c r="K26" s="91">
        <f t="shared" si="4"/>
        <v>22.5</v>
      </c>
      <c r="L26" s="91">
        <f t="shared" si="5"/>
        <v>27.1</v>
      </c>
      <c r="M26" s="95">
        <f t="shared" si="6"/>
        <v>22.89941999324931</v>
      </c>
      <c r="N26" s="100">
        <f t="shared" si="7"/>
        <v>22.5</v>
      </c>
      <c r="O26" s="96"/>
    </row>
    <row r="27" spans="2:21" x14ac:dyDescent="0.3">
      <c r="B27" s="3">
        <v>3</v>
      </c>
      <c r="C27" s="4">
        <v>212</v>
      </c>
      <c r="D27" s="4">
        <v>217</v>
      </c>
      <c r="E27" s="4">
        <v>22.5</v>
      </c>
      <c r="F27" s="40">
        <f t="shared" si="0"/>
        <v>0</v>
      </c>
      <c r="G27" s="1">
        <f t="shared" si="2"/>
        <v>21.45</v>
      </c>
      <c r="H27" s="37">
        <f t="shared" si="1"/>
        <v>3.6136365847457441E-2</v>
      </c>
      <c r="I27" s="1">
        <v>8</v>
      </c>
      <c r="J27" s="70">
        <f t="shared" si="3"/>
        <v>1</v>
      </c>
      <c r="K27" s="91">
        <f t="shared" si="4"/>
        <v>22.5</v>
      </c>
      <c r="L27" s="91">
        <f t="shared" si="5"/>
        <v>21.45</v>
      </c>
      <c r="M27" s="95">
        <f t="shared" si="6"/>
        <v>21.177300210950463</v>
      </c>
      <c r="N27" s="100">
        <f t="shared" si="7"/>
        <v>22.5</v>
      </c>
      <c r="O27" s="96"/>
    </row>
    <row r="28" spans="2:21" x14ac:dyDescent="0.3">
      <c r="B28" s="3">
        <v>21</v>
      </c>
      <c r="C28" s="4">
        <v>212</v>
      </c>
      <c r="D28" s="4">
        <v>213</v>
      </c>
      <c r="E28" s="4">
        <v>22.5</v>
      </c>
      <c r="F28" s="40">
        <f t="shared" si="0"/>
        <v>0</v>
      </c>
      <c r="G28" s="1">
        <f t="shared" si="2"/>
        <v>21.25</v>
      </c>
      <c r="H28" s="37">
        <f t="shared" si="1"/>
        <v>3.5465635815916025E-2</v>
      </c>
      <c r="I28" s="1">
        <v>9</v>
      </c>
      <c r="J28" s="70">
        <f t="shared" si="3"/>
        <v>1</v>
      </c>
      <c r="K28" s="91">
        <f t="shared" si="4"/>
        <v>22.5</v>
      </c>
      <c r="L28" s="91">
        <f t="shared" si="5"/>
        <v>21.25</v>
      </c>
      <c r="M28" s="95">
        <f t="shared" si="6"/>
        <v>21.102689436783585</v>
      </c>
      <c r="N28" s="100">
        <f t="shared" si="7"/>
        <v>22.5</v>
      </c>
      <c r="O28" s="96"/>
    </row>
    <row r="29" spans="2:21" x14ac:dyDescent="0.3">
      <c r="B29" s="4">
        <v>52</v>
      </c>
      <c r="C29" s="4">
        <v>266</v>
      </c>
      <c r="D29" s="4">
        <v>272</v>
      </c>
      <c r="E29" s="4">
        <v>22</v>
      </c>
      <c r="F29" s="40">
        <f t="shared" si="0"/>
        <v>0</v>
      </c>
      <c r="G29" s="1">
        <f t="shared" si="2"/>
        <v>26.9</v>
      </c>
      <c r="H29" s="37">
        <f t="shared" si="1"/>
        <v>5.6832196501602747E-2</v>
      </c>
      <c r="I29" s="1">
        <v>10</v>
      </c>
      <c r="J29" s="70">
        <f t="shared" si="3"/>
        <v>1</v>
      </c>
      <c r="K29" s="91">
        <f t="shared" si="4"/>
        <v>22</v>
      </c>
      <c r="L29" s="91">
        <f t="shared" si="5"/>
        <v>26.9</v>
      </c>
      <c r="M29" s="95">
        <f t="shared" si="6"/>
        <v>22.848941410634261</v>
      </c>
      <c r="N29" s="100">
        <f t="shared" si="7"/>
        <v>22</v>
      </c>
      <c r="O29" s="96"/>
    </row>
    <row r="30" spans="2:21" x14ac:dyDescent="0.3">
      <c r="B30" s="3">
        <v>39</v>
      </c>
      <c r="C30" s="4">
        <v>247</v>
      </c>
      <c r="D30" s="4">
        <v>251</v>
      </c>
      <c r="E30" s="4">
        <v>22</v>
      </c>
      <c r="F30" s="40">
        <f t="shared" si="0"/>
        <v>0</v>
      </c>
      <c r="G30" s="1">
        <f t="shared" si="2"/>
        <v>24.9</v>
      </c>
      <c r="H30" s="37">
        <f t="shared" si="1"/>
        <v>4.8695471528805177E-2</v>
      </c>
      <c r="I30" s="1">
        <v>11</v>
      </c>
      <c r="J30" s="70">
        <f t="shared" si="3"/>
        <v>1</v>
      </c>
      <c r="K30" s="91">
        <f t="shared" si="4"/>
        <v>22</v>
      </c>
      <c r="L30" s="91">
        <f t="shared" si="5"/>
        <v>24.9</v>
      </c>
      <c r="M30" s="95">
        <f t="shared" si="6"/>
        <v>22.306699769724158</v>
      </c>
      <c r="N30" s="100">
        <f t="shared" si="7"/>
        <v>22</v>
      </c>
      <c r="O30" s="96"/>
    </row>
    <row r="31" spans="2:21" x14ac:dyDescent="0.3">
      <c r="B31" s="4">
        <v>80</v>
      </c>
      <c r="C31" s="4">
        <v>245</v>
      </c>
      <c r="D31" s="4">
        <v>242</v>
      </c>
      <c r="E31" s="4">
        <v>22</v>
      </c>
      <c r="F31" s="40">
        <f t="shared" si="0"/>
        <v>0</v>
      </c>
      <c r="G31" s="1">
        <f t="shared" si="2"/>
        <v>24.35</v>
      </c>
      <c r="H31" s="37">
        <f t="shared" si="1"/>
        <v>4.656802425370235E-2</v>
      </c>
      <c r="I31" s="1">
        <v>12</v>
      </c>
      <c r="J31" s="70">
        <f t="shared" si="3"/>
        <v>1</v>
      </c>
      <c r="K31" s="91">
        <f t="shared" si="4"/>
        <v>22</v>
      </c>
      <c r="L31" s="91">
        <f t="shared" si="5"/>
        <v>24.35</v>
      </c>
      <c r="M31" s="95">
        <f t="shared" si="6"/>
        <v>22.144530115131417</v>
      </c>
      <c r="N31" s="100">
        <f t="shared" si="7"/>
        <v>22</v>
      </c>
      <c r="O31" s="96"/>
    </row>
    <row r="32" spans="2:21" x14ac:dyDescent="0.3">
      <c r="B32" s="3">
        <v>32</v>
      </c>
      <c r="C32" s="4">
        <v>195</v>
      </c>
      <c r="D32" s="4">
        <v>196</v>
      </c>
      <c r="E32" s="4">
        <v>20.5</v>
      </c>
      <c r="F32" s="40">
        <f t="shared" si="0"/>
        <v>0</v>
      </c>
      <c r="G32" s="1">
        <f t="shared" si="2"/>
        <v>19.55</v>
      </c>
      <c r="H32" s="37">
        <f t="shared" si="1"/>
        <v>3.0018114154591324E-2</v>
      </c>
      <c r="I32" s="1">
        <v>13</v>
      </c>
      <c r="J32" s="70">
        <f t="shared" si="3"/>
        <v>1</v>
      </c>
      <c r="K32" s="91">
        <f t="shared" si="4"/>
        <v>20.5</v>
      </c>
      <c r="L32" s="91">
        <f t="shared" si="5"/>
        <v>19.55</v>
      </c>
      <c r="M32" s="95">
        <f t="shared" si="6"/>
        <v>20.419397104662817</v>
      </c>
      <c r="N32" s="100">
        <f t="shared" si="7"/>
        <v>20.5</v>
      </c>
      <c r="O32" s="96"/>
    </row>
    <row r="33" spans="2:15" x14ac:dyDescent="0.3">
      <c r="B33" s="3">
        <v>1</v>
      </c>
      <c r="C33" s="4">
        <v>235</v>
      </c>
      <c r="D33" s="4">
        <v>217</v>
      </c>
      <c r="E33" s="4">
        <v>18.5</v>
      </c>
      <c r="F33" s="40">
        <f t="shared" si="0"/>
        <v>0</v>
      </c>
      <c r="G33" s="1">
        <f t="shared" si="2"/>
        <v>22.6</v>
      </c>
      <c r="H33" s="37">
        <f t="shared" si="1"/>
        <v>4.0114996593688071E-2</v>
      </c>
      <c r="I33" s="1">
        <v>14</v>
      </c>
      <c r="J33" s="70">
        <f t="shared" si="3"/>
        <v>1</v>
      </c>
      <c r="K33" s="91">
        <f t="shared" si="4"/>
        <v>18.5</v>
      </c>
      <c r="L33" s="91">
        <f t="shared" si="5"/>
        <v>22.6</v>
      </c>
      <c r="M33" s="95">
        <f t="shared" si="6"/>
        <v>21.585277667015763</v>
      </c>
      <c r="N33" s="100">
        <f t="shared" si="7"/>
        <v>18.5</v>
      </c>
      <c r="O33" s="96"/>
    </row>
    <row r="34" spans="2:15" x14ac:dyDescent="0.3">
      <c r="B34" s="3">
        <v>9</v>
      </c>
      <c r="C34" s="4">
        <v>145</v>
      </c>
      <c r="D34" s="4">
        <v>141</v>
      </c>
      <c r="E34" s="4">
        <v>15.5</v>
      </c>
      <c r="F34" s="40">
        <f t="shared" si="0"/>
        <v>0</v>
      </c>
      <c r="G34" s="1">
        <f t="shared" si="2"/>
        <v>14.3</v>
      </c>
      <c r="H34" s="37">
        <f t="shared" si="1"/>
        <v>1.6060607043314419E-2</v>
      </c>
      <c r="I34" s="1">
        <v>15</v>
      </c>
      <c r="J34" s="70">
        <f t="shared" si="3"/>
        <v>0</v>
      </c>
      <c r="K34" s="91" t="str">
        <f t="shared" si="4"/>
        <v/>
      </c>
      <c r="L34" s="91" t="str">
        <f t="shared" si="5"/>
        <v/>
      </c>
      <c r="M34" s="95">
        <f t="shared" si="6"/>
        <v>17.556637998800387</v>
      </c>
      <c r="N34" s="100">
        <f t="shared" si="7"/>
        <v>15.5</v>
      </c>
      <c r="O34" s="96"/>
    </row>
    <row r="35" spans="2:15" x14ac:dyDescent="0.3">
      <c r="B35" s="3">
        <v>33</v>
      </c>
      <c r="C35" s="4">
        <v>83</v>
      </c>
      <c r="D35" s="4">
        <v>80</v>
      </c>
      <c r="E35" s="4">
        <v>11.5</v>
      </c>
      <c r="F35" s="40">
        <f t="shared" si="0"/>
        <v>0</v>
      </c>
      <c r="G35" s="1">
        <f t="shared" si="2"/>
        <v>8.15</v>
      </c>
      <c r="H35" s="37">
        <f t="shared" si="1"/>
        <v>5.2168109508267009E-3</v>
      </c>
      <c r="I35" s="1">
        <v>16</v>
      </c>
      <c r="J35" s="70">
        <f t="shared" si="3"/>
        <v>0</v>
      </c>
      <c r="K35" s="91" t="str">
        <f t="shared" si="4"/>
        <v/>
      </c>
      <c r="L35" s="91" t="str">
        <f t="shared" si="5"/>
        <v/>
      </c>
      <c r="M35" s="95">
        <f t="shared" si="6"/>
        <v>11.484221070390591</v>
      </c>
      <c r="N35" s="100">
        <f t="shared" si="7"/>
        <v>11.5</v>
      </c>
      <c r="O35" s="96"/>
    </row>
    <row r="36" spans="2:15" x14ac:dyDescent="0.3">
      <c r="B36" s="3">
        <v>20</v>
      </c>
      <c r="C36" s="4">
        <v>40</v>
      </c>
      <c r="D36" s="4">
        <v>41</v>
      </c>
      <c r="E36" s="4">
        <v>5.5</v>
      </c>
      <c r="F36" s="40">
        <f t="shared" si="0"/>
        <v>0</v>
      </c>
      <c r="G36" s="1">
        <f t="shared" si="2"/>
        <v>4.05</v>
      </c>
      <c r="H36" s="37">
        <f t="shared" si="1"/>
        <v>1.2882493375126645E-3</v>
      </c>
      <c r="I36" s="1">
        <v>17</v>
      </c>
      <c r="J36" s="70">
        <f t="shared" si="3"/>
        <v>0</v>
      </c>
      <c r="K36" s="91" t="str">
        <f t="shared" si="4"/>
        <v/>
      </c>
      <c r="L36" s="91" t="str">
        <f t="shared" si="5"/>
        <v/>
      </c>
      <c r="M36" s="95">
        <f t="shared" si="6"/>
        <v>4.2284609035584735</v>
      </c>
      <c r="N36" s="100">
        <f t="shared" si="7"/>
        <v>5.5</v>
      </c>
      <c r="O36" s="96"/>
    </row>
    <row r="37" spans="2:15" x14ac:dyDescent="0.3">
      <c r="B37" s="4">
        <v>78</v>
      </c>
      <c r="C37" s="4">
        <v>294</v>
      </c>
      <c r="D37" s="4">
        <v>301</v>
      </c>
      <c r="E37" s="4"/>
      <c r="F37" s="40">
        <f t="shared" si="0"/>
        <v>0</v>
      </c>
      <c r="G37" s="1">
        <f t="shared" si="2"/>
        <v>29.75</v>
      </c>
      <c r="H37" s="37">
        <f t="shared" si="1"/>
        <v>6.9512646199195408E-2</v>
      </c>
      <c r="I37" s="1">
        <v>18</v>
      </c>
      <c r="J37" s="70">
        <f t="shared" si="3"/>
        <v>0</v>
      </c>
      <c r="K37" s="91" t="str">
        <f t="shared" si="4"/>
        <v/>
      </c>
      <c r="L37" s="91" t="str">
        <f t="shared" si="5"/>
        <v/>
      </c>
      <c r="M37" s="95">
        <f t="shared" si="6"/>
        <v>23.5129294040857</v>
      </c>
      <c r="N37" s="100">
        <f t="shared" si="7"/>
        <v>23.5129294040857</v>
      </c>
      <c r="O37" s="96"/>
    </row>
    <row r="38" spans="2:15" x14ac:dyDescent="0.3">
      <c r="B38" s="4">
        <v>66</v>
      </c>
      <c r="C38" s="4">
        <v>290</v>
      </c>
      <c r="D38" s="4">
        <v>289</v>
      </c>
      <c r="E38" s="4"/>
      <c r="F38" s="40">
        <f t="shared" si="0"/>
        <v>0</v>
      </c>
      <c r="G38" s="1">
        <f t="shared" si="2"/>
        <v>28.95</v>
      </c>
      <c r="H38" s="37">
        <f t="shared" si="1"/>
        <v>6.5824416423880983E-2</v>
      </c>
      <c r="I38" s="1">
        <v>19</v>
      </c>
      <c r="J38" s="70">
        <f t="shared" si="3"/>
        <v>0</v>
      </c>
      <c r="K38" s="91" t="str">
        <f t="shared" si="4"/>
        <v/>
      </c>
      <c r="L38" s="91" t="str">
        <f t="shared" si="5"/>
        <v/>
      </c>
      <c r="M38" s="95">
        <f t="shared" si="6"/>
        <v>23.337907203895497</v>
      </c>
      <c r="N38" s="100">
        <f t="shared" si="7"/>
        <v>23.337907203895497</v>
      </c>
      <c r="O38" s="96"/>
    </row>
    <row r="39" spans="2:15" x14ac:dyDescent="0.3">
      <c r="B39" s="4">
        <v>53</v>
      </c>
      <c r="C39" s="4">
        <v>292</v>
      </c>
      <c r="D39" s="4">
        <v>283</v>
      </c>
      <c r="E39" s="4"/>
      <c r="F39" s="40">
        <f t="shared" si="0"/>
        <v>0</v>
      </c>
      <c r="G39" s="1">
        <f t="shared" si="2"/>
        <v>28.75</v>
      </c>
      <c r="H39" s="37">
        <f t="shared" si="1"/>
        <v>6.4918066943320335E-2</v>
      </c>
      <c r="I39" s="1">
        <v>20</v>
      </c>
      <c r="J39" s="70">
        <f t="shared" si="3"/>
        <v>0</v>
      </c>
      <c r="K39" s="91" t="str">
        <f t="shared" si="4"/>
        <v/>
      </c>
      <c r="L39" s="91" t="str">
        <f t="shared" si="5"/>
        <v/>
      </c>
      <c r="M39" s="95">
        <f t="shared" si="6"/>
        <v>23.292842222232643</v>
      </c>
      <c r="N39" s="100">
        <f t="shared" si="7"/>
        <v>23.292842222232643</v>
      </c>
      <c r="O39" s="96"/>
    </row>
    <row r="40" spans="2:15" x14ac:dyDescent="0.3">
      <c r="B40" s="4">
        <v>41</v>
      </c>
      <c r="C40" s="4">
        <v>281</v>
      </c>
      <c r="D40" s="4">
        <v>289</v>
      </c>
      <c r="E40" s="4"/>
      <c r="F40" s="40">
        <f t="shared" si="0"/>
        <v>0</v>
      </c>
      <c r="G40" s="1">
        <f t="shared" si="2"/>
        <v>28.5</v>
      </c>
      <c r="H40" s="37">
        <f t="shared" si="1"/>
        <v>6.3793965821957732E-2</v>
      </c>
      <c r="I40" s="1">
        <v>21</v>
      </c>
      <c r="J40" s="70">
        <f t="shared" si="3"/>
        <v>0</v>
      </c>
      <c r="K40" s="91" t="str">
        <f t="shared" si="4"/>
        <v/>
      </c>
      <c r="L40" s="91" t="str">
        <f t="shared" si="5"/>
        <v/>
      </c>
      <c r="M40" s="95">
        <f t="shared" si="6"/>
        <v>23.235746926649284</v>
      </c>
      <c r="N40" s="100">
        <f t="shared" si="7"/>
        <v>23.235746926649284</v>
      </c>
      <c r="O40" s="96"/>
    </row>
    <row r="41" spans="2:15" x14ac:dyDescent="0.3">
      <c r="B41" s="3">
        <v>16</v>
      </c>
      <c r="C41" s="4">
        <v>278</v>
      </c>
      <c r="D41" s="4">
        <v>289</v>
      </c>
      <c r="E41" s="4"/>
      <c r="F41" s="40">
        <f t="shared" si="0"/>
        <v>0</v>
      </c>
      <c r="G41" s="1">
        <f t="shared" si="2"/>
        <v>28.35</v>
      </c>
      <c r="H41" s="37">
        <f t="shared" si="1"/>
        <v>6.3124217538120572E-2</v>
      </c>
      <c r="I41" s="1">
        <v>22</v>
      </c>
      <c r="J41" s="70">
        <f t="shared" si="3"/>
        <v>0</v>
      </c>
      <c r="K41" s="91" t="str">
        <f t="shared" si="4"/>
        <v/>
      </c>
      <c r="L41" s="91" t="str">
        <f t="shared" si="5"/>
        <v/>
      </c>
      <c r="M41" s="95">
        <f t="shared" si="6"/>
        <v>23.201074909892313</v>
      </c>
      <c r="N41" s="100">
        <f t="shared" si="7"/>
        <v>23.201074909892313</v>
      </c>
      <c r="O41" s="96"/>
    </row>
    <row r="42" spans="2:15" x14ac:dyDescent="0.3">
      <c r="B42" s="4">
        <v>62</v>
      </c>
      <c r="C42" s="4">
        <v>284</v>
      </c>
      <c r="D42" s="4">
        <v>279</v>
      </c>
      <c r="E42" s="4"/>
      <c r="F42" s="40">
        <f t="shared" si="0"/>
        <v>0</v>
      </c>
      <c r="G42" s="1">
        <f t="shared" si="2"/>
        <v>28.15</v>
      </c>
      <c r="H42" s="37">
        <f t="shared" si="1"/>
        <v>6.2236717613481436E-2</v>
      </c>
      <c r="I42" s="1">
        <v>23</v>
      </c>
      <c r="J42" s="70">
        <f t="shared" si="3"/>
        <v>0</v>
      </c>
      <c r="K42" s="91" t="str">
        <f t="shared" si="4"/>
        <v/>
      </c>
      <c r="L42" s="91" t="str">
        <f t="shared" si="5"/>
        <v/>
      </c>
      <c r="M42" s="95">
        <f t="shared" si="6"/>
        <v>23.154352811583031</v>
      </c>
      <c r="N42" s="100">
        <f t="shared" si="7"/>
        <v>23.154352811583031</v>
      </c>
      <c r="O42" s="96"/>
    </row>
    <row r="43" spans="2:15" x14ac:dyDescent="0.3">
      <c r="B43" s="3">
        <v>2</v>
      </c>
      <c r="C43" s="4">
        <v>272</v>
      </c>
      <c r="D43" s="4">
        <v>272</v>
      </c>
      <c r="E43" s="4"/>
      <c r="F43" s="40">
        <f t="shared" si="0"/>
        <v>0</v>
      </c>
      <c r="G43" s="1">
        <f t="shared" si="2"/>
        <v>27.2</v>
      </c>
      <c r="H43" s="37">
        <f t="shared" si="1"/>
        <v>5.8106897720796809E-2</v>
      </c>
      <c r="I43" s="1">
        <v>24</v>
      </c>
      <c r="J43" s="70">
        <f t="shared" si="3"/>
        <v>0</v>
      </c>
      <c r="K43" s="91" t="str">
        <f t="shared" si="4"/>
        <v/>
      </c>
      <c r="L43" s="91" t="str">
        <f t="shared" si="5"/>
        <v/>
      </c>
      <c r="M43" s="95">
        <f t="shared" si="6"/>
        <v>22.92442210095831</v>
      </c>
      <c r="N43" s="100">
        <f t="shared" si="7"/>
        <v>22.92442210095831</v>
      </c>
      <c r="O43" s="96"/>
    </row>
    <row r="44" spans="2:15" x14ac:dyDescent="0.3">
      <c r="B44" s="4">
        <v>67</v>
      </c>
      <c r="C44" s="4">
        <v>270</v>
      </c>
      <c r="D44" s="4">
        <v>274</v>
      </c>
      <c r="E44" s="4"/>
      <c r="F44" s="40">
        <f t="shared" si="0"/>
        <v>0</v>
      </c>
      <c r="G44" s="1">
        <f t="shared" si="2"/>
        <v>27.2</v>
      </c>
      <c r="H44" s="37">
        <f t="shared" si="1"/>
        <v>5.8106897720796809E-2</v>
      </c>
      <c r="I44" s="1">
        <v>25</v>
      </c>
      <c r="J44" s="70">
        <f t="shared" si="3"/>
        <v>0</v>
      </c>
      <c r="K44" s="91" t="str">
        <f t="shared" si="4"/>
        <v/>
      </c>
      <c r="L44" s="91" t="str">
        <f t="shared" si="5"/>
        <v/>
      </c>
      <c r="M44" s="95">
        <f t="shared" si="6"/>
        <v>22.92442210095831</v>
      </c>
      <c r="N44" s="100">
        <f t="shared" si="7"/>
        <v>22.92442210095831</v>
      </c>
      <c r="O44" s="96"/>
    </row>
    <row r="45" spans="2:15" x14ac:dyDescent="0.3">
      <c r="B45" s="3">
        <v>6</v>
      </c>
      <c r="C45" s="4">
        <v>272</v>
      </c>
      <c r="D45" s="4">
        <v>265</v>
      </c>
      <c r="E45" s="4"/>
      <c r="F45" s="40">
        <f t="shared" si="0"/>
        <v>0</v>
      </c>
      <c r="G45" s="1">
        <f t="shared" si="2"/>
        <v>26.85</v>
      </c>
      <c r="H45" s="37">
        <f t="shared" si="1"/>
        <v>5.6621120745189699E-2</v>
      </c>
      <c r="I45" s="1">
        <v>26</v>
      </c>
      <c r="J45" s="70">
        <f t="shared" si="3"/>
        <v>0</v>
      </c>
      <c r="K45" s="91" t="str">
        <f t="shared" si="4"/>
        <v/>
      </c>
      <c r="L45" s="91" t="str">
        <f t="shared" si="5"/>
        <v/>
      </c>
      <c r="M45" s="95">
        <f t="shared" si="6"/>
        <v>22.836221854262476</v>
      </c>
      <c r="N45" s="100">
        <f t="shared" si="7"/>
        <v>22.836221854262476</v>
      </c>
      <c r="O45" s="96"/>
    </row>
    <row r="46" spans="2:15" x14ac:dyDescent="0.3">
      <c r="B46" s="4">
        <v>55</v>
      </c>
      <c r="C46" s="4">
        <v>273</v>
      </c>
      <c r="D46" s="4">
        <v>257</v>
      </c>
      <c r="E46" s="4"/>
      <c r="F46" s="40">
        <f t="shared" si="0"/>
        <v>0</v>
      </c>
      <c r="G46" s="1">
        <f t="shared" si="2"/>
        <v>26.5</v>
      </c>
      <c r="H46" s="37">
        <f t="shared" si="1"/>
        <v>5.5154586024585804E-2</v>
      </c>
      <c r="I46" s="1">
        <v>27</v>
      </c>
      <c r="J46" s="70">
        <f t="shared" si="3"/>
        <v>0</v>
      </c>
      <c r="K46" s="91" t="str">
        <f t="shared" si="4"/>
        <v/>
      </c>
      <c r="L46" s="91" t="str">
        <f t="shared" si="5"/>
        <v/>
      </c>
      <c r="M46" s="95">
        <f t="shared" si="6"/>
        <v>22.746044686694074</v>
      </c>
      <c r="N46" s="100">
        <f t="shared" si="7"/>
        <v>22.746044686694074</v>
      </c>
      <c r="O46" s="96"/>
    </row>
    <row r="47" spans="2:15" x14ac:dyDescent="0.3">
      <c r="B47" s="4">
        <v>45</v>
      </c>
      <c r="C47" s="4">
        <v>258</v>
      </c>
      <c r="D47" s="4">
        <v>259</v>
      </c>
      <c r="E47" s="4"/>
      <c r="F47" s="40">
        <f t="shared" si="0"/>
        <v>0</v>
      </c>
      <c r="G47" s="1">
        <f t="shared" si="2"/>
        <v>25.85</v>
      </c>
      <c r="H47" s="37">
        <f t="shared" si="1"/>
        <v>5.2482072424085147E-2</v>
      </c>
      <c r="I47" s="1">
        <v>28</v>
      </c>
      <c r="J47" s="70">
        <f t="shared" si="3"/>
        <v>0</v>
      </c>
      <c r="K47" s="91" t="str">
        <f t="shared" si="4"/>
        <v/>
      </c>
      <c r="L47" s="91" t="str">
        <f t="shared" si="5"/>
        <v/>
      </c>
      <c r="M47" s="95">
        <f t="shared" si="6"/>
        <v>22.573098941609928</v>
      </c>
      <c r="N47" s="100">
        <f t="shared" si="7"/>
        <v>22.573098941609928</v>
      </c>
      <c r="O47" s="96"/>
    </row>
    <row r="48" spans="2:15" x14ac:dyDescent="0.3">
      <c r="B48" s="3">
        <v>5</v>
      </c>
      <c r="C48" s="4">
        <v>267</v>
      </c>
      <c r="D48" s="4">
        <v>249</v>
      </c>
      <c r="E48" s="4"/>
      <c r="F48" s="40">
        <f t="shared" si="0"/>
        <v>0</v>
      </c>
      <c r="G48" s="1">
        <f t="shared" si="2"/>
        <v>25.8</v>
      </c>
      <c r="H48" s="37">
        <f t="shared" si="1"/>
        <v>5.2279243348387745E-2</v>
      </c>
      <c r="I48" s="1">
        <v>29</v>
      </c>
      <c r="J48" s="70">
        <f t="shared" si="3"/>
        <v>0</v>
      </c>
      <c r="K48" s="91" t="str">
        <f t="shared" si="4"/>
        <v/>
      </c>
      <c r="L48" s="91" t="str">
        <f t="shared" si="5"/>
        <v/>
      </c>
      <c r="M48" s="95">
        <f t="shared" si="6"/>
        <v>22.559490658030885</v>
      </c>
      <c r="N48" s="100">
        <f t="shared" si="7"/>
        <v>22.559490658030885</v>
      </c>
      <c r="O48" s="96"/>
    </row>
    <row r="49" spans="2:15" x14ac:dyDescent="0.3">
      <c r="B49" s="4">
        <v>60</v>
      </c>
      <c r="C49" s="4">
        <v>257</v>
      </c>
      <c r="D49" s="4">
        <v>254</v>
      </c>
      <c r="E49" s="4"/>
      <c r="F49" s="40">
        <f t="shared" si="0"/>
        <v>0</v>
      </c>
      <c r="G49" s="1">
        <f t="shared" si="2"/>
        <v>25.55</v>
      </c>
      <c r="H49" s="37">
        <f t="shared" si="1"/>
        <v>5.1270988456126272E-2</v>
      </c>
      <c r="I49" s="1">
        <v>30</v>
      </c>
      <c r="J49" s="70">
        <f t="shared" si="3"/>
        <v>0</v>
      </c>
      <c r="K49" s="91" t="str">
        <f t="shared" si="4"/>
        <v/>
      </c>
      <c r="L49" s="91" t="str">
        <f t="shared" si="5"/>
        <v/>
      </c>
      <c r="M49" s="95">
        <f t="shared" si="6"/>
        <v>22.490775937132462</v>
      </c>
      <c r="N49" s="100">
        <f t="shared" si="7"/>
        <v>22.490775937132462</v>
      </c>
      <c r="O49" s="96"/>
    </row>
    <row r="50" spans="2:15" x14ac:dyDescent="0.3">
      <c r="B50" s="3">
        <v>19</v>
      </c>
      <c r="C50" s="4">
        <v>253</v>
      </c>
      <c r="D50" s="4">
        <v>251</v>
      </c>
      <c r="E50" s="4"/>
      <c r="F50" s="40">
        <f t="shared" si="0"/>
        <v>0</v>
      </c>
      <c r="G50" s="1">
        <f t="shared" si="2"/>
        <v>25.2</v>
      </c>
      <c r="H50" s="37">
        <f t="shared" si="1"/>
        <v>4.987592496839155E-2</v>
      </c>
      <c r="I50" s="1">
        <v>31</v>
      </c>
      <c r="J50" s="70">
        <f t="shared" si="3"/>
        <v>0</v>
      </c>
      <c r="K50" s="91" t="str">
        <f t="shared" si="4"/>
        <v/>
      </c>
      <c r="L50" s="91" t="str">
        <f t="shared" si="5"/>
        <v/>
      </c>
      <c r="M50" s="95">
        <f t="shared" si="6"/>
        <v>22.392649673353031</v>
      </c>
      <c r="N50" s="100">
        <f t="shared" si="7"/>
        <v>22.392649673353031</v>
      </c>
      <c r="O50" s="96"/>
    </row>
    <row r="51" spans="2:15" x14ac:dyDescent="0.3">
      <c r="B51" s="4">
        <v>46</v>
      </c>
      <c r="C51" s="4">
        <v>246</v>
      </c>
      <c r="D51" s="4">
        <v>258</v>
      </c>
      <c r="E51" s="4"/>
      <c r="F51" s="40">
        <f t="shared" si="0"/>
        <v>0</v>
      </c>
      <c r="G51" s="1">
        <f t="shared" si="2"/>
        <v>25.2</v>
      </c>
      <c r="H51" s="37">
        <f t="shared" si="1"/>
        <v>4.987592496839155E-2</v>
      </c>
      <c r="I51" s="1">
        <v>32</v>
      </c>
      <c r="J51" s="70">
        <f t="shared" si="3"/>
        <v>0</v>
      </c>
      <c r="K51" s="91" t="str">
        <f t="shared" si="4"/>
        <v/>
      </c>
      <c r="L51" s="91" t="str">
        <f t="shared" si="5"/>
        <v/>
      </c>
      <c r="M51" s="95">
        <f t="shared" si="6"/>
        <v>22.392649673353031</v>
      </c>
      <c r="N51" s="100">
        <f t="shared" si="7"/>
        <v>22.392649673353031</v>
      </c>
      <c r="O51" s="96"/>
    </row>
    <row r="52" spans="2:15" x14ac:dyDescent="0.3">
      <c r="B52" s="3">
        <v>15</v>
      </c>
      <c r="C52" s="4">
        <v>246</v>
      </c>
      <c r="D52" s="4">
        <v>254</v>
      </c>
      <c r="E52" s="4"/>
      <c r="F52" s="40">
        <f t="shared" ref="F52:F83" si="8">IF(C52=0,1,0)</f>
        <v>0</v>
      </c>
      <c r="G52" s="1">
        <f t="shared" ref="G52:G83" si="9">(C52+D52)/20</f>
        <v>25</v>
      </c>
      <c r="H52" s="37">
        <f t="shared" ref="H52:H83" si="10">PI()/40000*G52^2</f>
        <v>4.9087385212340517E-2</v>
      </c>
      <c r="I52" s="1">
        <v>33</v>
      </c>
      <c r="J52" s="70">
        <f t="shared" si="3"/>
        <v>0</v>
      </c>
      <c r="K52" s="91" t="str">
        <f t="shared" si="4"/>
        <v/>
      </c>
      <c r="L52" s="91" t="str">
        <f t="shared" si="5"/>
        <v/>
      </c>
      <c r="M52" s="95">
        <f t="shared" si="6"/>
        <v>22.335542073038813</v>
      </c>
      <c r="N52" s="100">
        <f t="shared" si="7"/>
        <v>22.335542073038813</v>
      </c>
      <c r="O52" s="96"/>
    </row>
    <row r="53" spans="2:15" x14ac:dyDescent="0.3">
      <c r="B53" s="3">
        <v>7</v>
      </c>
      <c r="C53" s="4">
        <v>254</v>
      </c>
      <c r="D53" s="4">
        <v>241</v>
      </c>
      <c r="E53" s="4"/>
      <c r="F53" s="40">
        <f t="shared" si="8"/>
        <v>0</v>
      </c>
      <c r="G53" s="1">
        <f t="shared" si="9"/>
        <v>24.75</v>
      </c>
      <c r="H53" s="37">
        <f t="shared" si="10"/>
        <v>4.8110546246614941E-2</v>
      </c>
      <c r="I53" s="1">
        <v>34</v>
      </c>
      <c r="J53" s="70">
        <f t="shared" si="3"/>
        <v>0</v>
      </c>
      <c r="K53" s="91" t="str">
        <f t="shared" si="4"/>
        <v/>
      </c>
      <c r="L53" s="91" t="str">
        <f t="shared" si="5"/>
        <v/>
      </c>
      <c r="M53" s="95">
        <f t="shared" si="6"/>
        <v>22.263070260953242</v>
      </c>
      <c r="N53" s="100">
        <f t="shared" si="7"/>
        <v>22.263070260953242</v>
      </c>
      <c r="O53" s="96"/>
    </row>
    <row r="54" spans="2:15" x14ac:dyDescent="0.3">
      <c r="B54" s="4">
        <v>44</v>
      </c>
      <c r="C54" s="4">
        <v>248</v>
      </c>
      <c r="D54" s="4">
        <v>247</v>
      </c>
      <c r="E54" s="4"/>
      <c r="F54" s="40">
        <f t="shared" si="8"/>
        <v>0</v>
      </c>
      <c r="G54" s="1">
        <f t="shared" si="9"/>
        <v>24.75</v>
      </c>
      <c r="H54" s="37">
        <f t="shared" si="10"/>
        <v>4.8110546246614941E-2</v>
      </c>
      <c r="I54" s="1">
        <v>35</v>
      </c>
      <c r="J54" s="70">
        <f t="shared" si="3"/>
        <v>0</v>
      </c>
      <c r="K54" s="91" t="str">
        <f t="shared" si="4"/>
        <v/>
      </c>
      <c r="L54" s="91" t="str">
        <f t="shared" si="5"/>
        <v/>
      </c>
      <c r="M54" s="95">
        <f t="shared" si="6"/>
        <v>22.263070260953242</v>
      </c>
      <c r="N54" s="100">
        <f t="shared" si="7"/>
        <v>22.263070260953242</v>
      </c>
      <c r="O54" s="96"/>
    </row>
    <row r="55" spans="2:15" x14ac:dyDescent="0.3">
      <c r="B55" s="3">
        <v>18</v>
      </c>
      <c r="C55" s="4">
        <v>249</v>
      </c>
      <c r="D55" s="4">
        <v>245</v>
      </c>
      <c r="E55" s="4"/>
      <c r="F55" s="40">
        <f t="shared" si="8"/>
        <v>0</v>
      </c>
      <c r="G55" s="1">
        <f t="shared" si="9"/>
        <v>24.7</v>
      </c>
      <c r="H55" s="37">
        <f t="shared" si="10"/>
        <v>4.7916356550714918E-2</v>
      </c>
      <c r="I55" s="1">
        <v>36</v>
      </c>
      <c r="J55" s="70">
        <f t="shared" si="3"/>
        <v>0</v>
      </c>
      <c r="K55" s="91" t="str">
        <f t="shared" si="4"/>
        <v/>
      </c>
      <c r="L55" s="91" t="str">
        <f t="shared" si="5"/>
        <v/>
      </c>
      <c r="M55" s="95">
        <f t="shared" si="6"/>
        <v>22.248428496701887</v>
      </c>
      <c r="N55" s="100">
        <f t="shared" si="7"/>
        <v>22.248428496701887</v>
      </c>
      <c r="O55" s="96"/>
    </row>
    <row r="56" spans="2:15" x14ac:dyDescent="0.3">
      <c r="B56" s="3">
        <v>30</v>
      </c>
      <c r="C56" s="4">
        <v>239</v>
      </c>
      <c r="D56" s="4">
        <v>251</v>
      </c>
      <c r="E56" s="4"/>
      <c r="F56" s="40">
        <f t="shared" si="8"/>
        <v>0</v>
      </c>
      <c r="G56" s="1">
        <f t="shared" si="9"/>
        <v>24.5</v>
      </c>
      <c r="H56" s="37">
        <f t="shared" si="10"/>
        <v>4.7143524757931835E-2</v>
      </c>
      <c r="I56" s="1">
        <v>37</v>
      </c>
      <c r="J56" s="70">
        <f t="shared" si="3"/>
        <v>0</v>
      </c>
      <c r="K56" s="91" t="str">
        <f t="shared" si="4"/>
        <v/>
      </c>
      <c r="L56" s="91" t="str">
        <f t="shared" si="5"/>
        <v/>
      </c>
      <c r="M56" s="95">
        <f t="shared" si="6"/>
        <v>22.189361822570657</v>
      </c>
      <c r="N56" s="100">
        <f t="shared" si="7"/>
        <v>22.189361822570657</v>
      </c>
      <c r="O56" s="96"/>
    </row>
    <row r="57" spans="2:15" x14ac:dyDescent="0.3">
      <c r="B57" s="3">
        <v>35</v>
      </c>
      <c r="C57" s="4">
        <v>241</v>
      </c>
      <c r="D57" s="4">
        <v>244</v>
      </c>
      <c r="E57" s="4"/>
      <c r="F57" s="40">
        <f t="shared" si="8"/>
        <v>0</v>
      </c>
      <c r="G57" s="1">
        <f t="shared" si="9"/>
        <v>24.25</v>
      </c>
      <c r="H57" s="37">
        <f t="shared" si="10"/>
        <v>4.6186320746291191E-2</v>
      </c>
      <c r="I57" s="1">
        <v>38</v>
      </c>
      <c r="J57" s="70">
        <f t="shared" si="3"/>
        <v>0</v>
      </c>
      <c r="K57" s="91" t="str">
        <f t="shared" si="4"/>
        <v/>
      </c>
      <c r="L57" s="91" t="str">
        <f t="shared" si="5"/>
        <v/>
      </c>
      <c r="M57" s="95">
        <f t="shared" si="6"/>
        <v>22.114385249592225</v>
      </c>
      <c r="N57" s="100">
        <f t="shared" si="7"/>
        <v>22.114385249592225</v>
      </c>
      <c r="O57" s="96"/>
    </row>
    <row r="58" spans="2:15" x14ac:dyDescent="0.3">
      <c r="B58" s="4">
        <v>49</v>
      </c>
      <c r="C58" s="4">
        <v>249</v>
      </c>
      <c r="D58" s="4">
        <v>236</v>
      </c>
      <c r="E58" s="4"/>
      <c r="F58" s="40">
        <f t="shared" si="8"/>
        <v>0</v>
      </c>
      <c r="G58" s="1">
        <f t="shared" si="9"/>
        <v>24.25</v>
      </c>
      <c r="H58" s="37">
        <f t="shared" si="10"/>
        <v>4.6186320746291191E-2</v>
      </c>
      <c r="I58" s="1">
        <v>39</v>
      </c>
      <c r="J58" s="70">
        <f t="shared" si="3"/>
        <v>0</v>
      </c>
      <c r="K58" s="91" t="str">
        <f t="shared" si="4"/>
        <v/>
      </c>
      <c r="L58" s="91" t="str">
        <f t="shared" si="5"/>
        <v/>
      </c>
      <c r="M58" s="95">
        <f t="shared" si="6"/>
        <v>22.114385249592225</v>
      </c>
      <c r="N58" s="100">
        <f t="shared" si="7"/>
        <v>22.114385249592225</v>
      </c>
      <c r="O58" s="96"/>
    </row>
    <row r="59" spans="2:15" x14ac:dyDescent="0.3">
      <c r="B59" s="4">
        <v>74</v>
      </c>
      <c r="C59" s="4">
        <v>244</v>
      </c>
      <c r="D59" s="4">
        <v>236</v>
      </c>
      <c r="E59" s="4"/>
      <c r="F59" s="40">
        <f t="shared" si="8"/>
        <v>0</v>
      </c>
      <c r="G59" s="1">
        <f t="shared" si="9"/>
        <v>24</v>
      </c>
      <c r="H59" s="37">
        <f t="shared" si="10"/>
        <v>4.5238934211693019E-2</v>
      </c>
      <c r="I59" s="1">
        <v>40</v>
      </c>
      <c r="J59" s="70">
        <f t="shared" si="3"/>
        <v>0</v>
      </c>
      <c r="K59" s="91" t="str">
        <f t="shared" si="4"/>
        <v/>
      </c>
      <c r="L59" s="91" t="str">
        <f t="shared" si="5"/>
        <v/>
      </c>
      <c r="M59" s="95">
        <f t="shared" si="6"/>
        <v>22.038107971953838</v>
      </c>
      <c r="N59" s="100">
        <f t="shared" si="7"/>
        <v>22.038107971953838</v>
      </c>
      <c r="O59" s="96"/>
    </row>
    <row r="60" spans="2:15" x14ac:dyDescent="0.3">
      <c r="B60" s="4">
        <v>75</v>
      </c>
      <c r="C60" s="4">
        <v>236</v>
      </c>
      <c r="D60" s="4">
        <v>240</v>
      </c>
      <c r="E60" s="4"/>
      <c r="F60" s="40">
        <f t="shared" si="8"/>
        <v>0</v>
      </c>
      <c r="G60" s="1">
        <f t="shared" si="9"/>
        <v>23.8</v>
      </c>
      <c r="H60" s="37">
        <f t="shared" si="10"/>
        <v>4.4488093567485065E-2</v>
      </c>
      <c r="I60" s="1">
        <v>41</v>
      </c>
      <c r="J60" s="70">
        <f t="shared" si="3"/>
        <v>0</v>
      </c>
      <c r="K60" s="91" t="str">
        <f t="shared" si="4"/>
        <v/>
      </c>
      <c r="L60" s="91" t="str">
        <f t="shared" si="5"/>
        <v/>
      </c>
      <c r="M60" s="95">
        <f t="shared" si="6"/>
        <v>21.976127050572209</v>
      </c>
      <c r="N60" s="100">
        <f t="shared" si="7"/>
        <v>21.976127050572209</v>
      </c>
      <c r="O60" s="96"/>
    </row>
    <row r="61" spans="2:15" x14ac:dyDescent="0.3">
      <c r="B61" s="4">
        <v>65</v>
      </c>
      <c r="C61" s="4">
        <v>240</v>
      </c>
      <c r="D61" s="4">
        <v>235</v>
      </c>
      <c r="E61" s="4"/>
      <c r="F61" s="40">
        <f t="shared" si="8"/>
        <v>0</v>
      </c>
      <c r="G61" s="1">
        <f t="shared" si="9"/>
        <v>23.75</v>
      </c>
      <c r="H61" s="37">
        <f t="shared" si="10"/>
        <v>4.4301365154137316E-2</v>
      </c>
      <c r="I61" s="1">
        <v>42</v>
      </c>
      <c r="J61" s="70">
        <f t="shared" si="3"/>
        <v>0</v>
      </c>
      <c r="K61" s="91" t="str">
        <f t="shared" si="4"/>
        <v/>
      </c>
      <c r="L61" s="91" t="str">
        <f t="shared" si="5"/>
        <v/>
      </c>
      <c r="M61" s="95">
        <f t="shared" si="6"/>
        <v>21.96049631369673</v>
      </c>
      <c r="N61" s="100">
        <f t="shared" si="7"/>
        <v>21.96049631369673</v>
      </c>
      <c r="O61" s="96"/>
    </row>
    <row r="62" spans="2:15" x14ac:dyDescent="0.3">
      <c r="B62" s="4">
        <v>70</v>
      </c>
      <c r="C62" s="4">
        <v>235</v>
      </c>
      <c r="D62" s="4">
        <v>239</v>
      </c>
      <c r="E62" s="4"/>
      <c r="F62" s="40">
        <f t="shared" si="8"/>
        <v>0</v>
      </c>
      <c r="G62" s="1">
        <f t="shared" si="9"/>
        <v>23.7</v>
      </c>
      <c r="H62" s="37">
        <f t="shared" si="10"/>
        <v>4.4115029439871264E-2</v>
      </c>
      <c r="I62" s="1">
        <v>43</v>
      </c>
      <c r="J62" s="70">
        <f t="shared" si="3"/>
        <v>0</v>
      </c>
      <c r="K62" s="91" t="str">
        <f t="shared" si="4"/>
        <v/>
      </c>
      <c r="L62" s="91" t="str">
        <f t="shared" si="5"/>
        <v/>
      </c>
      <c r="M62" s="95">
        <f t="shared" si="6"/>
        <v>21.944810812312376</v>
      </c>
      <c r="N62" s="100">
        <f t="shared" si="7"/>
        <v>21.944810812312376</v>
      </c>
      <c r="O62" s="96"/>
    </row>
    <row r="63" spans="2:15" x14ac:dyDescent="0.3">
      <c r="B63" s="4">
        <v>54</v>
      </c>
      <c r="C63" s="4">
        <v>242</v>
      </c>
      <c r="D63" s="4">
        <v>230</v>
      </c>
      <c r="E63" s="4"/>
      <c r="F63" s="40">
        <f t="shared" si="8"/>
        <v>0</v>
      </c>
      <c r="G63" s="1">
        <f t="shared" si="9"/>
        <v>23.6</v>
      </c>
      <c r="H63" s="37">
        <f t="shared" si="10"/>
        <v>4.374353610858428E-2</v>
      </c>
      <c r="I63" s="1">
        <v>44</v>
      </c>
      <c r="J63" s="70">
        <f t="shared" si="3"/>
        <v>0</v>
      </c>
      <c r="K63" s="91" t="str">
        <f t="shared" si="4"/>
        <v/>
      </c>
      <c r="L63" s="91" t="str">
        <f t="shared" si="5"/>
        <v/>
      </c>
      <c r="M63" s="95">
        <f t="shared" si="6"/>
        <v>21.913274376909165</v>
      </c>
      <c r="N63" s="100">
        <f t="shared" si="7"/>
        <v>21.913274376909165</v>
      </c>
      <c r="O63" s="96"/>
    </row>
    <row r="64" spans="2:15" x14ac:dyDescent="0.3">
      <c r="B64" s="3">
        <v>38</v>
      </c>
      <c r="C64" s="4">
        <v>237</v>
      </c>
      <c r="D64" s="4">
        <v>229</v>
      </c>
      <c r="E64" s="4"/>
      <c r="F64" s="40">
        <f t="shared" si="8"/>
        <v>0</v>
      </c>
      <c r="G64" s="1">
        <f t="shared" si="9"/>
        <v>23.3</v>
      </c>
      <c r="H64" s="37">
        <f t="shared" si="10"/>
        <v>4.2638480892684065E-2</v>
      </c>
      <c r="I64" s="1">
        <v>45</v>
      </c>
      <c r="J64" s="70">
        <f t="shared" si="3"/>
        <v>0</v>
      </c>
      <c r="K64" s="91" t="str">
        <f t="shared" si="4"/>
        <v/>
      </c>
      <c r="L64" s="91" t="str">
        <f t="shared" si="5"/>
        <v/>
      </c>
      <c r="M64" s="95">
        <f t="shared" si="6"/>
        <v>21.817320753003564</v>
      </c>
      <c r="N64" s="100">
        <f t="shared" si="7"/>
        <v>21.817320753003564</v>
      </c>
      <c r="O64" s="96"/>
    </row>
    <row r="65" spans="2:15" x14ac:dyDescent="0.3">
      <c r="B65" s="3">
        <v>34</v>
      </c>
      <c r="C65" s="4">
        <v>225</v>
      </c>
      <c r="D65" s="4">
        <v>234</v>
      </c>
      <c r="E65" s="4"/>
      <c r="F65" s="40">
        <f t="shared" si="8"/>
        <v>0</v>
      </c>
      <c r="G65" s="1">
        <f t="shared" si="9"/>
        <v>22.95</v>
      </c>
      <c r="H65" s="37">
        <f t="shared" si="10"/>
        <v>4.136711761568445E-2</v>
      </c>
      <c r="I65" s="1">
        <v>46</v>
      </c>
      <c r="J65" s="70">
        <f t="shared" si="3"/>
        <v>0</v>
      </c>
      <c r="K65" s="91" t="str">
        <f t="shared" si="4"/>
        <v/>
      </c>
      <c r="L65" s="91" t="str">
        <f t="shared" si="5"/>
        <v/>
      </c>
      <c r="M65" s="95">
        <f t="shared" si="6"/>
        <v>21.702758520536829</v>
      </c>
      <c r="N65" s="100">
        <f t="shared" si="7"/>
        <v>21.702758520536829</v>
      </c>
      <c r="O65" s="96"/>
    </row>
    <row r="66" spans="2:15" x14ac:dyDescent="0.3">
      <c r="B66" s="4">
        <v>57</v>
      </c>
      <c r="C66" s="4">
        <v>231</v>
      </c>
      <c r="D66" s="4">
        <v>225</v>
      </c>
      <c r="E66" s="4"/>
      <c r="F66" s="40">
        <f t="shared" si="8"/>
        <v>0</v>
      </c>
      <c r="G66" s="1">
        <f t="shared" si="9"/>
        <v>22.8</v>
      </c>
      <c r="H66" s="37">
        <f t="shared" si="10"/>
        <v>4.0828138126052953E-2</v>
      </c>
      <c r="I66" s="1">
        <v>47</v>
      </c>
      <c r="J66" s="70">
        <f t="shared" si="3"/>
        <v>0</v>
      </c>
      <c r="K66" s="91" t="str">
        <f t="shared" si="4"/>
        <v/>
      </c>
      <c r="L66" s="91" t="str">
        <f t="shared" si="5"/>
        <v/>
      </c>
      <c r="M66" s="95">
        <f t="shared" si="6"/>
        <v>21.652773323556691</v>
      </c>
      <c r="N66" s="100">
        <f t="shared" si="7"/>
        <v>21.652773323556691</v>
      </c>
      <c r="O66" s="96"/>
    </row>
    <row r="67" spans="2:15" x14ac:dyDescent="0.3">
      <c r="B67" s="3">
        <v>23</v>
      </c>
      <c r="C67" s="4">
        <v>227</v>
      </c>
      <c r="D67" s="4">
        <v>228</v>
      </c>
      <c r="E67" s="4"/>
      <c r="F67" s="40">
        <f t="shared" si="8"/>
        <v>0</v>
      </c>
      <c r="G67" s="1">
        <f t="shared" si="9"/>
        <v>22.75</v>
      </c>
      <c r="H67" s="37">
        <f t="shared" si="10"/>
        <v>4.0649263694339181E-2</v>
      </c>
      <c r="I67" s="1">
        <v>48</v>
      </c>
      <c r="J67" s="70">
        <f t="shared" si="3"/>
        <v>0</v>
      </c>
      <c r="K67" s="91" t="str">
        <f t="shared" si="4"/>
        <v/>
      </c>
      <c r="L67" s="91" t="str">
        <f t="shared" si="5"/>
        <v/>
      </c>
      <c r="M67" s="95">
        <f t="shared" si="6"/>
        <v>21.635990992512788</v>
      </c>
      <c r="N67" s="100">
        <f t="shared" si="7"/>
        <v>21.635990992512788</v>
      </c>
      <c r="O67" s="96"/>
    </row>
    <row r="68" spans="2:15" x14ac:dyDescent="0.3">
      <c r="B68" s="4">
        <v>61</v>
      </c>
      <c r="C68" s="4">
        <v>227</v>
      </c>
      <c r="D68" s="4">
        <v>227</v>
      </c>
      <c r="E68" s="4"/>
      <c r="F68" s="40">
        <f t="shared" si="8"/>
        <v>0</v>
      </c>
      <c r="G68" s="1">
        <f t="shared" si="9"/>
        <v>22.7</v>
      </c>
      <c r="H68" s="37">
        <f t="shared" si="10"/>
        <v>4.0470781961707107E-2</v>
      </c>
      <c r="I68" s="1">
        <v>49</v>
      </c>
      <c r="J68" s="70">
        <f t="shared" si="3"/>
        <v>0</v>
      </c>
      <c r="K68" s="91" t="str">
        <f t="shared" si="4"/>
        <v/>
      </c>
      <c r="L68" s="91" t="str">
        <f t="shared" si="5"/>
        <v/>
      </c>
      <c r="M68" s="95">
        <f t="shared" si="6"/>
        <v>21.61914782397476</v>
      </c>
      <c r="N68" s="100">
        <f t="shared" si="7"/>
        <v>21.61914782397476</v>
      </c>
      <c r="O68" s="96"/>
    </row>
    <row r="69" spans="2:15" x14ac:dyDescent="0.3">
      <c r="B69" s="3">
        <v>27</v>
      </c>
      <c r="C69" s="4">
        <v>223</v>
      </c>
      <c r="D69" s="4">
        <v>229</v>
      </c>
      <c r="E69" s="4"/>
      <c r="F69" s="40">
        <f t="shared" si="8"/>
        <v>0</v>
      </c>
      <c r="G69" s="1">
        <f t="shared" si="9"/>
        <v>22.6</v>
      </c>
      <c r="H69" s="37">
        <f t="shared" si="10"/>
        <v>4.0114996593688071E-2</v>
      </c>
      <c r="I69" s="1">
        <v>50</v>
      </c>
      <c r="J69" s="70">
        <f t="shared" si="3"/>
        <v>0</v>
      </c>
      <c r="K69" s="91" t="str">
        <f t="shared" si="4"/>
        <v/>
      </c>
      <c r="L69" s="91" t="str">
        <f t="shared" si="5"/>
        <v/>
      </c>
      <c r="M69" s="95">
        <f t="shared" si="6"/>
        <v>21.585277667015763</v>
      </c>
      <c r="N69" s="100">
        <f t="shared" si="7"/>
        <v>21.585277667015763</v>
      </c>
      <c r="O69" s="96"/>
    </row>
    <row r="70" spans="2:15" x14ac:dyDescent="0.3">
      <c r="B70" s="3">
        <v>37</v>
      </c>
      <c r="C70" s="4">
        <v>230</v>
      </c>
      <c r="D70" s="4">
        <v>222</v>
      </c>
      <c r="E70" s="4"/>
      <c r="F70" s="40">
        <f t="shared" si="8"/>
        <v>0</v>
      </c>
      <c r="G70" s="1">
        <f t="shared" si="9"/>
        <v>22.6</v>
      </c>
      <c r="H70" s="37">
        <f t="shared" si="10"/>
        <v>4.0114996593688071E-2</v>
      </c>
      <c r="I70" s="1">
        <v>51</v>
      </c>
      <c r="J70" s="70">
        <f t="shared" si="3"/>
        <v>0</v>
      </c>
      <c r="K70" s="91" t="str">
        <f t="shared" si="4"/>
        <v/>
      </c>
      <c r="L70" s="91" t="str">
        <f t="shared" si="5"/>
        <v/>
      </c>
      <c r="M70" s="95">
        <f t="shared" si="6"/>
        <v>21.585277667015763</v>
      </c>
      <c r="N70" s="100">
        <f t="shared" si="7"/>
        <v>21.585277667015763</v>
      </c>
      <c r="O70" s="96"/>
    </row>
    <row r="71" spans="2:15" x14ac:dyDescent="0.3">
      <c r="B71" s="4">
        <v>76</v>
      </c>
      <c r="C71" s="4">
        <v>226</v>
      </c>
      <c r="D71" s="4">
        <v>218</v>
      </c>
      <c r="E71" s="4"/>
      <c r="F71" s="40">
        <f t="shared" si="8"/>
        <v>0</v>
      </c>
      <c r="G71" s="1">
        <f t="shared" si="9"/>
        <v>22.2</v>
      </c>
      <c r="H71" s="37">
        <f t="shared" si="10"/>
        <v>3.870756308487984E-2</v>
      </c>
      <c r="I71" s="1">
        <v>52</v>
      </c>
      <c r="J71" s="70">
        <f t="shared" si="3"/>
        <v>0</v>
      </c>
      <c r="K71" s="91" t="str">
        <f t="shared" si="4"/>
        <v/>
      </c>
      <c r="L71" s="91" t="str">
        <f t="shared" si="5"/>
        <v/>
      </c>
      <c r="M71" s="95">
        <f t="shared" si="6"/>
        <v>21.447297145568744</v>
      </c>
      <c r="N71" s="100">
        <f t="shared" si="7"/>
        <v>21.447297145568744</v>
      </c>
      <c r="O71" s="96"/>
    </row>
    <row r="72" spans="2:15" x14ac:dyDescent="0.3">
      <c r="B72" s="3">
        <v>12</v>
      </c>
      <c r="C72" s="4">
        <v>223</v>
      </c>
      <c r="D72" s="4">
        <v>220</v>
      </c>
      <c r="E72" s="4"/>
      <c r="F72" s="40">
        <f t="shared" si="8"/>
        <v>0</v>
      </c>
      <c r="G72" s="1">
        <f t="shared" si="9"/>
        <v>22.15</v>
      </c>
      <c r="H72" s="37">
        <f t="shared" si="10"/>
        <v>3.8533401042146455E-2</v>
      </c>
      <c r="I72" s="1">
        <v>53</v>
      </c>
      <c r="J72" s="70">
        <f t="shared" si="3"/>
        <v>0</v>
      </c>
      <c r="K72" s="91" t="str">
        <f t="shared" si="4"/>
        <v/>
      </c>
      <c r="L72" s="91" t="str">
        <f t="shared" si="5"/>
        <v/>
      </c>
      <c r="M72" s="95">
        <f t="shared" si="6"/>
        <v>21.42976271637329</v>
      </c>
      <c r="N72" s="100">
        <f t="shared" si="7"/>
        <v>21.42976271637329</v>
      </c>
      <c r="O72" s="96"/>
    </row>
    <row r="73" spans="2:15" x14ac:dyDescent="0.3">
      <c r="B73" s="3">
        <v>22</v>
      </c>
      <c r="C73" s="4">
        <v>222</v>
      </c>
      <c r="D73" s="4">
        <v>217</v>
      </c>
      <c r="E73" s="4"/>
      <c r="F73" s="40">
        <f t="shared" si="8"/>
        <v>0</v>
      </c>
      <c r="G73" s="1">
        <f t="shared" si="9"/>
        <v>21.95</v>
      </c>
      <c r="H73" s="37">
        <f t="shared" si="10"/>
        <v>3.7840679862029901E-2</v>
      </c>
      <c r="I73" s="1">
        <v>54</v>
      </c>
      <c r="J73" s="70">
        <f t="shared" si="3"/>
        <v>0</v>
      </c>
      <c r="K73" s="91" t="str">
        <f t="shared" si="4"/>
        <v/>
      </c>
      <c r="L73" s="91" t="str">
        <f t="shared" si="5"/>
        <v/>
      </c>
      <c r="M73" s="95">
        <f t="shared" si="6"/>
        <v>21.358972351261109</v>
      </c>
      <c r="N73" s="100">
        <f t="shared" si="7"/>
        <v>21.358972351261109</v>
      </c>
      <c r="O73" s="96"/>
    </row>
    <row r="74" spans="2:15" x14ac:dyDescent="0.3">
      <c r="B74" s="3">
        <v>36</v>
      </c>
      <c r="C74" s="4">
        <v>221</v>
      </c>
      <c r="D74" s="4">
        <v>218</v>
      </c>
      <c r="E74" s="4"/>
      <c r="F74" s="40">
        <f t="shared" si="8"/>
        <v>0</v>
      </c>
      <c r="G74" s="1">
        <f t="shared" si="9"/>
        <v>21.95</v>
      </c>
      <c r="H74" s="37">
        <f t="shared" si="10"/>
        <v>3.7840679862029901E-2</v>
      </c>
      <c r="I74" s="1">
        <v>55</v>
      </c>
      <c r="J74" s="70">
        <f t="shared" si="3"/>
        <v>0</v>
      </c>
      <c r="K74" s="91" t="str">
        <f t="shared" si="4"/>
        <v/>
      </c>
      <c r="L74" s="91" t="str">
        <f t="shared" si="5"/>
        <v/>
      </c>
      <c r="M74" s="95">
        <f t="shared" si="6"/>
        <v>21.358972351261109</v>
      </c>
      <c r="N74" s="100">
        <f t="shared" si="7"/>
        <v>21.358972351261109</v>
      </c>
      <c r="O74" s="96"/>
    </row>
    <row r="75" spans="2:15" x14ac:dyDescent="0.3">
      <c r="B75" s="3">
        <v>40</v>
      </c>
      <c r="C75" s="4">
        <v>214</v>
      </c>
      <c r="D75" s="4">
        <v>223</v>
      </c>
      <c r="E75" s="4"/>
      <c r="F75" s="40">
        <f t="shared" si="8"/>
        <v>0</v>
      </c>
      <c r="G75" s="1">
        <f t="shared" si="9"/>
        <v>21.85</v>
      </c>
      <c r="H75" s="37">
        <f t="shared" si="10"/>
        <v>3.7496675466461828E-2</v>
      </c>
      <c r="I75" s="1">
        <v>56</v>
      </c>
      <c r="J75" s="70">
        <f t="shared" si="3"/>
        <v>0</v>
      </c>
      <c r="K75" s="91" t="str">
        <f t="shared" si="4"/>
        <v/>
      </c>
      <c r="L75" s="91" t="str">
        <f t="shared" si="5"/>
        <v/>
      </c>
      <c r="M75" s="95">
        <f t="shared" si="6"/>
        <v>21.323180545525663</v>
      </c>
      <c r="N75" s="100">
        <f t="shared" si="7"/>
        <v>21.323180545525663</v>
      </c>
      <c r="O75" s="96"/>
    </row>
    <row r="76" spans="2:15" x14ac:dyDescent="0.3">
      <c r="B76" s="3">
        <v>4</v>
      </c>
      <c r="C76" s="4">
        <v>216</v>
      </c>
      <c r="D76" s="4">
        <v>218</v>
      </c>
      <c r="E76" s="4"/>
      <c r="F76" s="40">
        <f t="shared" si="8"/>
        <v>0</v>
      </c>
      <c r="G76" s="1">
        <f t="shared" si="9"/>
        <v>21.7</v>
      </c>
      <c r="H76" s="37">
        <f t="shared" si="10"/>
        <v>3.6983614116222439E-2</v>
      </c>
      <c r="I76" s="1">
        <v>57</v>
      </c>
      <c r="J76" s="70">
        <f t="shared" si="3"/>
        <v>0</v>
      </c>
      <c r="K76" s="91" t="str">
        <f t="shared" si="4"/>
        <v/>
      </c>
      <c r="L76" s="91" t="str">
        <f t="shared" si="5"/>
        <v/>
      </c>
      <c r="M76" s="95">
        <f t="shared" si="6"/>
        <v>21.268988821161546</v>
      </c>
      <c r="N76" s="100">
        <f t="shared" si="7"/>
        <v>21.268988821161546</v>
      </c>
      <c r="O76" s="96"/>
    </row>
    <row r="77" spans="2:15" x14ac:dyDescent="0.3">
      <c r="B77" s="4">
        <v>42</v>
      </c>
      <c r="C77" s="4">
        <v>215</v>
      </c>
      <c r="D77" s="4">
        <v>213</v>
      </c>
      <c r="E77" s="4"/>
      <c r="F77" s="40">
        <f t="shared" si="8"/>
        <v>0</v>
      </c>
      <c r="G77" s="1">
        <f t="shared" si="9"/>
        <v>21.4</v>
      </c>
      <c r="H77" s="37">
        <f t="shared" si="10"/>
        <v>3.5968094290949534E-2</v>
      </c>
      <c r="I77" s="1">
        <v>58</v>
      </c>
      <c r="J77" s="70">
        <f t="shared" si="3"/>
        <v>0</v>
      </c>
      <c r="K77" s="91" t="str">
        <f t="shared" si="4"/>
        <v/>
      </c>
      <c r="L77" s="91" t="str">
        <f t="shared" si="5"/>
        <v/>
      </c>
      <c r="M77" s="95">
        <f t="shared" si="6"/>
        <v>21.158753681987221</v>
      </c>
      <c r="N77" s="100">
        <f t="shared" si="7"/>
        <v>21.158753681987221</v>
      </c>
      <c r="O77" s="96"/>
    </row>
    <row r="78" spans="2:15" x14ac:dyDescent="0.3">
      <c r="B78" s="4">
        <v>48</v>
      </c>
      <c r="C78" s="4">
        <v>215</v>
      </c>
      <c r="D78" s="4">
        <v>213</v>
      </c>
      <c r="E78" s="4"/>
      <c r="F78" s="40">
        <f t="shared" si="8"/>
        <v>0</v>
      </c>
      <c r="G78" s="1">
        <f t="shared" si="9"/>
        <v>21.4</v>
      </c>
      <c r="H78" s="37">
        <f t="shared" si="10"/>
        <v>3.5968094290949534E-2</v>
      </c>
      <c r="I78" s="1">
        <v>59</v>
      </c>
      <c r="J78" s="70">
        <f t="shared" si="3"/>
        <v>0</v>
      </c>
      <c r="K78" s="91" t="str">
        <f t="shared" si="4"/>
        <v/>
      </c>
      <c r="L78" s="91" t="str">
        <f t="shared" si="5"/>
        <v/>
      </c>
      <c r="M78" s="95">
        <f t="shared" si="6"/>
        <v>21.158753681987221</v>
      </c>
      <c r="N78" s="100">
        <f t="shared" si="7"/>
        <v>21.158753681987221</v>
      </c>
      <c r="O78" s="96"/>
    </row>
    <row r="79" spans="2:15" x14ac:dyDescent="0.3">
      <c r="B79" s="4">
        <v>59</v>
      </c>
      <c r="C79" s="4">
        <v>212</v>
      </c>
      <c r="D79" s="4">
        <v>208</v>
      </c>
      <c r="E79" s="4"/>
      <c r="F79" s="40">
        <f t="shared" si="8"/>
        <v>0</v>
      </c>
      <c r="G79" s="1">
        <f t="shared" si="9"/>
        <v>21</v>
      </c>
      <c r="H79" s="37">
        <f t="shared" si="10"/>
        <v>3.4636059005827467E-2</v>
      </c>
      <c r="I79" s="1">
        <v>60</v>
      </c>
      <c r="J79" s="70">
        <f t="shared" si="3"/>
        <v>0</v>
      </c>
      <c r="K79" s="91" t="str">
        <f t="shared" si="4"/>
        <v/>
      </c>
      <c r="L79" s="91" t="str">
        <f t="shared" si="5"/>
        <v/>
      </c>
      <c r="M79" s="95">
        <f t="shared" si="6"/>
        <v>21.007809411692978</v>
      </c>
      <c r="N79" s="100">
        <f t="shared" si="7"/>
        <v>21.007809411692978</v>
      </c>
      <c r="O79" s="96"/>
    </row>
    <row r="80" spans="2:15" x14ac:dyDescent="0.3">
      <c r="B80" s="3">
        <v>17</v>
      </c>
      <c r="C80" s="4">
        <v>212</v>
      </c>
      <c r="D80" s="4">
        <v>203</v>
      </c>
      <c r="E80" s="4"/>
      <c r="F80" s="40">
        <f t="shared" si="8"/>
        <v>0</v>
      </c>
      <c r="G80" s="1">
        <f t="shared" si="9"/>
        <v>20.75</v>
      </c>
      <c r="H80" s="37">
        <f t="shared" si="10"/>
        <v>3.381629967278138E-2</v>
      </c>
      <c r="I80" s="1">
        <v>61</v>
      </c>
      <c r="J80" s="70">
        <f t="shared" si="3"/>
        <v>0</v>
      </c>
      <c r="K80" s="91" t="str">
        <f t="shared" si="4"/>
        <v/>
      </c>
      <c r="L80" s="91" t="str">
        <f t="shared" si="5"/>
        <v/>
      </c>
      <c r="M80" s="95">
        <f t="shared" si="6"/>
        <v>20.911085238838883</v>
      </c>
      <c r="N80" s="100">
        <f t="shared" si="7"/>
        <v>20.911085238838883</v>
      </c>
      <c r="O80" s="96"/>
    </row>
    <row r="81" spans="2:15" x14ac:dyDescent="0.3">
      <c r="B81" s="3">
        <v>13</v>
      </c>
      <c r="C81" s="4">
        <v>205</v>
      </c>
      <c r="D81" s="4">
        <v>205</v>
      </c>
      <c r="E81" s="4"/>
      <c r="F81" s="40">
        <f t="shared" si="8"/>
        <v>0</v>
      </c>
      <c r="G81" s="1">
        <f t="shared" si="9"/>
        <v>20.5</v>
      </c>
      <c r="H81" s="37">
        <f t="shared" si="10"/>
        <v>3.3006357816777764E-2</v>
      </c>
      <c r="I81" s="1">
        <v>62</v>
      </c>
      <c r="J81" s="70">
        <f t="shared" si="3"/>
        <v>0</v>
      </c>
      <c r="K81" s="91" t="str">
        <f t="shared" si="4"/>
        <v/>
      </c>
      <c r="L81" s="91" t="str">
        <f t="shared" si="5"/>
        <v/>
      </c>
      <c r="M81" s="95">
        <f t="shared" si="6"/>
        <v>20.812463685324996</v>
      </c>
      <c r="N81" s="100">
        <f t="shared" si="7"/>
        <v>20.812463685324996</v>
      </c>
      <c r="O81" s="96"/>
    </row>
    <row r="82" spans="2:15" x14ac:dyDescent="0.3">
      <c r="B82" s="4">
        <v>72</v>
      </c>
      <c r="C82" s="4">
        <v>198</v>
      </c>
      <c r="D82" s="4">
        <v>211</v>
      </c>
      <c r="E82" s="4"/>
      <c r="F82" s="40">
        <f t="shared" si="8"/>
        <v>0</v>
      </c>
      <c r="G82" s="1">
        <f t="shared" si="9"/>
        <v>20.45</v>
      </c>
      <c r="H82" s="37">
        <f t="shared" si="10"/>
        <v>3.2845547542822137E-2</v>
      </c>
      <c r="I82" s="1">
        <v>63</v>
      </c>
      <c r="J82" s="70">
        <f t="shared" si="3"/>
        <v>0</v>
      </c>
      <c r="K82" s="91" t="str">
        <f t="shared" si="4"/>
        <v/>
      </c>
      <c r="L82" s="91" t="str">
        <f t="shared" si="5"/>
        <v/>
      </c>
      <c r="M82" s="95">
        <f t="shared" si="6"/>
        <v>20.792506863654257</v>
      </c>
      <c r="N82" s="100">
        <f t="shared" si="7"/>
        <v>20.792506863654257</v>
      </c>
      <c r="O82" s="96"/>
    </row>
    <row r="83" spans="2:15" x14ac:dyDescent="0.3">
      <c r="B83" s="4">
        <v>47</v>
      </c>
      <c r="C83" s="4">
        <v>197</v>
      </c>
      <c r="D83" s="4">
        <v>211</v>
      </c>
      <c r="E83" s="4"/>
      <c r="F83" s="40">
        <f t="shared" si="8"/>
        <v>0</v>
      </c>
      <c r="G83" s="1">
        <f t="shared" si="9"/>
        <v>20.399999999999999</v>
      </c>
      <c r="H83" s="37">
        <f t="shared" si="10"/>
        <v>3.2685129967948208E-2</v>
      </c>
      <c r="I83" s="1">
        <v>64</v>
      </c>
      <c r="J83" s="70">
        <f t="shared" si="3"/>
        <v>0</v>
      </c>
      <c r="K83" s="91" t="str">
        <f t="shared" si="4"/>
        <v/>
      </c>
      <c r="L83" s="91" t="str">
        <f t="shared" si="5"/>
        <v/>
      </c>
      <c r="M83" s="95">
        <f t="shared" si="6"/>
        <v>20.772471491691327</v>
      </c>
      <c r="N83" s="100">
        <f t="shared" si="7"/>
        <v>20.772471491691327</v>
      </c>
      <c r="O83" s="96"/>
    </row>
    <row r="84" spans="2:15" x14ac:dyDescent="0.3">
      <c r="B84" s="3">
        <v>26</v>
      </c>
      <c r="C84" s="4">
        <v>207</v>
      </c>
      <c r="D84" s="4">
        <v>195</v>
      </c>
      <c r="E84" s="4"/>
      <c r="F84" s="40">
        <f t="shared" ref="F84:F99" si="11">IF(C84=0,1,0)</f>
        <v>0</v>
      </c>
      <c r="G84" s="1">
        <f t="shared" ref="G84:G99" si="12">(C84+D84)/20</f>
        <v>20.100000000000001</v>
      </c>
      <c r="H84" s="37">
        <f t="shared" ref="H84:H99" si="13">PI()/40000*G84^2</f>
        <v>3.1730871199420314E-2</v>
      </c>
      <c r="I84" s="1">
        <v>65</v>
      </c>
      <c r="J84" s="70">
        <f t="shared" si="3"/>
        <v>0</v>
      </c>
      <c r="K84" s="91" t="str">
        <f t="shared" si="4"/>
        <v/>
      </c>
      <c r="L84" s="91" t="str">
        <f t="shared" si="5"/>
        <v/>
      </c>
      <c r="M84" s="95">
        <f t="shared" si="6"/>
        <v>20.650583964382793</v>
      </c>
      <c r="N84" s="100">
        <f t="shared" si="7"/>
        <v>20.650583964382793</v>
      </c>
      <c r="O84" s="96"/>
    </row>
    <row r="85" spans="2:15" x14ac:dyDescent="0.3">
      <c r="B85" s="3">
        <v>25</v>
      </c>
      <c r="C85" s="4">
        <v>202</v>
      </c>
      <c r="D85" s="4">
        <v>199</v>
      </c>
      <c r="E85" s="4"/>
      <c r="F85" s="40">
        <f t="shared" si="11"/>
        <v>0</v>
      </c>
      <c r="G85" s="1">
        <f t="shared" si="12"/>
        <v>20.05</v>
      </c>
      <c r="H85" s="37">
        <f t="shared" si="13"/>
        <v>3.1573202518118272E-2</v>
      </c>
      <c r="I85" s="1">
        <v>66</v>
      </c>
      <c r="J85" s="70">
        <f t="shared" ref="J85:J99" si="14">IF(I85&lt;=14,1,0)</f>
        <v>0</v>
      </c>
      <c r="K85" s="91" t="str">
        <f t="shared" ref="K85:K99" si="15">IF(J85=1,E85*J85,"")</f>
        <v/>
      </c>
      <c r="L85" s="91" t="str">
        <f t="shared" ref="L85:L99" si="16">IF(J85=1,G85*J85,"")</f>
        <v/>
      </c>
      <c r="M85" s="95">
        <f t="shared" ref="M85:M99" si="17">$K$2*EXP(($J$17+$K$17*$K$2+$L$17*$K$4/1000+$M$17*$K$7)*(1/G85-1/$K$1))</f>
        <v>20.629985797290121</v>
      </c>
      <c r="N85" s="100">
        <f t="shared" ref="N85:N99" si="18">IF(E85&lt;&gt;"",E85,M85)</f>
        <v>20.629985797290121</v>
      </c>
      <c r="O85" s="96"/>
    </row>
    <row r="86" spans="2:15" x14ac:dyDescent="0.3">
      <c r="B86" s="4">
        <v>68</v>
      </c>
      <c r="C86" s="4">
        <v>188</v>
      </c>
      <c r="D86" s="4">
        <v>198</v>
      </c>
      <c r="E86" s="4"/>
      <c r="F86" s="40">
        <f t="shared" si="11"/>
        <v>0</v>
      </c>
      <c r="G86" s="1">
        <f t="shared" si="12"/>
        <v>19.3</v>
      </c>
      <c r="H86" s="37">
        <f t="shared" si="13"/>
        <v>2.9255296188391552E-2</v>
      </c>
      <c r="I86" s="1">
        <v>67</v>
      </c>
      <c r="J86" s="70">
        <f t="shared" si="14"/>
        <v>0</v>
      </c>
      <c r="K86" s="91" t="str">
        <f t="shared" si="15"/>
        <v/>
      </c>
      <c r="L86" s="91" t="str">
        <f t="shared" si="16"/>
        <v/>
      </c>
      <c r="M86" s="95">
        <f t="shared" si="17"/>
        <v>20.310860700550723</v>
      </c>
      <c r="N86" s="100">
        <f t="shared" si="18"/>
        <v>20.310860700550723</v>
      </c>
      <c r="O86" s="96"/>
    </row>
    <row r="87" spans="2:15" x14ac:dyDescent="0.3">
      <c r="B87" s="4">
        <v>43</v>
      </c>
      <c r="C87" s="4">
        <v>194</v>
      </c>
      <c r="D87" s="4">
        <v>187</v>
      </c>
      <c r="E87" s="4"/>
      <c r="F87" s="40">
        <f t="shared" si="11"/>
        <v>0</v>
      </c>
      <c r="G87" s="1">
        <f t="shared" si="12"/>
        <v>19.05</v>
      </c>
      <c r="H87" s="37">
        <f t="shared" si="13"/>
        <v>2.8502295699234251E-2</v>
      </c>
      <c r="I87" s="1">
        <v>68</v>
      </c>
      <c r="J87" s="70">
        <f t="shared" si="14"/>
        <v>0</v>
      </c>
      <c r="K87" s="91" t="str">
        <f t="shared" si="15"/>
        <v/>
      </c>
      <c r="L87" s="91" t="str">
        <f t="shared" si="16"/>
        <v/>
      </c>
      <c r="M87" s="95">
        <f t="shared" si="17"/>
        <v>20.200075365525816</v>
      </c>
      <c r="N87" s="100">
        <f t="shared" si="18"/>
        <v>20.200075365525816</v>
      </c>
      <c r="O87" s="96"/>
    </row>
    <row r="88" spans="2:15" x14ac:dyDescent="0.3">
      <c r="B88" s="4">
        <v>79</v>
      </c>
      <c r="C88" s="4">
        <v>182</v>
      </c>
      <c r="D88" s="4">
        <v>190</v>
      </c>
      <c r="E88" s="4"/>
      <c r="F88" s="40">
        <f t="shared" si="11"/>
        <v>0</v>
      </c>
      <c r="G88" s="1">
        <f t="shared" si="12"/>
        <v>18.600000000000001</v>
      </c>
      <c r="H88" s="37">
        <f t="shared" si="13"/>
        <v>2.7171634860898124E-2</v>
      </c>
      <c r="I88" s="1">
        <v>69</v>
      </c>
      <c r="J88" s="70">
        <f t="shared" si="14"/>
        <v>0</v>
      </c>
      <c r="K88" s="91" t="str">
        <f t="shared" si="15"/>
        <v/>
      </c>
      <c r="L88" s="91" t="str">
        <f t="shared" si="16"/>
        <v/>
      </c>
      <c r="M88" s="95">
        <f t="shared" si="17"/>
        <v>19.994772711183668</v>
      </c>
      <c r="N88" s="100">
        <f t="shared" si="18"/>
        <v>19.994772711183668</v>
      </c>
      <c r="O88" s="96"/>
    </row>
    <row r="89" spans="2:15" x14ac:dyDescent="0.3">
      <c r="B89" s="4">
        <v>77</v>
      </c>
      <c r="C89" s="4">
        <v>179</v>
      </c>
      <c r="D89" s="4">
        <v>171</v>
      </c>
      <c r="E89" s="4"/>
      <c r="F89" s="40">
        <f t="shared" si="11"/>
        <v>0</v>
      </c>
      <c r="G89" s="1">
        <f t="shared" si="12"/>
        <v>17.5</v>
      </c>
      <c r="H89" s="37">
        <f t="shared" si="13"/>
        <v>2.4052818754046853E-2</v>
      </c>
      <c r="I89" s="1">
        <v>70</v>
      </c>
      <c r="J89" s="70">
        <f t="shared" si="14"/>
        <v>0</v>
      </c>
      <c r="K89" s="91" t="str">
        <f t="shared" si="15"/>
        <v/>
      </c>
      <c r="L89" s="91" t="str">
        <f t="shared" si="16"/>
        <v/>
      </c>
      <c r="M89" s="95">
        <f t="shared" si="17"/>
        <v>19.458578391491976</v>
      </c>
      <c r="N89" s="100">
        <f t="shared" si="18"/>
        <v>19.458578391491976</v>
      </c>
      <c r="O89" s="96"/>
    </row>
    <row r="90" spans="2:15" x14ac:dyDescent="0.3">
      <c r="B90" s="3">
        <v>29</v>
      </c>
      <c r="C90" s="4">
        <v>162</v>
      </c>
      <c r="D90" s="4">
        <v>185</v>
      </c>
      <c r="E90" s="4"/>
      <c r="F90" s="40">
        <f t="shared" si="11"/>
        <v>0</v>
      </c>
      <c r="G90" s="1">
        <f t="shared" si="12"/>
        <v>17.350000000000001</v>
      </c>
      <c r="H90" s="37">
        <f t="shared" si="13"/>
        <v>2.3642251864130839E-2</v>
      </c>
      <c r="I90" s="1">
        <v>71</v>
      </c>
      <c r="J90" s="70">
        <f t="shared" si="14"/>
        <v>0</v>
      </c>
      <c r="K90" s="91" t="str">
        <f t="shared" si="15"/>
        <v/>
      </c>
      <c r="L90" s="91" t="str">
        <f t="shared" si="16"/>
        <v/>
      </c>
      <c r="M90" s="95">
        <f t="shared" si="17"/>
        <v>19.381407133625352</v>
      </c>
      <c r="N90" s="100">
        <f t="shared" si="18"/>
        <v>19.381407133625352</v>
      </c>
      <c r="O90" s="96"/>
    </row>
    <row r="91" spans="2:15" x14ac:dyDescent="0.3">
      <c r="B91" s="4">
        <v>69</v>
      </c>
      <c r="C91" s="4">
        <v>170</v>
      </c>
      <c r="D91" s="4">
        <v>155</v>
      </c>
      <c r="E91" s="4"/>
      <c r="F91" s="40">
        <f t="shared" si="11"/>
        <v>0</v>
      </c>
      <c r="G91" s="1">
        <f t="shared" si="12"/>
        <v>16.25</v>
      </c>
      <c r="H91" s="37">
        <f t="shared" si="13"/>
        <v>2.0739420252213869E-2</v>
      </c>
      <c r="I91" s="1">
        <v>72</v>
      </c>
      <c r="J91" s="70">
        <f t="shared" si="14"/>
        <v>0</v>
      </c>
      <c r="K91" s="91" t="str">
        <f t="shared" si="15"/>
        <v/>
      </c>
      <c r="L91" s="91" t="str">
        <f t="shared" si="16"/>
        <v/>
      </c>
      <c r="M91" s="95">
        <f t="shared" si="17"/>
        <v>18.782607382830935</v>
      </c>
      <c r="N91" s="100">
        <f t="shared" si="18"/>
        <v>18.782607382830935</v>
      </c>
      <c r="O91" s="96"/>
    </row>
    <row r="92" spans="2:15" x14ac:dyDescent="0.3">
      <c r="B92" s="3">
        <v>24</v>
      </c>
      <c r="C92" s="4">
        <v>147</v>
      </c>
      <c r="D92" s="4">
        <v>146</v>
      </c>
      <c r="E92" s="4"/>
      <c r="F92" s="40">
        <f t="shared" si="11"/>
        <v>0</v>
      </c>
      <c r="G92" s="1">
        <f t="shared" si="12"/>
        <v>14.65</v>
      </c>
      <c r="H92" s="37">
        <f t="shared" si="13"/>
        <v>1.6856411732376883E-2</v>
      </c>
      <c r="I92" s="1">
        <v>73</v>
      </c>
      <c r="J92" s="70">
        <f t="shared" si="14"/>
        <v>0</v>
      </c>
      <c r="K92" s="91" t="str">
        <f t="shared" si="15"/>
        <v/>
      </c>
      <c r="L92" s="91" t="str">
        <f t="shared" si="16"/>
        <v/>
      </c>
      <c r="M92" s="95">
        <f t="shared" si="17"/>
        <v>17.79416362566716</v>
      </c>
      <c r="N92" s="100">
        <f t="shared" si="18"/>
        <v>17.79416362566716</v>
      </c>
      <c r="O92" s="96"/>
    </row>
    <row r="93" spans="2:15" x14ac:dyDescent="0.3">
      <c r="B93" s="4">
        <v>56</v>
      </c>
      <c r="C93" s="4">
        <v>141</v>
      </c>
      <c r="D93" s="4">
        <v>140</v>
      </c>
      <c r="E93" s="4"/>
      <c r="F93" s="40">
        <f t="shared" si="11"/>
        <v>0</v>
      </c>
      <c r="G93" s="1">
        <f t="shared" si="12"/>
        <v>14.05</v>
      </c>
      <c r="H93" s="37">
        <f t="shared" si="13"/>
        <v>1.5503956095006481E-2</v>
      </c>
      <c r="I93" s="1">
        <v>74</v>
      </c>
      <c r="J93" s="70">
        <f t="shared" si="14"/>
        <v>0</v>
      </c>
      <c r="K93" s="91" t="str">
        <f t="shared" si="15"/>
        <v/>
      </c>
      <c r="L93" s="91" t="str">
        <f t="shared" si="16"/>
        <v/>
      </c>
      <c r="M93" s="95">
        <f t="shared" si="17"/>
        <v>17.38179397540188</v>
      </c>
      <c r="N93" s="100">
        <f t="shared" si="18"/>
        <v>17.38179397540188</v>
      </c>
      <c r="O93" s="96"/>
    </row>
    <row r="94" spans="2:15" x14ac:dyDescent="0.3">
      <c r="B94" s="3">
        <v>10</v>
      </c>
      <c r="C94" s="4"/>
      <c r="D94" s="4"/>
      <c r="E94" s="4"/>
      <c r="F94" s="40">
        <f t="shared" si="11"/>
        <v>1</v>
      </c>
      <c r="G94" s="1">
        <f t="shared" si="12"/>
        <v>0</v>
      </c>
      <c r="H94" s="37">
        <f t="shared" si="13"/>
        <v>0</v>
      </c>
      <c r="I94" s="1">
        <v>75</v>
      </c>
      <c r="J94" s="70">
        <f t="shared" si="14"/>
        <v>0</v>
      </c>
      <c r="K94" s="91" t="str">
        <f t="shared" si="15"/>
        <v/>
      </c>
      <c r="L94" s="91" t="str">
        <f t="shared" si="16"/>
        <v/>
      </c>
      <c r="M94" s="95" t="e">
        <f t="shared" si="17"/>
        <v>#DIV/0!</v>
      </c>
      <c r="N94" s="100" t="e">
        <f t="shared" si="18"/>
        <v>#DIV/0!</v>
      </c>
      <c r="O94" s="96"/>
    </row>
    <row r="95" spans="2:15" x14ac:dyDescent="0.3">
      <c r="B95" s="3">
        <v>14</v>
      </c>
      <c r="C95" s="4"/>
      <c r="D95" s="4"/>
      <c r="E95" s="4"/>
      <c r="F95" s="40">
        <f t="shared" si="11"/>
        <v>1</v>
      </c>
      <c r="G95" s="1">
        <f t="shared" si="12"/>
        <v>0</v>
      </c>
      <c r="H95" s="37">
        <f t="shared" si="13"/>
        <v>0</v>
      </c>
      <c r="I95" s="1">
        <v>76</v>
      </c>
      <c r="J95" s="70">
        <f t="shared" si="14"/>
        <v>0</v>
      </c>
      <c r="K95" s="91" t="str">
        <f t="shared" si="15"/>
        <v/>
      </c>
      <c r="L95" s="91" t="str">
        <f t="shared" si="16"/>
        <v/>
      </c>
      <c r="M95" s="95" t="e">
        <f t="shared" si="17"/>
        <v>#DIV/0!</v>
      </c>
      <c r="N95" s="100" t="e">
        <f t="shared" si="18"/>
        <v>#DIV/0!</v>
      </c>
      <c r="O95" s="96"/>
    </row>
    <row r="96" spans="2:15" x14ac:dyDescent="0.3">
      <c r="B96" s="3">
        <v>28</v>
      </c>
      <c r="C96" s="4"/>
      <c r="D96" s="4"/>
      <c r="E96" s="4"/>
      <c r="F96" s="40">
        <f t="shared" si="11"/>
        <v>1</v>
      </c>
      <c r="G96" s="1">
        <f t="shared" si="12"/>
        <v>0</v>
      </c>
      <c r="H96" s="37">
        <f t="shared" si="13"/>
        <v>0</v>
      </c>
      <c r="I96" s="1">
        <v>77</v>
      </c>
      <c r="J96" s="70">
        <f t="shared" si="14"/>
        <v>0</v>
      </c>
      <c r="K96" s="91" t="str">
        <f t="shared" si="15"/>
        <v/>
      </c>
      <c r="L96" s="91" t="str">
        <f t="shared" si="16"/>
        <v/>
      </c>
      <c r="M96" s="95" t="e">
        <f t="shared" si="17"/>
        <v>#DIV/0!</v>
      </c>
      <c r="N96" s="100" t="e">
        <f t="shared" si="18"/>
        <v>#DIV/0!</v>
      </c>
      <c r="O96" s="96"/>
    </row>
    <row r="97" spans="2:15" x14ac:dyDescent="0.3">
      <c r="B97" s="4">
        <v>50</v>
      </c>
      <c r="C97" s="4"/>
      <c r="D97" s="4"/>
      <c r="E97" s="4"/>
      <c r="F97" s="40">
        <f t="shared" si="11"/>
        <v>1</v>
      </c>
      <c r="G97" s="1">
        <f t="shared" si="12"/>
        <v>0</v>
      </c>
      <c r="H97" s="37">
        <f t="shared" si="13"/>
        <v>0</v>
      </c>
      <c r="I97" s="1">
        <v>78</v>
      </c>
      <c r="J97" s="70">
        <f t="shared" si="14"/>
        <v>0</v>
      </c>
      <c r="K97" s="91" t="str">
        <f t="shared" si="15"/>
        <v/>
      </c>
      <c r="L97" s="91" t="str">
        <f t="shared" si="16"/>
        <v/>
      </c>
      <c r="M97" s="95" t="e">
        <f t="shared" si="17"/>
        <v>#DIV/0!</v>
      </c>
      <c r="N97" s="100" t="e">
        <f t="shared" si="18"/>
        <v>#DIV/0!</v>
      </c>
      <c r="O97" s="96"/>
    </row>
    <row r="98" spans="2:15" x14ac:dyDescent="0.3">
      <c r="B98" s="4">
        <v>51</v>
      </c>
      <c r="C98" s="4"/>
      <c r="D98" s="4"/>
      <c r="E98" s="4"/>
      <c r="F98" s="40">
        <f t="shared" si="11"/>
        <v>1</v>
      </c>
      <c r="G98" s="1">
        <f t="shared" si="12"/>
        <v>0</v>
      </c>
      <c r="H98" s="37">
        <f t="shared" si="13"/>
        <v>0</v>
      </c>
      <c r="I98" s="1">
        <v>79</v>
      </c>
      <c r="J98" s="70">
        <f t="shared" si="14"/>
        <v>0</v>
      </c>
      <c r="K98" s="91" t="str">
        <f t="shared" si="15"/>
        <v/>
      </c>
      <c r="L98" s="91" t="str">
        <f t="shared" si="16"/>
        <v/>
      </c>
      <c r="M98" s="95" t="e">
        <f t="shared" si="17"/>
        <v>#DIV/0!</v>
      </c>
      <c r="N98" s="100" t="e">
        <f t="shared" si="18"/>
        <v>#DIV/0!</v>
      </c>
      <c r="O98" s="96"/>
    </row>
    <row r="99" spans="2:15" x14ac:dyDescent="0.3">
      <c r="B99" s="4">
        <v>63</v>
      </c>
      <c r="C99" s="4"/>
      <c r="D99" s="4"/>
      <c r="E99" s="4"/>
      <c r="F99" s="40">
        <f t="shared" si="11"/>
        <v>1</v>
      </c>
      <c r="G99" s="1">
        <f t="shared" si="12"/>
        <v>0</v>
      </c>
      <c r="H99" s="37">
        <f t="shared" si="13"/>
        <v>0</v>
      </c>
      <c r="I99" s="1">
        <v>80</v>
      </c>
      <c r="J99" s="70">
        <f t="shared" si="14"/>
        <v>0</v>
      </c>
      <c r="K99" s="91" t="str">
        <f t="shared" si="15"/>
        <v/>
      </c>
      <c r="L99" s="91" t="str">
        <f t="shared" si="16"/>
        <v/>
      </c>
      <c r="M99" s="95" t="e">
        <f t="shared" si="17"/>
        <v>#DIV/0!</v>
      </c>
      <c r="N99" s="100" t="e">
        <f t="shared" si="18"/>
        <v>#DIV/0!</v>
      </c>
      <c r="O99" s="96"/>
    </row>
  </sheetData>
  <sortState ref="B15:H94">
    <sortCondition descending="1" ref="E15:E94"/>
    <sortCondition descending="1" ref="G15:G94"/>
  </sortState>
  <mergeCells count="10">
    <mergeCell ref="V3:Z5"/>
    <mergeCell ref="C1:J1"/>
    <mergeCell ref="S6:T15"/>
    <mergeCell ref="D8:J10"/>
    <mergeCell ref="C2:J2"/>
    <mergeCell ref="C3:J3"/>
    <mergeCell ref="C4:J4"/>
    <mergeCell ref="C5:J5"/>
    <mergeCell ref="C6:J6"/>
    <mergeCell ref="C7:J7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2529" r:id="rId4">
          <objectPr defaultSize="0" autoPict="0" r:id="rId5">
            <anchor moveWithCells="1" sizeWithCells="1">
              <from>
                <xdr:col>2</xdr:col>
                <xdr:colOff>60960</xdr:colOff>
                <xdr:row>10</xdr:row>
                <xdr:rowOff>7620</xdr:rowOff>
              </from>
              <to>
                <xdr:col>4</xdr:col>
                <xdr:colOff>510540</xdr:colOff>
                <xdr:row>14</xdr:row>
                <xdr:rowOff>53340</xdr:rowOff>
              </to>
            </anchor>
          </objectPr>
        </oleObject>
      </mc:Choice>
      <mc:Fallback>
        <oleObject progId="Equation.3" shapeId="22529" r:id="rId4"/>
      </mc:Fallback>
    </mc:AlternateContent>
    <mc:AlternateContent xmlns:mc="http://schemas.openxmlformats.org/markup-compatibility/2006">
      <mc:Choice Requires="x14">
        <oleObject progId="Equation.3" shapeId="22530" r:id="rId6">
          <objectPr defaultSize="0" autoPict="0" r:id="rId7">
            <anchor moveWithCells="1" sizeWithCells="1">
              <from>
                <xdr:col>7</xdr:col>
                <xdr:colOff>22860</xdr:colOff>
                <xdr:row>11</xdr:row>
                <xdr:rowOff>38100</xdr:rowOff>
              </from>
              <to>
                <xdr:col>12</xdr:col>
                <xdr:colOff>518160</xdr:colOff>
                <xdr:row>13</xdr:row>
                <xdr:rowOff>144780</xdr:rowOff>
              </to>
            </anchor>
          </objectPr>
        </oleObject>
      </mc:Choice>
      <mc:Fallback>
        <oleObject progId="Equation.3" shapeId="2253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70" zoomScaleNormal="70" workbookViewId="0">
      <selection activeCell="G13" sqref="G13"/>
    </sheetView>
  </sheetViews>
  <sheetFormatPr defaultRowHeight="14.4" x14ac:dyDescent="0.3"/>
  <cols>
    <col min="9" max="9" width="9" customWidth="1"/>
    <col min="13" max="13" width="6" customWidth="1"/>
  </cols>
  <sheetData>
    <row r="1" spans="1:15" ht="14.4" customHeight="1" x14ac:dyDescent="0.3">
      <c r="A1" s="239"/>
      <c r="B1" s="218" t="s">
        <v>78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5" s="38" customFormat="1" ht="14.4" customHeight="1" x14ac:dyDescent="0.3">
      <c r="A2" s="239"/>
      <c r="B2" s="220"/>
      <c r="C2" s="220"/>
      <c r="D2" s="220"/>
      <c r="E2" s="220"/>
      <c r="F2" s="240"/>
      <c r="G2" s="240"/>
      <c r="H2" s="240"/>
      <c r="I2" s="240"/>
      <c r="J2" s="240"/>
      <c r="K2" s="240"/>
      <c r="L2" s="242" t="s">
        <v>90</v>
      </c>
      <c r="M2" s="36">
        <v>40</v>
      </c>
    </row>
    <row r="3" spans="1:15" s="38" customFormat="1" ht="14.4" customHeight="1" x14ac:dyDescent="0.3">
      <c r="A3" s="239"/>
      <c r="B3" s="220"/>
      <c r="C3" s="220"/>
      <c r="D3" s="220"/>
      <c r="E3" s="220"/>
      <c r="F3" s="240"/>
      <c r="G3" s="240"/>
      <c r="H3" s="240"/>
      <c r="I3" s="240"/>
      <c r="J3" s="240"/>
      <c r="K3" s="240"/>
      <c r="L3" s="29" t="s">
        <v>91</v>
      </c>
      <c r="M3" s="224">
        <f>PI()*M2^2</f>
        <v>5026.5482457436692</v>
      </c>
    </row>
    <row r="4" spans="1:15" s="38" customFormat="1" ht="14.4" customHeight="1" x14ac:dyDescent="0.3">
      <c r="A4" s="239"/>
      <c r="B4" s="220"/>
      <c r="C4" s="220"/>
      <c r="D4" s="220"/>
      <c r="E4" s="220"/>
      <c r="F4" s="240"/>
      <c r="G4" s="240"/>
      <c r="H4" s="240"/>
      <c r="I4" s="240"/>
      <c r="J4" s="240"/>
      <c r="K4" s="240"/>
      <c r="L4" s="242" t="s">
        <v>89</v>
      </c>
      <c r="M4" s="243">
        <f>COUNT(H11:H41)*10000/M3</f>
        <v>61.672540448109444</v>
      </c>
    </row>
    <row r="5" spans="1:15" s="38" customFormat="1" ht="14.4" customHeight="1" x14ac:dyDescent="0.3">
      <c r="A5" s="239"/>
      <c r="B5" s="220"/>
      <c r="C5" s="220"/>
      <c r="D5" s="220"/>
      <c r="E5" s="220"/>
      <c r="F5" s="240"/>
      <c r="G5" s="240"/>
      <c r="H5" s="240"/>
      <c r="I5" s="240"/>
      <c r="J5" s="240"/>
      <c r="K5" s="240"/>
      <c r="L5" t="s">
        <v>88</v>
      </c>
      <c r="M5" s="241">
        <f>AVERAGE(E11:H41)</f>
        <v>4.1104838709677427</v>
      </c>
    </row>
    <row r="6" spans="1:15" x14ac:dyDescent="0.3">
      <c r="A6" s="221"/>
      <c r="B6" s="219"/>
      <c r="C6" s="219"/>
      <c r="D6" s="219"/>
      <c r="E6" s="219"/>
      <c r="F6" s="39"/>
      <c r="G6" s="39"/>
      <c r="H6" s="39"/>
      <c r="I6" s="39"/>
      <c r="J6" s="39"/>
      <c r="K6" s="39"/>
      <c r="L6" s="29" t="s">
        <v>92</v>
      </c>
      <c r="M6" s="241">
        <f>100/(M5*SQRT(M4))</f>
        <v>3.0978553300631955</v>
      </c>
    </row>
    <row r="7" spans="1:15" ht="15" thickBot="1" x14ac:dyDescent="0.35">
      <c r="F7" s="39"/>
      <c r="G7" s="39"/>
      <c r="H7" s="39"/>
      <c r="I7" s="39"/>
      <c r="J7" s="39"/>
      <c r="K7" s="39"/>
      <c r="L7" s="39"/>
    </row>
    <row r="8" spans="1:15" ht="15.6" thickTop="1" thickBot="1" x14ac:dyDescent="0.35">
      <c r="B8" s="229" t="s">
        <v>79</v>
      </c>
      <c r="C8" s="230"/>
      <c r="D8" s="230"/>
      <c r="E8" s="230"/>
      <c r="F8" s="230"/>
      <c r="G8" s="230"/>
      <c r="H8" s="231"/>
    </row>
    <row r="9" spans="1:15" ht="15.6" thickTop="1" thickBot="1" x14ac:dyDescent="0.35">
      <c r="B9" s="232" t="s">
        <v>80</v>
      </c>
      <c r="C9" s="232" t="s">
        <v>33</v>
      </c>
      <c r="D9" s="232" t="s">
        <v>4</v>
      </c>
      <c r="E9" s="233" t="s">
        <v>81</v>
      </c>
      <c r="F9" s="234"/>
      <c r="G9" s="234"/>
      <c r="H9" s="235"/>
      <c r="K9" s="39"/>
      <c r="L9" s="39"/>
      <c r="M9" s="39"/>
      <c r="N9" s="39"/>
      <c r="O9" s="39"/>
    </row>
    <row r="10" spans="1:15" ht="27" thickBot="1" x14ac:dyDescent="0.35">
      <c r="B10" s="236"/>
      <c r="C10" s="236"/>
      <c r="D10" s="236"/>
      <c r="E10" s="237" t="s">
        <v>82</v>
      </c>
      <c r="F10" s="237" t="s">
        <v>83</v>
      </c>
      <c r="G10" s="237" t="s">
        <v>84</v>
      </c>
      <c r="H10" s="238" t="s">
        <v>85</v>
      </c>
      <c r="I10" s="244" t="s">
        <v>95</v>
      </c>
      <c r="J10" s="244" t="s">
        <v>93</v>
      </c>
      <c r="K10" s="39"/>
      <c r="L10" s="39"/>
      <c r="M10" s="39"/>
      <c r="N10" s="39"/>
      <c r="O10" s="39"/>
    </row>
    <row r="11" spans="1:15" ht="15" thickBot="1" x14ac:dyDescent="0.35">
      <c r="B11" s="245">
        <v>1</v>
      </c>
      <c r="C11" s="246" t="s">
        <v>86</v>
      </c>
      <c r="D11" s="246">
        <v>25.46</v>
      </c>
      <c r="E11" s="246">
        <v>3</v>
      </c>
      <c r="F11" s="246">
        <v>4.4000000000000004</v>
      </c>
      <c r="G11" s="246">
        <v>2.2999999999999998</v>
      </c>
      <c r="H11" s="247">
        <v>4.7</v>
      </c>
      <c r="I11" s="1">
        <f>AVERAGE(E11:H11)</f>
        <v>3.5999999999999996</v>
      </c>
      <c r="J11" s="1">
        <f>PI()*I11^2</f>
        <v>40.715040790523709</v>
      </c>
      <c r="K11" s="39"/>
      <c r="L11" s="39"/>
      <c r="M11" s="39"/>
      <c r="N11" s="39"/>
      <c r="O11" s="39"/>
    </row>
    <row r="12" spans="1:15" ht="15" thickBot="1" x14ac:dyDescent="0.35">
      <c r="B12" s="245">
        <v>2</v>
      </c>
      <c r="C12" s="246" t="s">
        <v>86</v>
      </c>
      <c r="D12" s="246">
        <v>42.02</v>
      </c>
      <c r="E12" s="246">
        <v>5.2</v>
      </c>
      <c r="F12" s="246">
        <v>7.4</v>
      </c>
      <c r="G12" s="246">
        <v>4.5</v>
      </c>
      <c r="H12" s="247">
        <v>6.2</v>
      </c>
      <c r="I12" s="1">
        <f t="shared" ref="I12:I41" si="0">AVERAGE(E12:H12)</f>
        <v>5.8250000000000002</v>
      </c>
      <c r="J12" s="1">
        <f t="shared" ref="J12:J41" si="1">PI()*I12^2</f>
        <v>106.59620223171017</v>
      </c>
      <c r="K12" s="39"/>
      <c r="L12" s="39"/>
      <c r="M12" s="39"/>
      <c r="N12" s="39"/>
      <c r="O12" s="39"/>
    </row>
    <row r="13" spans="1:15" ht="15" thickBot="1" x14ac:dyDescent="0.35">
      <c r="B13" s="245">
        <v>3</v>
      </c>
      <c r="C13" s="246" t="s">
        <v>86</v>
      </c>
      <c r="D13" s="246">
        <v>34.06</v>
      </c>
      <c r="E13" s="246">
        <v>4.5999999999999996</v>
      </c>
      <c r="F13" s="246">
        <v>6.2</v>
      </c>
      <c r="G13" s="246">
        <v>2.7</v>
      </c>
      <c r="H13" s="247">
        <v>3.9</v>
      </c>
      <c r="I13" s="1">
        <f t="shared" si="0"/>
        <v>4.3499999999999996</v>
      </c>
      <c r="J13" s="1">
        <f t="shared" si="1"/>
        <v>59.446786987552848</v>
      </c>
      <c r="K13" s="39"/>
      <c r="L13" s="39"/>
      <c r="M13" s="39"/>
      <c r="N13" s="39"/>
      <c r="O13" s="39"/>
    </row>
    <row r="14" spans="1:15" ht="15" thickBot="1" x14ac:dyDescent="0.35">
      <c r="B14" s="245">
        <v>4</v>
      </c>
      <c r="C14" s="246" t="s">
        <v>86</v>
      </c>
      <c r="D14" s="246">
        <v>22.6</v>
      </c>
      <c r="E14" s="246">
        <v>1.9</v>
      </c>
      <c r="F14" s="246">
        <v>3</v>
      </c>
      <c r="G14" s="246">
        <v>3.1</v>
      </c>
      <c r="H14" s="247">
        <v>3.3</v>
      </c>
      <c r="I14" s="1">
        <f t="shared" si="0"/>
        <v>2.8250000000000002</v>
      </c>
      <c r="J14" s="1">
        <f t="shared" si="1"/>
        <v>25.071872871055046</v>
      </c>
      <c r="K14" s="39"/>
      <c r="L14" s="39"/>
      <c r="M14" s="39"/>
      <c r="N14" s="39"/>
      <c r="O14" s="39"/>
    </row>
    <row r="15" spans="1:15" ht="15" thickBot="1" x14ac:dyDescent="0.35">
      <c r="B15" s="245">
        <v>5</v>
      </c>
      <c r="C15" s="246" t="s">
        <v>86</v>
      </c>
      <c r="D15" s="246">
        <v>44.56</v>
      </c>
      <c r="E15" s="246">
        <v>2</v>
      </c>
      <c r="F15" s="246">
        <v>4.2</v>
      </c>
      <c r="G15" s="246">
        <v>4.0999999999999996</v>
      </c>
      <c r="H15" s="247">
        <v>5.4</v>
      </c>
      <c r="I15" s="1">
        <f t="shared" si="0"/>
        <v>3.9250000000000003</v>
      </c>
      <c r="J15" s="1">
        <f t="shared" si="1"/>
        <v>48.398198323959264</v>
      </c>
      <c r="K15" s="39"/>
      <c r="L15" s="39"/>
      <c r="M15" s="39"/>
      <c r="N15" s="39"/>
      <c r="O15" s="39"/>
    </row>
    <row r="16" spans="1:15" ht="15" thickBot="1" x14ac:dyDescent="0.35">
      <c r="B16" s="245">
        <v>6</v>
      </c>
      <c r="C16" s="246" t="s">
        <v>86</v>
      </c>
      <c r="D16" s="246">
        <v>44.88</v>
      </c>
      <c r="E16" s="246">
        <v>5</v>
      </c>
      <c r="F16" s="246">
        <v>4.9000000000000004</v>
      </c>
      <c r="G16" s="246">
        <v>5.6</v>
      </c>
      <c r="H16" s="247">
        <v>4.9000000000000004</v>
      </c>
      <c r="I16" s="1">
        <f t="shared" si="0"/>
        <v>5.0999999999999996</v>
      </c>
      <c r="J16" s="1">
        <f t="shared" si="1"/>
        <v>81.712824919870513</v>
      </c>
      <c r="K16" s="39"/>
      <c r="L16" s="39"/>
      <c r="M16" s="39"/>
      <c r="N16" s="39"/>
      <c r="O16" s="39"/>
    </row>
    <row r="17" spans="2:15" ht="15" thickBot="1" x14ac:dyDescent="0.35">
      <c r="B17" s="245">
        <v>7</v>
      </c>
      <c r="C17" s="246" t="s">
        <v>86</v>
      </c>
      <c r="D17" s="246">
        <v>31.19</v>
      </c>
      <c r="E17" s="246">
        <v>2.5</v>
      </c>
      <c r="F17" s="246">
        <v>6.5</v>
      </c>
      <c r="G17" s="246">
        <v>2.2000000000000002</v>
      </c>
      <c r="H17" s="247">
        <v>4.2</v>
      </c>
      <c r="I17" s="1">
        <f t="shared" si="0"/>
        <v>3.8499999999999996</v>
      </c>
      <c r="J17" s="1">
        <f t="shared" si="1"/>
        <v>46.566257107834701</v>
      </c>
      <c r="K17" s="39"/>
      <c r="L17" s="39"/>
      <c r="M17" s="39"/>
      <c r="N17" s="39"/>
      <c r="O17" s="39"/>
    </row>
    <row r="18" spans="2:15" ht="15" thickBot="1" x14ac:dyDescent="0.35">
      <c r="B18" s="245">
        <v>8</v>
      </c>
      <c r="C18" s="246" t="s">
        <v>86</v>
      </c>
      <c r="D18" s="246">
        <v>60.8</v>
      </c>
      <c r="E18" s="246">
        <v>6.6</v>
      </c>
      <c r="F18" s="246">
        <v>9.1</v>
      </c>
      <c r="G18" s="246">
        <v>8.3000000000000007</v>
      </c>
      <c r="H18" s="247">
        <v>7.8</v>
      </c>
      <c r="I18" s="1">
        <f t="shared" si="0"/>
        <v>7.95</v>
      </c>
      <c r="J18" s="1">
        <f t="shared" si="1"/>
        <v>198.5565096885089</v>
      </c>
      <c r="K18" s="39"/>
      <c r="L18" s="39"/>
      <c r="M18" s="39"/>
      <c r="N18" s="39"/>
      <c r="O18" s="39"/>
    </row>
    <row r="19" spans="2:15" ht="15" thickBot="1" x14ac:dyDescent="0.35">
      <c r="B19" s="245">
        <v>9</v>
      </c>
      <c r="C19" s="246" t="s">
        <v>86</v>
      </c>
      <c r="D19" s="246">
        <v>27.69</v>
      </c>
      <c r="E19" s="246">
        <v>2.4</v>
      </c>
      <c r="F19" s="246">
        <v>4.2</v>
      </c>
      <c r="G19" s="246">
        <v>5.0999999999999996</v>
      </c>
      <c r="H19" s="247">
        <v>3.8</v>
      </c>
      <c r="I19" s="1">
        <f t="shared" si="0"/>
        <v>3.875</v>
      </c>
      <c r="J19" s="1">
        <f t="shared" si="1"/>
        <v>47.172977189059239</v>
      </c>
      <c r="L19" s="29" t="s">
        <v>94</v>
      </c>
      <c r="M19" s="36">
        <f>SUM(J11:J41)/M3*100</f>
        <v>38.625898437499998</v>
      </c>
    </row>
    <row r="20" spans="2:15" ht="15" thickBot="1" x14ac:dyDescent="0.35">
      <c r="B20" s="245">
        <v>10</v>
      </c>
      <c r="C20" s="246" t="s">
        <v>86</v>
      </c>
      <c r="D20" s="246">
        <v>27.37</v>
      </c>
      <c r="E20" s="246">
        <v>2.9</v>
      </c>
      <c r="F20" s="246">
        <v>5.5</v>
      </c>
      <c r="G20" s="246">
        <v>2.6</v>
      </c>
      <c r="H20" s="247">
        <v>3.8</v>
      </c>
      <c r="I20" s="1">
        <f t="shared" si="0"/>
        <v>3.7</v>
      </c>
      <c r="J20" s="1">
        <f t="shared" si="1"/>
        <v>43.008403427644275</v>
      </c>
    </row>
    <row r="21" spans="2:15" ht="15" thickBot="1" x14ac:dyDescent="0.35">
      <c r="B21" s="245">
        <v>11</v>
      </c>
      <c r="C21" s="246" t="s">
        <v>86</v>
      </c>
      <c r="D21" s="246">
        <v>48.38</v>
      </c>
      <c r="E21" s="246">
        <v>5.4</v>
      </c>
      <c r="F21" s="246">
        <v>3.6</v>
      </c>
      <c r="G21" s="246">
        <v>2.8</v>
      </c>
      <c r="H21" s="247">
        <v>4.3</v>
      </c>
      <c r="I21" s="1">
        <f t="shared" si="0"/>
        <v>4.0250000000000004</v>
      </c>
      <c r="J21" s="1">
        <f t="shared" si="1"/>
        <v>50.895764483563148</v>
      </c>
      <c r="K21" s="249"/>
      <c r="L21" s="248" t="s">
        <v>96</v>
      </c>
      <c r="M21" s="248"/>
      <c r="N21" s="248"/>
      <c r="O21" s="248"/>
    </row>
    <row r="22" spans="2:15" ht="15" thickBot="1" x14ac:dyDescent="0.35">
      <c r="B22" s="245">
        <v>12</v>
      </c>
      <c r="C22" s="246" t="s">
        <v>86</v>
      </c>
      <c r="D22" s="246">
        <v>52.84</v>
      </c>
      <c r="E22" s="246">
        <v>5.6</v>
      </c>
      <c r="F22" s="246">
        <v>5.7</v>
      </c>
      <c r="G22" s="246">
        <v>8.1</v>
      </c>
      <c r="H22" s="247">
        <v>4.7</v>
      </c>
      <c r="I22" s="1">
        <f t="shared" si="0"/>
        <v>6.0249999999999995</v>
      </c>
      <c r="J22" s="1">
        <f t="shared" si="1"/>
        <v>114.04177682071797</v>
      </c>
      <c r="K22" s="249"/>
      <c r="L22" s="248"/>
      <c r="M22" s="248"/>
      <c r="N22" s="248"/>
      <c r="O22" s="248"/>
    </row>
    <row r="23" spans="2:15" ht="15" thickBot="1" x14ac:dyDescent="0.35">
      <c r="B23" s="245">
        <v>13</v>
      </c>
      <c r="C23" s="246" t="s">
        <v>86</v>
      </c>
      <c r="D23" s="246">
        <v>42.65</v>
      </c>
      <c r="E23" s="246">
        <v>3.7</v>
      </c>
      <c r="F23" s="246">
        <v>6.1</v>
      </c>
      <c r="G23" s="246">
        <v>4.7</v>
      </c>
      <c r="H23" s="247">
        <v>2</v>
      </c>
      <c r="I23" s="1">
        <f t="shared" si="0"/>
        <v>4.125</v>
      </c>
      <c r="J23" s="1">
        <f t="shared" si="1"/>
        <v>53.456162496238825</v>
      </c>
      <c r="K23" s="249"/>
      <c r="L23" s="248"/>
      <c r="M23" s="248"/>
      <c r="N23" s="248"/>
      <c r="O23" s="248"/>
    </row>
    <row r="24" spans="2:15" ht="15" thickBot="1" x14ac:dyDescent="0.35">
      <c r="B24" s="245">
        <v>14</v>
      </c>
      <c r="C24" s="246" t="s">
        <v>86</v>
      </c>
      <c r="D24" s="246">
        <v>54.43</v>
      </c>
      <c r="E24" s="246">
        <v>5.0999999999999996</v>
      </c>
      <c r="F24" s="246">
        <v>7.1</v>
      </c>
      <c r="G24" s="246">
        <v>6.7</v>
      </c>
      <c r="H24" s="247">
        <v>5.5</v>
      </c>
      <c r="I24" s="1">
        <f t="shared" si="0"/>
        <v>6.1</v>
      </c>
      <c r="J24" s="1">
        <f t="shared" si="1"/>
        <v>116.89866264007618</v>
      </c>
      <c r="K24" s="249"/>
      <c r="L24" s="248"/>
      <c r="M24" s="248"/>
      <c r="N24" s="248"/>
      <c r="O24" s="248"/>
    </row>
    <row r="25" spans="2:15" ht="15" thickBot="1" x14ac:dyDescent="0.35">
      <c r="B25" s="245">
        <v>15</v>
      </c>
      <c r="C25" s="246" t="s">
        <v>86</v>
      </c>
      <c r="D25" s="246">
        <v>58.25</v>
      </c>
      <c r="E25" s="246">
        <v>6.7</v>
      </c>
      <c r="F25" s="246">
        <v>7.1</v>
      </c>
      <c r="G25" s="246">
        <v>7.2</v>
      </c>
      <c r="H25" s="247">
        <v>6.6</v>
      </c>
      <c r="I25" s="1">
        <f t="shared" si="0"/>
        <v>6.9</v>
      </c>
      <c r="J25" s="1">
        <f t="shared" si="1"/>
        <v>149.57122623741006</v>
      </c>
      <c r="K25" s="249"/>
      <c r="L25" s="248"/>
      <c r="M25" s="248"/>
      <c r="N25" s="248"/>
      <c r="O25" s="248"/>
    </row>
    <row r="26" spans="2:15" ht="15" thickBot="1" x14ac:dyDescent="0.35">
      <c r="B26" s="245">
        <v>16</v>
      </c>
      <c r="C26" s="246" t="s">
        <v>86</v>
      </c>
      <c r="D26" s="246">
        <v>47.43</v>
      </c>
      <c r="E26" s="246">
        <v>5.0999999999999996</v>
      </c>
      <c r="F26" s="246">
        <v>5.5</v>
      </c>
      <c r="G26" s="246">
        <v>4.3</v>
      </c>
      <c r="H26" s="247">
        <v>5.4</v>
      </c>
      <c r="I26" s="1">
        <f t="shared" si="0"/>
        <v>5.0749999999999993</v>
      </c>
      <c r="J26" s="1">
        <f t="shared" si="1"/>
        <v>80.913682288613586</v>
      </c>
      <c r="K26" s="249"/>
      <c r="L26" s="248"/>
      <c r="M26" s="248"/>
      <c r="N26" s="248"/>
      <c r="O26" s="248"/>
    </row>
    <row r="27" spans="2:15" ht="15" thickBot="1" x14ac:dyDescent="0.35">
      <c r="B27" s="245">
        <v>17</v>
      </c>
      <c r="C27" s="246" t="s">
        <v>86</v>
      </c>
      <c r="D27" s="246">
        <v>35.97</v>
      </c>
      <c r="E27" s="246">
        <v>5.0999999999999996</v>
      </c>
      <c r="F27" s="246">
        <v>4.5</v>
      </c>
      <c r="G27" s="246">
        <v>5.7</v>
      </c>
      <c r="H27" s="247">
        <v>4.5</v>
      </c>
      <c r="I27" s="1">
        <f t="shared" si="0"/>
        <v>4.95</v>
      </c>
      <c r="J27" s="1">
        <f t="shared" si="1"/>
        <v>76.976873994583912</v>
      </c>
      <c r="K27" s="249"/>
      <c r="L27" s="248"/>
      <c r="M27" s="248"/>
      <c r="N27" s="248"/>
      <c r="O27" s="248"/>
    </row>
    <row r="28" spans="2:15" ht="15" thickBot="1" x14ac:dyDescent="0.35">
      <c r="B28" s="245">
        <v>18</v>
      </c>
      <c r="C28" s="246" t="s">
        <v>86</v>
      </c>
      <c r="D28" s="246">
        <v>31.83</v>
      </c>
      <c r="E28" s="246">
        <v>6.1</v>
      </c>
      <c r="F28" s="246">
        <v>5.9</v>
      </c>
      <c r="G28" s="246">
        <v>5.4</v>
      </c>
      <c r="H28" s="247">
        <v>5.0999999999999996</v>
      </c>
      <c r="I28" s="1">
        <f t="shared" si="0"/>
        <v>5.625</v>
      </c>
      <c r="J28" s="1">
        <f t="shared" si="1"/>
        <v>99.401955054989543</v>
      </c>
      <c r="K28" s="249"/>
      <c r="L28" s="248"/>
      <c r="M28" s="248"/>
      <c r="N28" s="248"/>
      <c r="O28" s="248"/>
    </row>
    <row r="29" spans="2:15" ht="15" thickBot="1" x14ac:dyDescent="0.35">
      <c r="B29" s="245">
        <v>19</v>
      </c>
      <c r="C29" s="246" t="s">
        <v>86</v>
      </c>
      <c r="D29" s="246">
        <v>25.78</v>
      </c>
      <c r="E29" s="246">
        <v>2.9</v>
      </c>
      <c r="F29" s="246">
        <v>4.8</v>
      </c>
      <c r="G29" s="246">
        <v>4</v>
      </c>
      <c r="H29" s="247">
        <v>3.6</v>
      </c>
      <c r="I29" s="1">
        <f t="shared" si="0"/>
        <v>3.8249999999999997</v>
      </c>
      <c r="J29" s="1">
        <f t="shared" si="1"/>
        <v>45.963464017427164</v>
      </c>
      <c r="K29" s="249"/>
      <c r="L29" s="248"/>
      <c r="M29" s="248"/>
      <c r="N29" s="248"/>
      <c r="O29" s="248"/>
    </row>
    <row r="30" spans="2:15" ht="15" thickBot="1" x14ac:dyDescent="0.35">
      <c r="B30" s="245">
        <v>20</v>
      </c>
      <c r="C30" s="246" t="s">
        <v>86</v>
      </c>
      <c r="D30" s="246">
        <v>74.17</v>
      </c>
      <c r="E30" s="246">
        <v>7.5</v>
      </c>
      <c r="F30" s="246">
        <v>9.6</v>
      </c>
      <c r="G30" s="246">
        <v>5.3</v>
      </c>
      <c r="H30" s="247">
        <v>7.9</v>
      </c>
      <c r="I30" s="1">
        <f t="shared" si="0"/>
        <v>7.5750000000000011</v>
      </c>
      <c r="J30" s="1">
        <f t="shared" si="1"/>
        <v>180.26654995839087</v>
      </c>
      <c r="K30" s="249"/>
      <c r="L30" s="248"/>
      <c r="M30" s="248"/>
      <c r="N30" s="248"/>
      <c r="O30" s="248"/>
    </row>
    <row r="31" spans="2:15" ht="15" thickBot="1" x14ac:dyDescent="0.35">
      <c r="B31" s="245">
        <v>21</v>
      </c>
      <c r="C31" s="246" t="s">
        <v>86</v>
      </c>
      <c r="D31" s="246">
        <v>22.28</v>
      </c>
      <c r="E31" s="246">
        <v>2.6</v>
      </c>
      <c r="F31" s="246">
        <v>1.4</v>
      </c>
      <c r="G31" s="246">
        <v>1.9</v>
      </c>
      <c r="H31" s="247">
        <v>2.4</v>
      </c>
      <c r="I31" s="1">
        <f t="shared" si="0"/>
        <v>2.0750000000000002</v>
      </c>
      <c r="J31" s="1">
        <f t="shared" si="1"/>
        <v>13.526519869112557</v>
      </c>
      <c r="K31" s="249"/>
      <c r="L31" s="248"/>
      <c r="M31" s="248"/>
      <c r="N31" s="248"/>
      <c r="O31" s="248"/>
    </row>
    <row r="32" spans="2:15" ht="15" thickBot="1" x14ac:dyDescent="0.35">
      <c r="B32" s="245">
        <v>22</v>
      </c>
      <c r="C32" s="246" t="s">
        <v>86</v>
      </c>
      <c r="D32" s="246">
        <v>16.87</v>
      </c>
      <c r="E32" s="246">
        <v>2</v>
      </c>
      <c r="F32" s="246">
        <v>0.3</v>
      </c>
      <c r="G32" s="246">
        <v>1.8</v>
      </c>
      <c r="H32" s="247">
        <v>0.8</v>
      </c>
      <c r="I32" s="1">
        <f t="shared" si="0"/>
        <v>1.2249999999999999</v>
      </c>
      <c r="J32" s="1">
        <f t="shared" si="1"/>
        <v>4.7143524757931825</v>
      </c>
      <c r="K32" s="249"/>
      <c r="L32" s="248"/>
      <c r="M32" s="248"/>
      <c r="N32" s="248"/>
      <c r="O32" s="248"/>
    </row>
    <row r="33" spans="2:15" ht="15" thickBot="1" x14ac:dyDescent="0.35">
      <c r="B33" s="245">
        <v>23</v>
      </c>
      <c r="C33" s="246" t="s">
        <v>86</v>
      </c>
      <c r="D33" s="246">
        <v>20.37</v>
      </c>
      <c r="E33" s="246">
        <v>0.8</v>
      </c>
      <c r="F33" s="246">
        <v>2.1</v>
      </c>
      <c r="G33" s="246">
        <v>2</v>
      </c>
      <c r="H33" s="247">
        <v>1.6</v>
      </c>
      <c r="I33" s="1">
        <f t="shared" si="0"/>
        <v>1.625</v>
      </c>
      <c r="J33" s="1">
        <f t="shared" si="1"/>
        <v>8.2957681008855477</v>
      </c>
      <c r="K33" s="249"/>
      <c r="L33" s="248"/>
      <c r="M33" s="248"/>
      <c r="N33" s="248"/>
      <c r="O33" s="248"/>
    </row>
    <row r="34" spans="2:15" ht="15" thickBot="1" x14ac:dyDescent="0.35">
      <c r="B34" s="245">
        <v>24</v>
      </c>
      <c r="C34" s="246" t="s">
        <v>87</v>
      </c>
      <c r="D34" s="246">
        <v>25.46</v>
      </c>
      <c r="E34" s="246">
        <v>3.4</v>
      </c>
      <c r="F34" s="246">
        <v>2.9</v>
      </c>
      <c r="G34" s="246">
        <v>3.5</v>
      </c>
      <c r="H34" s="247">
        <v>3</v>
      </c>
      <c r="I34" s="1">
        <f t="shared" si="0"/>
        <v>3.2</v>
      </c>
      <c r="J34" s="1">
        <f t="shared" si="1"/>
        <v>32.169908772759484</v>
      </c>
      <c r="K34" s="249"/>
      <c r="L34" s="248"/>
      <c r="M34" s="248"/>
      <c r="N34" s="248"/>
      <c r="O34" s="248"/>
    </row>
    <row r="35" spans="2:15" ht="15" thickBot="1" x14ac:dyDescent="0.35">
      <c r="B35" s="245">
        <v>25</v>
      </c>
      <c r="C35" s="246" t="s">
        <v>87</v>
      </c>
      <c r="D35" s="246">
        <v>30.24</v>
      </c>
      <c r="E35" s="246">
        <v>4.8</v>
      </c>
      <c r="F35" s="246">
        <v>3.4</v>
      </c>
      <c r="G35" s="246">
        <v>4.3</v>
      </c>
      <c r="H35" s="247">
        <v>3.9</v>
      </c>
      <c r="I35" s="1">
        <f t="shared" si="0"/>
        <v>4.0999999999999996</v>
      </c>
      <c r="J35" s="1">
        <f t="shared" si="1"/>
        <v>52.810172506844417</v>
      </c>
      <c r="K35" s="249"/>
      <c r="L35" s="248"/>
      <c r="M35" s="248"/>
      <c r="N35" s="248"/>
      <c r="O35" s="248"/>
    </row>
    <row r="36" spans="2:15" ht="15" thickBot="1" x14ac:dyDescent="0.35">
      <c r="B36" s="245">
        <v>26</v>
      </c>
      <c r="C36" s="246" t="s">
        <v>87</v>
      </c>
      <c r="D36" s="246">
        <v>17.190000000000001</v>
      </c>
      <c r="E36" s="246">
        <v>1.9</v>
      </c>
      <c r="F36" s="246">
        <v>1.7</v>
      </c>
      <c r="G36" s="246">
        <v>2.1</v>
      </c>
      <c r="H36" s="247">
        <v>1.7</v>
      </c>
      <c r="I36" s="1">
        <f t="shared" si="0"/>
        <v>1.8499999999999999</v>
      </c>
      <c r="J36" s="1">
        <f t="shared" si="1"/>
        <v>10.752100856911065</v>
      </c>
      <c r="K36" s="249"/>
      <c r="L36" s="248"/>
      <c r="M36" s="248"/>
      <c r="N36" s="248"/>
      <c r="O36" s="248"/>
    </row>
    <row r="37" spans="2:15" ht="15" thickBot="1" x14ac:dyDescent="0.35">
      <c r="B37" s="245">
        <v>27</v>
      </c>
      <c r="C37" s="246" t="s">
        <v>87</v>
      </c>
      <c r="D37" s="246">
        <v>20.37</v>
      </c>
      <c r="E37" s="246">
        <v>2.6</v>
      </c>
      <c r="F37" s="246">
        <v>2.5</v>
      </c>
      <c r="G37" s="246">
        <v>2.7</v>
      </c>
      <c r="H37" s="247">
        <v>2</v>
      </c>
      <c r="I37" s="1">
        <f t="shared" si="0"/>
        <v>2.4500000000000002</v>
      </c>
      <c r="J37" s="1">
        <f t="shared" si="1"/>
        <v>18.857409903172737</v>
      </c>
      <c r="K37" s="249"/>
      <c r="L37" s="248"/>
      <c r="M37" s="248"/>
      <c r="N37" s="248"/>
      <c r="O37" s="248"/>
    </row>
    <row r="38" spans="2:15" ht="15" thickBot="1" x14ac:dyDescent="0.35">
      <c r="B38" s="245">
        <v>28</v>
      </c>
      <c r="C38" s="246" t="s">
        <v>87</v>
      </c>
      <c r="D38" s="246">
        <v>13.69</v>
      </c>
      <c r="E38" s="246">
        <v>1.4</v>
      </c>
      <c r="F38" s="246">
        <v>1.7</v>
      </c>
      <c r="G38" s="246">
        <v>1.6</v>
      </c>
      <c r="H38" s="247">
        <v>1.9</v>
      </c>
      <c r="I38" s="1">
        <f t="shared" si="0"/>
        <v>1.65</v>
      </c>
      <c r="J38" s="1">
        <f t="shared" si="1"/>
        <v>8.55298599939821</v>
      </c>
      <c r="K38" s="249"/>
      <c r="L38" s="248"/>
      <c r="M38" s="248"/>
      <c r="N38" s="248"/>
      <c r="O38" s="248"/>
    </row>
    <row r="39" spans="2:15" ht="15" thickBot="1" x14ac:dyDescent="0.35">
      <c r="B39" s="245">
        <v>29</v>
      </c>
      <c r="C39" s="246" t="s">
        <v>87</v>
      </c>
      <c r="D39" s="246">
        <v>48.06</v>
      </c>
      <c r="E39" s="246">
        <v>5.3</v>
      </c>
      <c r="F39" s="246">
        <v>6.1</v>
      </c>
      <c r="G39" s="246">
        <v>5.8</v>
      </c>
      <c r="H39" s="247">
        <v>4.5999999999999996</v>
      </c>
      <c r="I39" s="1">
        <f t="shared" si="0"/>
        <v>5.4499999999999993</v>
      </c>
      <c r="J39" s="1">
        <f t="shared" si="1"/>
        <v>93.313155793250814</v>
      </c>
      <c r="K39" s="249"/>
      <c r="L39" s="248"/>
      <c r="M39" s="248"/>
      <c r="N39" s="248"/>
      <c r="O39" s="248"/>
    </row>
    <row r="40" spans="2:15" ht="15" thickBot="1" x14ac:dyDescent="0.35">
      <c r="B40" s="245">
        <v>30</v>
      </c>
      <c r="C40" s="246" t="s">
        <v>87</v>
      </c>
      <c r="D40" s="246">
        <v>18.46</v>
      </c>
      <c r="E40" s="246">
        <v>2.1</v>
      </c>
      <c r="F40" s="246">
        <v>2.2999999999999998</v>
      </c>
      <c r="G40" s="246">
        <v>2</v>
      </c>
      <c r="H40" s="247">
        <v>2.4</v>
      </c>
      <c r="I40" s="1">
        <f t="shared" si="0"/>
        <v>2.2000000000000002</v>
      </c>
      <c r="J40" s="1">
        <f t="shared" si="1"/>
        <v>15.205308443374602</v>
      </c>
      <c r="K40" s="249"/>
      <c r="L40" s="248"/>
      <c r="M40" s="248"/>
      <c r="N40" s="248"/>
      <c r="O40" s="248"/>
    </row>
    <row r="41" spans="2:15" ht="15" thickBot="1" x14ac:dyDescent="0.35">
      <c r="B41" s="245">
        <v>31</v>
      </c>
      <c r="C41" s="246" t="s">
        <v>87</v>
      </c>
      <c r="D41" s="246">
        <v>21.96</v>
      </c>
      <c r="E41" s="246">
        <v>2.2000000000000002</v>
      </c>
      <c r="F41" s="246">
        <v>2.7</v>
      </c>
      <c r="G41" s="246">
        <v>2.2000000000000002</v>
      </c>
      <c r="H41" s="247">
        <v>2.4</v>
      </c>
      <c r="I41" s="1">
        <f t="shared" si="0"/>
        <v>2.375</v>
      </c>
      <c r="J41" s="1">
        <f t="shared" si="1"/>
        <v>17.720546061654925</v>
      </c>
      <c r="K41" s="249"/>
      <c r="L41" s="248"/>
      <c r="M41" s="248"/>
      <c r="N41" s="248"/>
      <c r="O41" s="248"/>
    </row>
  </sheetData>
  <mergeCells count="7">
    <mergeCell ref="L21:O41"/>
    <mergeCell ref="B8:H8"/>
    <mergeCell ref="B9:B10"/>
    <mergeCell ref="C9:C10"/>
    <mergeCell ref="D9:D10"/>
    <mergeCell ref="E9:H9"/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ficha de campo</vt:lpstr>
      <vt:lpstr>322</vt:lpstr>
      <vt:lpstr>322_K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2021-03-03T15:02:35Z</cp:lastPrinted>
  <dcterms:created xsi:type="dcterms:W3CDTF">2021-03-03T15:01:09Z</dcterms:created>
  <dcterms:modified xsi:type="dcterms:W3CDTF">2023-03-17T21:57:00Z</dcterms:modified>
</cp:coreProperties>
</file>