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 activeTab="1"/>
  </bookViews>
  <sheets>
    <sheet name="123_plotEc_dist_diametros" sheetId="2" r:id="rId1"/>
    <sheet name="123_plotEc" sheetId="1" r:id="rId2"/>
    <sheet name="123_plotSb" sheetId="3" r:id="rId3"/>
    <sheet name="123_plotPb" sheetId="4" r:id="rId4"/>
  </sheets>
  <definedNames>
    <definedName name="_xlnm._FilterDatabase" localSheetId="0" hidden="1">'123_plotEc_dist_diametros'!$B$14:$F$89</definedName>
    <definedName name="_Toc145622164" localSheetId="1">'123_plotEc'!$AQ$10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O96" i="1" l="1"/>
  <c r="O97" i="1"/>
  <c r="O98" i="1"/>
  <c r="O99" i="1"/>
  <c r="O100" i="1"/>
  <c r="O101" i="1"/>
  <c r="N96" i="1"/>
  <c r="N97" i="1"/>
  <c r="N98" i="1"/>
  <c r="N99" i="1"/>
  <c r="N100" i="1"/>
  <c r="N101" i="1"/>
  <c r="F7" i="4" l="1"/>
  <c r="E7" i="4"/>
  <c r="I12" i="4"/>
  <c r="E4" i="4" s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B9" i="4"/>
  <c r="B7" i="4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/>
  <c r="W19" i="3"/>
  <c r="X19" i="3" s="1"/>
  <c r="W20" i="3"/>
  <c r="X20" i="3" s="1"/>
  <c r="W21" i="3"/>
  <c r="X21" i="3" s="1"/>
  <c r="W22" i="3"/>
  <c r="X22" i="3"/>
  <c r="W23" i="3"/>
  <c r="X23" i="3" s="1"/>
  <c r="W24" i="3"/>
  <c r="X24" i="3" s="1"/>
  <c r="W25" i="3"/>
  <c r="X25" i="3" s="1"/>
  <c r="W26" i="3"/>
  <c r="X26" i="3"/>
  <c r="W27" i="3"/>
  <c r="X27" i="3" s="1"/>
  <c r="W28" i="3"/>
  <c r="X28" i="3" s="1"/>
  <c r="W29" i="3"/>
  <c r="X29" i="3" s="1"/>
  <c r="W30" i="3"/>
  <c r="X30" i="3"/>
  <c r="W31" i="3"/>
  <c r="X31" i="3" s="1"/>
  <c r="W32" i="3"/>
  <c r="X32" i="3" s="1"/>
  <c r="W33" i="3"/>
  <c r="X33" i="3" s="1"/>
  <c r="W34" i="3"/>
  <c r="X34" i="3"/>
  <c r="W35" i="3"/>
  <c r="X35" i="3" s="1"/>
  <c r="W36" i="3"/>
  <c r="X36" i="3" s="1"/>
  <c r="W37" i="3"/>
  <c r="X37" i="3" s="1"/>
  <c r="W38" i="3"/>
  <c r="X38" i="3"/>
  <c r="W39" i="3"/>
  <c r="X39" i="3" s="1"/>
  <c r="W40" i="3"/>
  <c r="X40" i="3" s="1"/>
  <c r="W41" i="3"/>
  <c r="X41" i="3" s="1"/>
  <c r="W42" i="3"/>
  <c r="X42" i="3" s="1"/>
  <c r="W43" i="3"/>
  <c r="X43" i="3" s="1"/>
  <c r="W44" i="3"/>
  <c r="X44" i="3" s="1"/>
  <c r="W45" i="3"/>
  <c r="X45" i="3" s="1"/>
  <c r="W46" i="3"/>
  <c r="X46" i="3"/>
  <c r="W47" i="3"/>
  <c r="X47" i="3" s="1"/>
  <c r="W48" i="3"/>
  <c r="X48" i="3" s="1"/>
  <c r="W49" i="3"/>
  <c r="X49" i="3" s="1"/>
  <c r="W50" i="3"/>
  <c r="X50" i="3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10" i="3"/>
  <c r="Z2" i="3" s="1"/>
  <c r="T5" i="3"/>
  <c r="T7" i="3" s="1"/>
  <c r="K5" i="3"/>
  <c r="K7" i="3" s="1"/>
  <c r="Z4" i="3" l="1"/>
  <c r="Z6" i="3" s="1"/>
  <c r="X10" i="3"/>
  <c r="W2" i="3"/>
  <c r="W4" i="3"/>
  <c r="W6" i="3" s="1"/>
  <c r="W7" i="3" l="1"/>
  <c r="X4" i="3"/>
  <c r="X6" i="3" s="1"/>
  <c r="AA4" i="3"/>
  <c r="AA6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10" i="3"/>
  <c r="O10" i="3" s="1"/>
  <c r="O4" i="3" l="1"/>
  <c r="O6" i="3" s="1"/>
  <c r="N2" i="3"/>
  <c r="N4" i="3"/>
  <c r="N6" i="3" s="1"/>
  <c r="R8" i="1"/>
  <c r="N7" i="3" l="1"/>
  <c r="E6" i="2" l="1"/>
  <c r="G96" i="1" l="1"/>
  <c r="G97" i="1"/>
  <c r="G98" i="1"/>
  <c r="G99" i="1"/>
  <c r="G100" i="1"/>
  <c r="G101" i="1"/>
  <c r="B7" i="2" l="1"/>
  <c r="C7" i="2" s="1"/>
  <c r="E7" i="2" l="1"/>
  <c r="B8" i="2"/>
  <c r="M23" i="1"/>
  <c r="M26" i="1"/>
  <c r="M29" i="1"/>
  <c r="M31" i="1"/>
  <c r="M34" i="1"/>
  <c r="M35" i="1"/>
  <c r="M36" i="1"/>
  <c r="M39" i="1"/>
  <c r="M46" i="1"/>
  <c r="M51" i="1"/>
  <c r="M64" i="1"/>
  <c r="M73" i="1"/>
  <c r="M76" i="1"/>
  <c r="M84" i="1"/>
  <c r="M92" i="1"/>
  <c r="M94" i="1"/>
  <c r="M95" i="1"/>
  <c r="J28" i="1"/>
  <c r="J36" i="1"/>
  <c r="J44" i="1"/>
  <c r="J52" i="1"/>
  <c r="J60" i="1"/>
  <c r="J68" i="1"/>
  <c r="J76" i="1"/>
  <c r="J84" i="1"/>
  <c r="J92" i="1"/>
  <c r="C13" i="1"/>
  <c r="K22" i="1" s="1"/>
  <c r="G7" i="1"/>
  <c r="H24" i="1"/>
  <c r="H25" i="1"/>
  <c r="H28" i="1"/>
  <c r="H29" i="1"/>
  <c r="H32" i="1"/>
  <c r="H33" i="1"/>
  <c r="H36" i="1"/>
  <c r="H37" i="1"/>
  <c r="H40" i="1"/>
  <c r="H41" i="1"/>
  <c r="H44" i="1"/>
  <c r="H45" i="1"/>
  <c r="H48" i="1"/>
  <c r="H49" i="1"/>
  <c r="H52" i="1"/>
  <c r="H53" i="1"/>
  <c r="H56" i="1"/>
  <c r="H57" i="1"/>
  <c r="H60" i="1"/>
  <c r="H61" i="1"/>
  <c r="H64" i="1"/>
  <c r="H65" i="1"/>
  <c r="H68" i="1"/>
  <c r="H69" i="1"/>
  <c r="H72" i="1"/>
  <c r="H73" i="1"/>
  <c r="H76" i="1"/>
  <c r="H77" i="1"/>
  <c r="H80" i="1"/>
  <c r="H81" i="1"/>
  <c r="H84" i="1"/>
  <c r="H85" i="1"/>
  <c r="H88" i="1"/>
  <c r="H89" i="1"/>
  <c r="H92" i="1"/>
  <c r="H93" i="1"/>
  <c r="G4" i="1"/>
  <c r="G23" i="1"/>
  <c r="G24" i="1"/>
  <c r="G25" i="1"/>
  <c r="G26" i="1"/>
  <c r="G9" i="1" s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22" i="1"/>
  <c r="G8" i="1" s="1"/>
  <c r="F22" i="1"/>
  <c r="H22" i="1" s="1"/>
  <c r="F23" i="1"/>
  <c r="F24" i="1"/>
  <c r="F25" i="1"/>
  <c r="F26" i="1"/>
  <c r="H26" i="1" s="1"/>
  <c r="F27" i="1"/>
  <c r="F28" i="1"/>
  <c r="F29" i="1"/>
  <c r="F30" i="1"/>
  <c r="F31" i="1"/>
  <c r="H31" i="1" s="1"/>
  <c r="F32" i="1"/>
  <c r="F33" i="1"/>
  <c r="F34" i="1"/>
  <c r="H34" i="1" s="1"/>
  <c r="F35" i="1"/>
  <c r="F36" i="1"/>
  <c r="F37" i="1"/>
  <c r="F38" i="1"/>
  <c r="F39" i="1"/>
  <c r="F40" i="1"/>
  <c r="F41" i="1"/>
  <c r="F42" i="1"/>
  <c r="H42" i="1" s="1"/>
  <c r="F43" i="1"/>
  <c r="F44" i="1"/>
  <c r="F45" i="1"/>
  <c r="F46" i="1"/>
  <c r="H46" i="1" s="1"/>
  <c r="F47" i="1"/>
  <c r="F48" i="1"/>
  <c r="F49" i="1"/>
  <c r="F50" i="1"/>
  <c r="H50" i="1" s="1"/>
  <c r="F51" i="1"/>
  <c r="F52" i="1"/>
  <c r="F53" i="1"/>
  <c r="F54" i="1"/>
  <c r="F55" i="1"/>
  <c r="H55" i="1" s="1"/>
  <c r="F56" i="1"/>
  <c r="F57" i="1"/>
  <c r="F58" i="1"/>
  <c r="H58" i="1" s="1"/>
  <c r="F59" i="1"/>
  <c r="F60" i="1"/>
  <c r="F61" i="1"/>
  <c r="F62" i="1"/>
  <c r="H62" i="1" s="1"/>
  <c r="F63" i="1"/>
  <c r="H63" i="1" s="1"/>
  <c r="F64" i="1"/>
  <c r="F65" i="1"/>
  <c r="F66" i="1"/>
  <c r="H66" i="1" s="1"/>
  <c r="F67" i="1"/>
  <c r="F68" i="1"/>
  <c r="F69" i="1"/>
  <c r="F70" i="1"/>
  <c r="F71" i="1"/>
  <c r="F72" i="1"/>
  <c r="F73" i="1"/>
  <c r="F74" i="1"/>
  <c r="H74" i="1" s="1"/>
  <c r="F75" i="1"/>
  <c r="F76" i="1"/>
  <c r="F77" i="1"/>
  <c r="F78" i="1"/>
  <c r="H78" i="1" s="1"/>
  <c r="F79" i="1"/>
  <c r="H79" i="1" s="1"/>
  <c r="F80" i="1"/>
  <c r="F81" i="1"/>
  <c r="F82" i="1"/>
  <c r="H82" i="1" s="1"/>
  <c r="F83" i="1"/>
  <c r="F84" i="1"/>
  <c r="F85" i="1"/>
  <c r="F86" i="1"/>
  <c r="F87" i="1"/>
  <c r="F88" i="1"/>
  <c r="F89" i="1"/>
  <c r="F90" i="1"/>
  <c r="H90" i="1" s="1"/>
  <c r="F91" i="1"/>
  <c r="F92" i="1"/>
  <c r="F93" i="1"/>
  <c r="F94" i="1"/>
  <c r="H94" i="1" s="1"/>
  <c r="F95" i="1"/>
  <c r="K93" i="1" l="1"/>
  <c r="K77" i="1"/>
  <c r="K61" i="1"/>
  <c r="K45" i="1"/>
  <c r="AE29" i="1"/>
  <c r="AD29" i="1"/>
  <c r="AC29" i="1"/>
  <c r="AB29" i="1"/>
  <c r="AF29" i="1" s="1"/>
  <c r="AG29" i="1" s="1"/>
  <c r="AH29" i="1" s="1"/>
  <c r="W29" i="1"/>
  <c r="X29" i="1" s="1"/>
  <c r="N29" i="1"/>
  <c r="O29" i="1"/>
  <c r="AE92" i="1"/>
  <c r="AD92" i="1"/>
  <c r="AC92" i="1"/>
  <c r="AB92" i="1"/>
  <c r="W92" i="1"/>
  <c r="X92" i="1" s="1"/>
  <c r="O92" i="1"/>
  <c r="N92" i="1"/>
  <c r="AE84" i="1"/>
  <c r="AD84" i="1"/>
  <c r="AC84" i="1"/>
  <c r="AB84" i="1"/>
  <c r="W84" i="1"/>
  <c r="X84" i="1" s="1"/>
  <c r="O84" i="1"/>
  <c r="N84" i="1"/>
  <c r="AE76" i="1"/>
  <c r="AB76" i="1"/>
  <c r="AD76" i="1"/>
  <c r="AC76" i="1"/>
  <c r="W76" i="1"/>
  <c r="X76" i="1" s="1"/>
  <c r="O76" i="1"/>
  <c r="N76" i="1"/>
  <c r="AE36" i="1"/>
  <c r="AD36" i="1"/>
  <c r="AB36" i="1"/>
  <c r="AC36" i="1"/>
  <c r="W36" i="1"/>
  <c r="X36" i="1" s="1"/>
  <c r="O36" i="1"/>
  <c r="N36" i="1"/>
  <c r="J89" i="1"/>
  <c r="J81" i="1"/>
  <c r="J73" i="1"/>
  <c r="J65" i="1"/>
  <c r="J57" i="1"/>
  <c r="J49" i="1"/>
  <c r="J41" i="1"/>
  <c r="J33" i="1"/>
  <c r="J25" i="1"/>
  <c r="K90" i="1"/>
  <c r="K82" i="1"/>
  <c r="K74" i="1"/>
  <c r="K66" i="1"/>
  <c r="K58" i="1"/>
  <c r="K50" i="1"/>
  <c r="K42" i="1"/>
  <c r="K34" i="1"/>
  <c r="K26" i="1"/>
  <c r="AB23" i="1"/>
  <c r="AE23" i="1"/>
  <c r="AD23" i="1"/>
  <c r="AC23" i="1"/>
  <c r="W23" i="1"/>
  <c r="O23" i="1"/>
  <c r="N23" i="1"/>
  <c r="J80" i="1"/>
  <c r="J56" i="1"/>
  <c r="J40" i="1"/>
  <c r="K89" i="1"/>
  <c r="K73" i="1"/>
  <c r="K57" i="1"/>
  <c r="K41" i="1"/>
  <c r="K25" i="1"/>
  <c r="J95" i="1"/>
  <c r="J87" i="1"/>
  <c r="J79" i="1"/>
  <c r="J71" i="1"/>
  <c r="J63" i="1"/>
  <c r="J55" i="1"/>
  <c r="J47" i="1"/>
  <c r="J39" i="1"/>
  <c r="J31" i="1"/>
  <c r="J23" i="1"/>
  <c r="K88" i="1"/>
  <c r="K80" i="1"/>
  <c r="K72" i="1"/>
  <c r="K64" i="1"/>
  <c r="K56" i="1"/>
  <c r="K48" i="1"/>
  <c r="K40" i="1"/>
  <c r="K32" i="1"/>
  <c r="K24" i="1"/>
  <c r="AB95" i="1"/>
  <c r="AE95" i="1"/>
  <c r="AD95" i="1"/>
  <c r="AC95" i="1"/>
  <c r="W95" i="1"/>
  <c r="X95" i="1" s="1"/>
  <c r="N95" i="1"/>
  <c r="O95" i="1"/>
  <c r="AB39" i="1"/>
  <c r="AE39" i="1"/>
  <c r="AD39" i="1"/>
  <c r="AC39" i="1"/>
  <c r="W39" i="1"/>
  <c r="X39" i="1" s="1"/>
  <c r="N39" i="1"/>
  <c r="O39" i="1"/>
  <c r="J72" i="1"/>
  <c r="J24" i="1"/>
  <c r="AD26" i="1"/>
  <c r="AB26" i="1"/>
  <c r="AC26" i="1"/>
  <c r="AE26" i="1"/>
  <c r="W26" i="1"/>
  <c r="X26" i="1" s="1"/>
  <c r="N26" i="1"/>
  <c r="O26" i="1"/>
  <c r="AC73" i="1"/>
  <c r="AB73" i="1"/>
  <c r="AD73" i="1"/>
  <c r="AE73" i="1"/>
  <c r="W73" i="1"/>
  <c r="X73" i="1" s="1"/>
  <c r="N73" i="1"/>
  <c r="O73" i="1"/>
  <c r="H95" i="1"/>
  <c r="H87" i="1"/>
  <c r="H71" i="1"/>
  <c r="H47" i="1"/>
  <c r="H39" i="1"/>
  <c r="H23" i="1"/>
  <c r="J94" i="1"/>
  <c r="J86" i="1"/>
  <c r="J78" i="1"/>
  <c r="J70" i="1"/>
  <c r="J62" i="1"/>
  <c r="J54" i="1"/>
  <c r="J46" i="1"/>
  <c r="J38" i="1"/>
  <c r="J30" i="1"/>
  <c r="K95" i="1"/>
  <c r="K87" i="1"/>
  <c r="K79" i="1"/>
  <c r="K71" i="1"/>
  <c r="K63" i="1"/>
  <c r="K55" i="1"/>
  <c r="K47" i="1"/>
  <c r="K39" i="1"/>
  <c r="K31" i="1"/>
  <c r="K23" i="1"/>
  <c r="AD51" i="1"/>
  <c r="AC51" i="1"/>
  <c r="AE51" i="1"/>
  <c r="AB51" i="1"/>
  <c r="W51" i="1"/>
  <c r="X51" i="1" s="1"/>
  <c r="N51" i="1"/>
  <c r="O51" i="1"/>
  <c r="AD35" i="1"/>
  <c r="AC35" i="1"/>
  <c r="AE35" i="1"/>
  <c r="AB35" i="1"/>
  <c r="AF35" i="1" s="1"/>
  <c r="AG35" i="1" s="1"/>
  <c r="AH35" i="1" s="1"/>
  <c r="W35" i="1"/>
  <c r="X35" i="1" s="1"/>
  <c r="O35" i="1"/>
  <c r="N35" i="1"/>
  <c r="J88" i="1"/>
  <c r="J64" i="1"/>
  <c r="J48" i="1"/>
  <c r="J32" i="1"/>
  <c r="K81" i="1"/>
  <c r="K65" i="1"/>
  <c r="K49" i="1"/>
  <c r="K33" i="1"/>
  <c r="AD34" i="1"/>
  <c r="AC34" i="1"/>
  <c r="AB34" i="1"/>
  <c r="AF34" i="1" s="1"/>
  <c r="AG34" i="1" s="1"/>
  <c r="AH34" i="1" s="1"/>
  <c r="AE34" i="1"/>
  <c r="W34" i="1"/>
  <c r="X34" i="1" s="1"/>
  <c r="N34" i="1"/>
  <c r="O34" i="1"/>
  <c r="H9" i="1"/>
  <c r="AC64" i="1"/>
  <c r="AE64" i="1"/>
  <c r="AB64" i="1"/>
  <c r="AF64" i="1" s="1"/>
  <c r="AG64" i="1" s="1"/>
  <c r="AH64" i="1" s="1"/>
  <c r="AD64" i="1"/>
  <c r="W64" i="1"/>
  <c r="X64" i="1" s="1"/>
  <c r="N64" i="1"/>
  <c r="O64" i="1"/>
  <c r="H86" i="1"/>
  <c r="H70" i="1"/>
  <c r="H54" i="1"/>
  <c r="H38" i="1"/>
  <c r="H30" i="1"/>
  <c r="J93" i="1"/>
  <c r="J85" i="1"/>
  <c r="J77" i="1"/>
  <c r="J69" i="1"/>
  <c r="J61" i="1"/>
  <c r="J53" i="1"/>
  <c r="J45" i="1"/>
  <c r="J37" i="1"/>
  <c r="J29" i="1"/>
  <c r="K94" i="1"/>
  <c r="K86" i="1"/>
  <c r="K78" i="1"/>
  <c r="K70" i="1"/>
  <c r="K62" i="1"/>
  <c r="K54" i="1"/>
  <c r="K46" i="1"/>
  <c r="K38" i="1"/>
  <c r="K30" i="1"/>
  <c r="J22" i="1"/>
  <c r="AB31" i="1"/>
  <c r="AE31" i="1"/>
  <c r="AD31" i="1"/>
  <c r="AC31" i="1"/>
  <c r="W31" i="1"/>
  <c r="X31" i="1" s="1"/>
  <c r="O31" i="1"/>
  <c r="N31" i="1"/>
  <c r="K85" i="1"/>
  <c r="K69" i="1"/>
  <c r="K53" i="1"/>
  <c r="K37" i="1"/>
  <c r="K29" i="1"/>
  <c r="AE94" i="1"/>
  <c r="AD94" i="1"/>
  <c r="AC94" i="1"/>
  <c r="AB94" i="1"/>
  <c r="W94" i="1"/>
  <c r="X94" i="1" s="1"/>
  <c r="N94" i="1"/>
  <c r="O94" i="1"/>
  <c r="AE46" i="1"/>
  <c r="AD46" i="1"/>
  <c r="AC46" i="1"/>
  <c r="AB46" i="1"/>
  <c r="W46" i="1"/>
  <c r="X46" i="1" s="1"/>
  <c r="N46" i="1"/>
  <c r="O46" i="1"/>
  <c r="J91" i="1"/>
  <c r="J83" i="1"/>
  <c r="J75" i="1"/>
  <c r="J67" i="1"/>
  <c r="J59" i="1"/>
  <c r="J51" i="1"/>
  <c r="J43" i="1"/>
  <c r="J35" i="1"/>
  <c r="J27" i="1"/>
  <c r="K92" i="1"/>
  <c r="K84" i="1"/>
  <c r="K76" i="1"/>
  <c r="K68" i="1"/>
  <c r="K60" i="1"/>
  <c r="K52" i="1"/>
  <c r="K44" i="1"/>
  <c r="K36" i="1"/>
  <c r="K28" i="1"/>
  <c r="H91" i="1"/>
  <c r="H83" i="1"/>
  <c r="H75" i="1"/>
  <c r="H67" i="1"/>
  <c r="H59" i="1"/>
  <c r="H51" i="1"/>
  <c r="H43" i="1"/>
  <c r="H35" i="1"/>
  <c r="H27" i="1"/>
  <c r="G10" i="1" s="1"/>
  <c r="G12" i="1"/>
  <c r="J90" i="1"/>
  <c r="J82" i="1"/>
  <c r="J74" i="1"/>
  <c r="J66" i="1"/>
  <c r="J58" i="1"/>
  <c r="J50" i="1"/>
  <c r="J42" i="1"/>
  <c r="J34" i="1"/>
  <c r="J26" i="1"/>
  <c r="K91" i="1"/>
  <c r="K83" i="1"/>
  <c r="K75" i="1"/>
  <c r="K67" i="1"/>
  <c r="K59" i="1"/>
  <c r="K51" i="1"/>
  <c r="K43" i="1"/>
  <c r="K35" i="1"/>
  <c r="K27" i="1"/>
  <c r="L10" i="1"/>
  <c r="E45" i="2"/>
  <c r="E33" i="2"/>
  <c r="C8" i="2"/>
  <c r="B9" i="2" s="1"/>
  <c r="H8" i="1"/>
  <c r="H7" i="1"/>
  <c r="H10" i="1" l="1"/>
  <c r="G11" i="1"/>
  <c r="P31" i="1"/>
  <c r="S31" i="1" s="1"/>
  <c r="R31" i="1"/>
  <c r="Q31" i="1"/>
  <c r="T31" i="1" s="1"/>
  <c r="AF46" i="1"/>
  <c r="AG46" i="1" s="1"/>
  <c r="AH46" i="1" s="1"/>
  <c r="Y31" i="1"/>
  <c r="P35" i="1"/>
  <c r="S35" i="1" s="1"/>
  <c r="Q35" i="1"/>
  <c r="T35" i="1" s="1"/>
  <c r="R35" i="1"/>
  <c r="AF76" i="1"/>
  <c r="AG76" i="1" s="1"/>
  <c r="AH76" i="1" s="1"/>
  <c r="AA29" i="1"/>
  <c r="P29" i="1"/>
  <c r="S29" i="1" s="1"/>
  <c r="Q29" i="1"/>
  <c r="R29" i="1"/>
  <c r="L11" i="1"/>
  <c r="L22" i="1" s="1"/>
  <c r="M22" i="1" s="1"/>
  <c r="S13" i="1"/>
  <c r="R11" i="1"/>
  <c r="AF51" i="1"/>
  <c r="AG51" i="1" s="1"/>
  <c r="AH51" i="1" s="1"/>
  <c r="AF73" i="1"/>
  <c r="AG73" i="1" s="1"/>
  <c r="AH73" i="1" s="1"/>
  <c r="AA26" i="1"/>
  <c r="Q26" i="1"/>
  <c r="Y26" i="1" s="1"/>
  <c r="P26" i="1"/>
  <c r="R26" i="1"/>
  <c r="AF95" i="1"/>
  <c r="AF23" i="1"/>
  <c r="AG23" i="1" s="1"/>
  <c r="AH23" i="1" s="1"/>
  <c r="R36" i="1"/>
  <c r="P36" i="1"/>
  <c r="S36" i="1" s="1"/>
  <c r="Q36" i="1"/>
  <c r="AF39" i="1"/>
  <c r="AG39" i="1" s="1"/>
  <c r="AH39" i="1" s="1"/>
  <c r="Y36" i="1"/>
  <c r="AA92" i="1"/>
  <c r="R92" i="1"/>
  <c r="P92" i="1"/>
  <c r="S92" i="1" s="1"/>
  <c r="Q92" i="1"/>
  <c r="T92" i="1" s="1"/>
  <c r="Y29" i="1"/>
  <c r="L9" i="1"/>
  <c r="R95" i="1"/>
  <c r="AA95" i="1" s="1"/>
  <c r="Q95" i="1"/>
  <c r="T95" i="1" s="1"/>
  <c r="P95" i="1"/>
  <c r="S95" i="1" s="1"/>
  <c r="AA84" i="1"/>
  <c r="P84" i="1"/>
  <c r="S84" i="1" s="1"/>
  <c r="R84" i="1"/>
  <c r="Q84" i="1"/>
  <c r="T84" i="1" s="1"/>
  <c r="Y92" i="1"/>
  <c r="AA94" i="1"/>
  <c r="R94" i="1"/>
  <c r="P94" i="1"/>
  <c r="S94" i="1" s="1"/>
  <c r="Q94" i="1"/>
  <c r="T94" i="1" s="1"/>
  <c r="P34" i="1"/>
  <c r="S34" i="1" s="1"/>
  <c r="Q34" i="1"/>
  <c r="T34" i="1" s="1"/>
  <c r="R34" i="1"/>
  <c r="AA34" i="1" s="1"/>
  <c r="AF31" i="1"/>
  <c r="AG31" i="1" s="1"/>
  <c r="AH31" i="1" s="1"/>
  <c r="AA73" i="1"/>
  <c r="P73" i="1"/>
  <c r="S73" i="1" s="1"/>
  <c r="Q73" i="1"/>
  <c r="R73" i="1"/>
  <c r="V73" i="1"/>
  <c r="AA39" i="1"/>
  <c r="R39" i="1"/>
  <c r="P39" i="1"/>
  <c r="S39" i="1" s="1"/>
  <c r="Q39" i="1"/>
  <c r="T39" i="1" s="1"/>
  <c r="AA23" i="1"/>
  <c r="R23" i="1"/>
  <c r="Q23" i="1"/>
  <c r="P23" i="1"/>
  <c r="S23" i="1" s="1"/>
  <c r="AF36" i="1"/>
  <c r="AG36" i="1" s="1"/>
  <c r="AH36" i="1" s="1"/>
  <c r="P76" i="1"/>
  <c r="S76" i="1" s="1"/>
  <c r="Q76" i="1"/>
  <c r="T76" i="1" s="1"/>
  <c r="R76" i="1"/>
  <c r="AF92" i="1"/>
  <c r="R46" i="1"/>
  <c r="AA46" i="1" s="1"/>
  <c r="P46" i="1"/>
  <c r="S46" i="1" s="1"/>
  <c r="Q46" i="1"/>
  <c r="Y46" i="1" s="1"/>
  <c r="AF94" i="1"/>
  <c r="Y95" i="1"/>
  <c r="Y76" i="1"/>
  <c r="AF84" i="1"/>
  <c r="AG84" i="1" s="1"/>
  <c r="AH84" i="1" s="1"/>
  <c r="Q64" i="1"/>
  <c r="P64" i="1"/>
  <c r="S64" i="1" s="1"/>
  <c r="R64" i="1"/>
  <c r="V64" i="1" s="1"/>
  <c r="AA51" i="1"/>
  <c r="Q51" i="1"/>
  <c r="T51" i="1" s="1"/>
  <c r="P51" i="1"/>
  <c r="S51" i="1" s="1"/>
  <c r="R51" i="1"/>
  <c r="Y73" i="1"/>
  <c r="AF26" i="1"/>
  <c r="AG26" i="1" s="1"/>
  <c r="AH26" i="1" s="1"/>
  <c r="Y39" i="1"/>
  <c r="E8" i="2"/>
  <c r="C9" i="2"/>
  <c r="B10" i="2" s="1"/>
  <c r="L92" i="1"/>
  <c r="L50" i="1"/>
  <c r="M50" i="1" s="1"/>
  <c r="L94" i="1"/>
  <c r="L30" i="1"/>
  <c r="M30" i="1" s="1"/>
  <c r="L82" i="1"/>
  <c r="M82" i="1" s="1"/>
  <c r="L59" i="1"/>
  <c r="M59" i="1" s="1"/>
  <c r="L80" i="1"/>
  <c r="M80" i="1" s="1"/>
  <c r="L64" i="1"/>
  <c r="L91" i="1"/>
  <c r="M91" i="1" s="1"/>
  <c r="L27" i="1"/>
  <c r="M27" i="1" s="1"/>
  <c r="L63" i="1"/>
  <c r="M63" i="1" s="1"/>
  <c r="L29" i="1"/>
  <c r="L34" i="1"/>
  <c r="L68" i="1"/>
  <c r="M68" i="1" s="1"/>
  <c r="L75" i="1"/>
  <c r="M75" i="1" s="1"/>
  <c r="L47" i="1"/>
  <c r="M47" i="1" s="1"/>
  <c r="L74" i="1"/>
  <c r="M74" i="1" s="1"/>
  <c r="L53" i="1"/>
  <c r="M53" i="1" s="1"/>
  <c r="L49" i="1"/>
  <c r="M49" i="1" s="1"/>
  <c r="L83" i="1"/>
  <c r="M83" i="1" s="1"/>
  <c r="L89" i="1"/>
  <c r="M89" i="1" s="1"/>
  <c r="L32" i="1"/>
  <c r="M32" i="1" s="1"/>
  <c r="L77" i="1"/>
  <c r="M77" i="1" s="1"/>
  <c r="L67" i="1"/>
  <c r="M67" i="1" s="1"/>
  <c r="L88" i="1"/>
  <c r="M88" i="1" s="1"/>
  <c r="L65" i="1"/>
  <c r="M65" i="1" s="1"/>
  <c r="L95" i="1"/>
  <c r="L66" i="1"/>
  <c r="M66" i="1" s="1"/>
  <c r="L23" i="1"/>
  <c r="L73" i="1"/>
  <c r="L61" i="1"/>
  <c r="M61" i="1" s="1"/>
  <c r="L46" i="1"/>
  <c r="L25" i="1"/>
  <c r="M25" i="1" s="1"/>
  <c r="N22" i="1" l="1"/>
  <c r="AC22" i="1"/>
  <c r="AE22" i="1"/>
  <c r="AB22" i="1"/>
  <c r="AD22" i="1"/>
  <c r="O22" i="1"/>
  <c r="W22" i="1"/>
  <c r="AB91" i="1"/>
  <c r="W91" i="1"/>
  <c r="X91" i="1" s="1"/>
  <c r="O91" i="1"/>
  <c r="N91" i="1"/>
  <c r="AD91" i="1"/>
  <c r="AC91" i="1"/>
  <c r="AE91" i="1"/>
  <c r="O59" i="1"/>
  <c r="AD59" i="1"/>
  <c r="AC59" i="1"/>
  <c r="AE59" i="1"/>
  <c r="AB59" i="1"/>
  <c r="AF59" i="1" s="1"/>
  <c r="AG59" i="1" s="1"/>
  <c r="AH59" i="1" s="1"/>
  <c r="W59" i="1"/>
  <c r="X59" i="1" s="1"/>
  <c r="N59" i="1"/>
  <c r="V26" i="1"/>
  <c r="Z26" i="1"/>
  <c r="U26" i="1"/>
  <c r="L57" i="1"/>
  <c r="M57" i="1" s="1"/>
  <c r="L54" i="1"/>
  <c r="M54" i="1" s="1"/>
  <c r="L60" i="1"/>
  <c r="M60" i="1" s="1"/>
  <c r="L76" i="1"/>
  <c r="L26" i="1"/>
  <c r="L93" i="1"/>
  <c r="M93" i="1" s="1"/>
  <c r="L84" i="1"/>
  <c r="L69" i="1"/>
  <c r="M69" i="1" s="1"/>
  <c r="L71" i="1"/>
  <c r="M71" i="1" s="1"/>
  <c r="X23" i="1"/>
  <c r="Y23" i="1" s="1"/>
  <c r="AH92" i="1"/>
  <c r="AG92" i="1"/>
  <c r="T23" i="1"/>
  <c r="U73" i="1"/>
  <c r="Z73" i="1"/>
  <c r="V84" i="1"/>
  <c r="Z84" i="1"/>
  <c r="U84" i="1"/>
  <c r="T26" i="1"/>
  <c r="S26" i="1"/>
  <c r="Y51" i="1"/>
  <c r="AB89" i="1"/>
  <c r="AE89" i="1"/>
  <c r="W89" i="1"/>
  <c r="X89" i="1" s="1"/>
  <c r="N89" i="1"/>
  <c r="O89" i="1"/>
  <c r="AC89" i="1"/>
  <c r="AD89" i="1"/>
  <c r="AB66" i="1"/>
  <c r="AC66" i="1"/>
  <c r="AE66" i="1"/>
  <c r="W66" i="1"/>
  <c r="X66" i="1" s="1"/>
  <c r="O66" i="1"/>
  <c r="N66" i="1"/>
  <c r="AD66" i="1"/>
  <c r="W61" i="1"/>
  <c r="X61" i="1" s="1"/>
  <c r="N61" i="1"/>
  <c r="O61" i="1"/>
  <c r="AE61" i="1"/>
  <c r="AD61" i="1"/>
  <c r="AC61" i="1"/>
  <c r="AB61" i="1"/>
  <c r="AC77" i="1"/>
  <c r="AB77" i="1"/>
  <c r="W77" i="1"/>
  <c r="X77" i="1" s="1"/>
  <c r="N77" i="1"/>
  <c r="O77" i="1"/>
  <c r="AE77" i="1"/>
  <c r="AD77" i="1"/>
  <c r="AC49" i="1"/>
  <c r="AB49" i="1"/>
  <c r="AF49" i="1" s="1"/>
  <c r="AG49" i="1" s="1"/>
  <c r="AH49" i="1" s="1"/>
  <c r="AD49" i="1"/>
  <c r="AE49" i="1"/>
  <c r="W49" i="1"/>
  <c r="X49" i="1" s="1"/>
  <c r="N49" i="1"/>
  <c r="O49" i="1"/>
  <c r="O75" i="1"/>
  <c r="N75" i="1"/>
  <c r="AD75" i="1"/>
  <c r="AC75" i="1"/>
  <c r="AE75" i="1"/>
  <c r="AB75" i="1"/>
  <c r="W75" i="1"/>
  <c r="X75" i="1" s="1"/>
  <c r="L86" i="1"/>
  <c r="M86" i="1" s="1"/>
  <c r="L45" i="1"/>
  <c r="M45" i="1" s="1"/>
  <c r="L39" i="1"/>
  <c r="L56" i="1"/>
  <c r="M56" i="1" s="1"/>
  <c r="U64" i="1"/>
  <c r="Z64" i="1"/>
  <c r="Y84" i="1"/>
  <c r="V23" i="1"/>
  <c r="Z23" i="1"/>
  <c r="U23" i="1"/>
  <c r="T73" i="1"/>
  <c r="R3" i="1"/>
  <c r="R6" i="1" s="1"/>
  <c r="P10" i="1"/>
  <c r="P13" i="1" s="1"/>
  <c r="P14" i="1"/>
  <c r="L12" i="1"/>
  <c r="T36" i="1"/>
  <c r="V35" i="1"/>
  <c r="Z35" i="1"/>
  <c r="U35" i="1"/>
  <c r="AE25" i="1"/>
  <c r="AD25" i="1"/>
  <c r="W25" i="1"/>
  <c r="X25" i="1" s="1"/>
  <c r="N25" i="1"/>
  <c r="O25" i="1"/>
  <c r="AC25" i="1"/>
  <c r="AB25" i="1"/>
  <c r="AB30" i="1"/>
  <c r="AE30" i="1"/>
  <c r="AD30" i="1"/>
  <c r="AC30" i="1"/>
  <c r="W30" i="1"/>
  <c r="X30" i="1" s="1"/>
  <c r="N30" i="1"/>
  <c r="O30" i="1"/>
  <c r="AD63" i="1"/>
  <c r="AC63" i="1"/>
  <c r="W63" i="1"/>
  <c r="X63" i="1" s="1"/>
  <c r="O63" i="1"/>
  <c r="N63" i="1"/>
  <c r="AB63" i="1"/>
  <c r="AE63" i="1"/>
  <c r="Y34" i="1"/>
  <c r="V31" i="1"/>
  <c r="Z31" i="1"/>
  <c r="U31" i="1"/>
  <c r="AD88" i="1"/>
  <c r="W88" i="1"/>
  <c r="X88" i="1" s="1"/>
  <c r="N88" i="1"/>
  <c r="O88" i="1"/>
  <c r="AC88" i="1"/>
  <c r="AE88" i="1"/>
  <c r="AB88" i="1"/>
  <c r="AF88" i="1" s="1"/>
  <c r="O67" i="1"/>
  <c r="N67" i="1"/>
  <c r="AD67" i="1"/>
  <c r="AC67" i="1"/>
  <c r="AB67" i="1"/>
  <c r="AF67" i="1" s="1"/>
  <c r="AG67" i="1" s="1"/>
  <c r="AH67" i="1" s="1"/>
  <c r="AE67" i="1"/>
  <c r="W67" i="1"/>
  <c r="X67" i="1" s="1"/>
  <c r="AE32" i="1"/>
  <c r="AD32" i="1"/>
  <c r="W32" i="1"/>
  <c r="X32" i="1" s="1"/>
  <c r="N32" i="1"/>
  <c r="O32" i="1"/>
  <c r="AC32" i="1"/>
  <c r="AB32" i="1"/>
  <c r="W82" i="1"/>
  <c r="X82" i="1" s="1"/>
  <c r="O82" i="1"/>
  <c r="N82" i="1"/>
  <c r="AD82" i="1"/>
  <c r="AC82" i="1"/>
  <c r="AB82" i="1"/>
  <c r="AE82" i="1"/>
  <c r="L81" i="1"/>
  <c r="M81" i="1" s="1"/>
  <c r="L70" i="1"/>
  <c r="M70" i="1" s="1"/>
  <c r="T64" i="1"/>
  <c r="AH94" i="1"/>
  <c r="AG94" i="1"/>
  <c r="V36" i="1"/>
  <c r="Z36" i="1"/>
  <c r="U36" i="1"/>
  <c r="V29" i="1"/>
  <c r="Z29" i="1"/>
  <c r="U29" i="1"/>
  <c r="AD27" i="1"/>
  <c r="AE27" i="1"/>
  <c r="AC27" i="1"/>
  <c r="AB27" i="1"/>
  <c r="W27" i="1"/>
  <c r="X27" i="1" s="1"/>
  <c r="N27" i="1"/>
  <c r="O27" i="1"/>
  <c r="AD47" i="1"/>
  <c r="AC47" i="1"/>
  <c r="W47" i="1"/>
  <c r="X47" i="1" s="1"/>
  <c r="O47" i="1"/>
  <c r="N47" i="1"/>
  <c r="AB47" i="1"/>
  <c r="AE47" i="1"/>
  <c r="W68" i="1"/>
  <c r="X68" i="1" s="1"/>
  <c r="O68" i="1"/>
  <c r="N68" i="1"/>
  <c r="AE68" i="1"/>
  <c r="AC68" i="1"/>
  <c r="AD68" i="1"/>
  <c r="AB68" i="1"/>
  <c r="AF68" i="1" s="1"/>
  <c r="AG68" i="1" s="1"/>
  <c r="AH68" i="1" s="1"/>
  <c r="V76" i="1"/>
  <c r="Z76" i="1"/>
  <c r="U76" i="1"/>
  <c r="L38" i="1"/>
  <c r="M38" i="1" s="1"/>
  <c r="L52" i="1"/>
  <c r="M52" i="1" s="1"/>
  <c r="L72" i="1"/>
  <c r="M72" i="1" s="1"/>
  <c r="L85" i="1"/>
  <c r="M85" i="1" s="1"/>
  <c r="L48" i="1"/>
  <c r="M48" i="1" s="1"/>
  <c r="L43" i="1"/>
  <c r="M43" i="1" s="1"/>
  <c r="L41" i="1"/>
  <c r="M41" i="1" s="1"/>
  <c r="L58" i="1"/>
  <c r="M58" i="1" s="1"/>
  <c r="L62" i="1"/>
  <c r="M62" i="1" s="1"/>
  <c r="L78" i="1"/>
  <c r="M78" i="1" s="1"/>
  <c r="L51" i="1"/>
  <c r="L55" i="1"/>
  <c r="M55" i="1" s="1"/>
  <c r="L42" i="1"/>
  <c r="M42" i="1" s="1"/>
  <c r="L87" i="1"/>
  <c r="M87" i="1" s="1"/>
  <c r="L90" i="1"/>
  <c r="M90" i="1" s="1"/>
  <c r="L35" i="1"/>
  <c r="V51" i="1"/>
  <c r="Z51" i="1"/>
  <c r="U51" i="1"/>
  <c r="AA64" i="1"/>
  <c r="T46" i="1"/>
  <c r="V94" i="1"/>
  <c r="Z94" i="1"/>
  <c r="U94" i="1"/>
  <c r="AA36" i="1"/>
  <c r="T29" i="1"/>
  <c r="AA35" i="1"/>
  <c r="AA31" i="1"/>
  <c r="AD74" i="1"/>
  <c r="AC74" i="1"/>
  <c r="AB74" i="1"/>
  <c r="AE74" i="1"/>
  <c r="W74" i="1"/>
  <c r="X74" i="1" s="1"/>
  <c r="N74" i="1"/>
  <c r="O74" i="1"/>
  <c r="W83" i="1"/>
  <c r="X83" i="1" s="1"/>
  <c r="N83" i="1"/>
  <c r="O83" i="1"/>
  <c r="AD83" i="1"/>
  <c r="AE83" i="1"/>
  <c r="AC83" i="1"/>
  <c r="AB83" i="1"/>
  <c r="N65" i="1"/>
  <c r="O65" i="1"/>
  <c r="AC65" i="1"/>
  <c r="AB65" i="1"/>
  <c r="AD65" i="1"/>
  <c r="AE65" i="1"/>
  <c r="W65" i="1"/>
  <c r="X65" i="1" s="1"/>
  <c r="N53" i="1"/>
  <c r="O53" i="1"/>
  <c r="AE53" i="1"/>
  <c r="AD53" i="1"/>
  <c r="AC53" i="1"/>
  <c r="AB53" i="1"/>
  <c r="W53" i="1"/>
  <c r="X53" i="1" s="1"/>
  <c r="AB50" i="1"/>
  <c r="AF50" i="1" s="1"/>
  <c r="AG50" i="1" s="1"/>
  <c r="AH50" i="1" s="1"/>
  <c r="AE50" i="1"/>
  <c r="W50" i="1"/>
  <c r="X50" i="1" s="1"/>
  <c r="N50" i="1"/>
  <c r="O50" i="1"/>
  <c r="AD50" i="1"/>
  <c r="AC50" i="1"/>
  <c r="L79" i="1"/>
  <c r="M79" i="1" s="1"/>
  <c r="L36" i="1"/>
  <c r="L24" i="1"/>
  <c r="M24" i="1" s="1"/>
  <c r="L31" i="1"/>
  <c r="L40" i="1"/>
  <c r="M40" i="1" s="1"/>
  <c r="L33" i="1"/>
  <c r="M33" i="1" s="1"/>
  <c r="L44" i="1"/>
  <c r="M44" i="1" s="1"/>
  <c r="L37" i="1"/>
  <c r="M37" i="1" s="1"/>
  <c r="L28" i="1"/>
  <c r="M28" i="1" s="1"/>
  <c r="AA76" i="1"/>
  <c r="V39" i="1"/>
  <c r="Z39" i="1"/>
  <c r="U39" i="1"/>
  <c r="Y94" i="1"/>
  <c r="V92" i="1"/>
  <c r="Z92" i="1"/>
  <c r="U92" i="1"/>
  <c r="Y35" i="1"/>
  <c r="Y64" i="1"/>
  <c r="W80" i="1"/>
  <c r="X80" i="1" s="1"/>
  <c r="N80" i="1"/>
  <c r="O80" i="1"/>
  <c r="AC80" i="1"/>
  <c r="AB80" i="1"/>
  <c r="AE80" i="1"/>
  <c r="AD80" i="1"/>
  <c r="V46" i="1"/>
  <c r="Z46" i="1"/>
  <c r="U46" i="1"/>
  <c r="V34" i="1"/>
  <c r="Z34" i="1"/>
  <c r="U34" i="1"/>
  <c r="V95" i="1"/>
  <c r="Z95" i="1"/>
  <c r="U95" i="1"/>
  <c r="AG95" i="1"/>
  <c r="AH95" i="1"/>
  <c r="E9" i="2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O38" i="1" l="1"/>
  <c r="AB38" i="1"/>
  <c r="AD38" i="1"/>
  <c r="AE38" i="1"/>
  <c r="AC38" i="1"/>
  <c r="W38" i="1"/>
  <c r="X38" i="1" s="1"/>
  <c r="N38" i="1"/>
  <c r="AC56" i="1"/>
  <c r="AB56" i="1"/>
  <c r="AE56" i="1"/>
  <c r="AD56" i="1"/>
  <c r="W56" i="1"/>
  <c r="X56" i="1" s="1"/>
  <c r="N56" i="1"/>
  <c r="O56" i="1"/>
  <c r="W79" i="1"/>
  <c r="X79" i="1" s="1"/>
  <c r="O79" i="1"/>
  <c r="N79" i="1"/>
  <c r="AB79" i="1"/>
  <c r="AF79" i="1" s="1"/>
  <c r="AG79" i="1" s="1"/>
  <c r="AH79" i="1" s="1"/>
  <c r="AE79" i="1"/>
  <c r="AD79" i="1"/>
  <c r="AC79" i="1"/>
  <c r="AD58" i="1"/>
  <c r="AC58" i="1"/>
  <c r="AB58" i="1"/>
  <c r="AE58" i="1"/>
  <c r="W58" i="1"/>
  <c r="X58" i="1" s="1"/>
  <c r="O58" i="1"/>
  <c r="N58" i="1"/>
  <c r="AF61" i="1"/>
  <c r="AG61" i="1" s="1"/>
  <c r="AH61" i="1" s="1"/>
  <c r="AA89" i="1"/>
  <c r="P89" i="1"/>
  <c r="S89" i="1" s="1"/>
  <c r="R89" i="1"/>
  <c r="Q89" i="1"/>
  <c r="T89" i="1" s="1"/>
  <c r="V89" i="1"/>
  <c r="P91" i="1"/>
  <c r="S91" i="1" s="1"/>
  <c r="Q91" i="1"/>
  <c r="T91" i="1" s="1"/>
  <c r="R91" i="1"/>
  <c r="AE44" i="1"/>
  <c r="AC44" i="1"/>
  <c r="AD44" i="1"/>
  <c r="AB44" i="1"/>
  <c r="AF44" i="1" s="1"/>
  <c r="AG44" i="1" s="1"/>
  <c r="AH44" i="1" s="1"/>
  <c r="W44" i="1"/>
  <c r="X44" i="1" s="1"/>
  <c r="O44" i="1"/>
  <c r="N44" i="1"/>
  <c r="AF65" i="1"/>
  <c r="AG65" i="1" s="1"/>
  <c r="AH65" i="1" s="1"/>
  <c r="Q83" i="1"/>
  <c r="P83" i="1"/>
  <c r="S83" i="1" s="1"/>
  <c r="R83" i="1"/>
  <c r="AA83" i="1" s="1"/>
  <c r="AB87" i="1"/>
  <c r="AE87" i="1"/>
  <c r="AD87" i="1"/>
  <c r="AC87" i="1"/>
  <c r="W87" i="1"/>
  <c r="X87" i="1" s="1"/>
  <c r="N87" i="1"/>
  <c r="O87" i="1"/>
  <c r="AD43" i="1"/>
  <c r="AE43" i="1"/>
  <c r="AC43" i="1"/>
  <c r="AB43" i="1"/>
  <c r="W43" i="1"/>
  <c r="X43" i="1" s="1"/>
  <c r="O43" i="1"/>
  <c r="N43" i="1"/>
  <c r="AD81" i="1"/>
  <c r="W81" i="1"/>
  <c r="X81" i="1" s="1"/>
  <c r="N81" i="1"/>
  <c r="O81" i="1"/>
  <c r="AC81" i="1"/>
  <c r="AB81" i="1"/>
  <c r="AF81" i="1" s="1"/>
  <c r="AG81" i="1" s="1"/>
  <c r="AH81" i="1" s="1"/>
  <c r="AE81" i="1"/>
  <c r="AF32" i="1"/>
  <c r="AG32" i="1" s="1"/>
  <c r="AH32" i="1" s="1"/>
  <c r="R30" i="1"/>
  <c r="P30" i="1"/>
  <c r="S30" i="1" s="1"/>
  <c r="Q30" i="1"/>
  <c r="AB86" i="1"/>
  <c r="W86" i="1"/>
  <c r="X86" i="1" s="1"/>
  <c r="N86" i="1"/>
  <c r="O86" i="1"/>
  <c r="AD86" i="1"/>
  <c r="AE86" i="1"/>
  <c r="AC86" i="1"/>
  <c r="P49" i="1"/>
  <c r="S49" i="1" s="1"/>
  <c r="Q49" i="1"/>
  <c r="T49" i="1" s="1"/>
  <c r="R49" i="1"/>
  <c r="Y89" i="1"/>
  <c r="AB69" i="1"/>
  <c r="AF69" i="1" s="1"/>
  <c r="AG69" i="1" s="1"/>
  <c r="AH69" i="1" s="1"/>
  <c r="W69" i="1"/>
  <c r="X69" i="1" s="1"/>
  <c r="N69" i="1"/>
  <c r="O69" i="1"/>
  <c r="AE69" i="1"/>
  <c r="AD69" i="1"/>
  <c r="AC69" i="1"/>
  <c r="AF91" i="1"/>
  <c r="AA80" i="1"/>
  <c r="Q80" i="1"/>
  <c r="R80" i="1"/>
  <c r="P80" i="1"/>
  <c r="S80" i="1" s="1"/>
  <c r="V80" i="1"/>
  <c r="P25" i="1"/>
  <c r="S25" i="1" s="1"/>
  <c r="R25" i="1"/>
  <c r="V25" i="1" s="1"/>
  <c r="Q25" i="1"/>
  <c r="T25" i="1" s="1"/>
  <c r="AB33" i="1"/>
  <c r="AD33" i="1"/>
  <c r="AE33" i="1"/>
  <c r="W33" i="1"/>
  <c r="X33" i="1" s="1"/>
  <c r="N33" i="1"/>
  <c r="O33" i="1"/>
  <c r="AC33" i="1"/>
  <c r="AN12" i="1" s="1"/>
  <c r="AO12" i="1" s="1"/>
  <c r="AC48" i="1"/>
  <c r="AB48" i="1"/>
  <c r="AE48" i="1"/>
  <c r="AD48" i="1"/>
  <c r="W48" i="1"/>
  <c r="X48" i="1" s="1"/>
  <c r="N48" i="1"/>
  <c r="O48" i="1"/>
  <c r="AA50" i="1"/>
  <c r="P50" i="1"/>
  <c r="S50" i="1" s="1"/>
  <c r="Q50" i="1"/>
  <c r="R50" i="1"/>
  <c r="O42" i="1"/>
  <c r="N42" i="1"/>
  <c r="AD42" i="1"/>
  <c r="AC42" i="1"/>
  <c r="AB42" i="1"/>
  <c r="AF42" i="1" s="1"/>
  <c r="AG42" i="1" s="1"/>
  <c r="AH42" i="1" s="1"/>
  <c r="AE42" i="1"/>
  <c r="W42" i="1"/>
  <c r="X42" i="1" s="1"/>
  <c r="AF47" i="1"/>
  <c r="AG47" i="1" s="1"/>
  <c r="AH47" i="1" s="1"/>
  <c r="P77" i="1"/>
  <c r="S77" i="1" s="1"/>
  <c r="Q77" i="1"/>
  <c r="T77" i="1" s="1"/>
  <c r="R77" i="1"/>
  <c r="Q59" i="1"/>
  <c r="P59" i="1"/>
  <c r="S59" i="1" s="1"/>
  <c r="R59" i="1"/>
  <c r="Y83" i="1"/>
  <c r="O55" i="1"/>
  <c r="N55" i="1"/>
  <c r="AB55" i="1"/>
  <c r="AF55" i="1" s="1"/>
  <c r="AG55" i="1" s="1"/>
  <c r="AH55" i="1" s="1"/>
  <c r="AE55" i="1"/>
  <c r="AD55" i="1"/>
  <c r="AC55" i="1"/>
  <c r="W55" i="1"/>
  <c r="X55" i="1" s="1"/>
  <c r="AF27" i="1"/>
  <c r="AG27" i="1" s="1"/>
  <c r="AH27" i="1" s="1"/>
  <c r="AF82" i="1"/>
  <c r="AG82" i="1" s="1"/>
  <c r="AH82" i="1" s="1"/>
  <c r="AF63" i="1"/>
  <c r="AG63" i="1" s="1"/>
  <c r="AH63" i="1" s="1"/>
  <c r="Y49" i="1"/>
  <c r="P61" i="1"/>
  <c r="S61" i="1" s="1"/>
  <c r="Q61" i="1"/>
  <c r="T61" i="1" s="1"/>
  <c r="R61" i="1"/>
  <c r="AF89" i="1"/>
  <c r="AE93" i="1"/>
  <c r="AD93" i="1"/>
  <c r="AC93" i="1"/>
  <c r="AB93" i="1"/>
  <c r="W93" i="1"/>
  <c r="X93" i="1" s="1"/>
  <c r="N93" i="1"/>
  <c r="O93" i="1"/>
  <c r="R22" i="1"/>
  <c r="V22" i="1" s="1"/>
  <c r="Q22" i="1"/>
  <c r="P22" i="1"/>
  <c r="S22" i="1" s="1"/>
  <c r="Y80" i="1"/>
  <c r="Y50" i="1"/>
  <c r="AA53" i="1"/>
  <c r="R53" i="1"/>
  <c r="P53" i="1"/>
  <c r="S53" i="1" s="1"/>
  <c r="Q53" i="1"/>
  <c r="T53" i="1" s="1"/>
  <c r="P74" i="1"/>
  <c r="S74" i="1" s="1"/>
  <c r="Q74" i="1"/>
  <c r="T74" i="1" s="1"/>
  <c r="R74" i="1"/>
  <c r="N72" i="1"/>
  <c r="O72" i="1"/>
  <c r="AC72" i="1"/>
  <c r="AB72" i="1"/>
  <c r="AF72" i="1" s="1"/>
  <c r="AG72" i="1" s="1"/>
  <c r="AH72" i="1" s="1"/>
  <c r="AE72" i="1"/>
  <c r="AD72" i="1"/>
  <c r="W72" i="1"/>
  <c r="X72" i="1" s="1"/>
  <c r="AA47" i="1"/>
  <c r="R47" i="1"/>
  <c r="P47" i="1"/>
  <c r="S47" i="1" s="1"/>
  <c r="Q47" i="1"/>
  <c r="T47" i="1" s="1"/>
  <c r="Y88" i="1"/>
  <c r="AF66" i="1"/>
  <c r="AG66" i="1" s="1"/>
  <c r="AH66" i="1" s="1"/>
  <c r="Q88" i="1"/>
  <c r="T88" i="1" s="1"/>
  <c r="R88" i="1"/>
  <c r="V88" i="1" s="1"/>
  <c r="P88" i="1"/>
  <c r="S88" i="1" s="1"/>
  <c r="X22" i="1"/>
  <c r="AE40" i="1"/>
  <c r="AB40" i="1"/>
  <c r="AD40" i="1"/>
  <c r="N40" i="1"/>
  <c r="W40" i="1"/>
  <c r="X40" i="1" s="1"/>
  <c r="O40" i="1"/>
  <c r="AC40" i="1"/>
  <c r="AA65" i="1"/>
  <c r="P65" i="1"/>
  <c r="S65" i="1" s="1"/>
  <c r="R65" i="1"/>
  <c r="Q65" i="1"/>
  <c r="V65" i="1"/>
  <c r="AD85" i="1"/>
  <c r="AC85" i="1"/>
  <c r="AB85" i="1"/>
  <c r="W85" i="1"/>
  <c r="X85" i="1" s="1"/>
  <c r="N85" i="1"/>
  <c r="O85" i="1"/>
  <c r="AE85" i="1"/>
  <c r="AA32" i="1"/>
  <c r="Q32" i="1"/>
  <c r="T32" i="1" s="1"/>
  <c r="P32" i="1"/>
  <c r="S32" i="1" s="1"/>
  <c r="R32" i="1"/>
  <c r="V32" i="1"/>
  <c r="Y30" i="1"/>
  <c r="AF75" i="1"/>
  <c r="AG75" i="1" s="1"/>
  <c r="AH75" i="1" s="1"/>
  <c r="AD24" i="1"/>
  <c r="W24" i="1"/>
  <c r="X24" i="1" s="1"/>
  <c r="N24" i="1"/>
  <c r="X11" i="1" s="1"/>
  <c r="Y11" i="1" s="1"/>
  <c r="O24" i="1"/>
  <c r="X12" i="1" s="1"/>
  <c r="Y12" i="1" s="1"/>
  <c r="AC24" i="1"/>
  <c r="AB24" i="1"/>
  <c r="AE24" i="1"/>
  <c r="AN14" i="1" s="1"/>
  <c r="AO14" i="1" s="1"/>
  <c r="AF83" i="1"/>
  <c r="AG83" i="1" s="1"/>
  <c r="AH83" i="1" s="1"/>
  <c r="AB78" i="1"/>
  <c r="W78" i="1"/>
  <c r="X78" i="1" s="1"/>
  <c r="N78" i="1"/>
  <c r="O78" i="1"/>
  <c r="AE78" i="1"/>
  <c r="AD78" i="1"/>
  <c r="AC78" i="1"/>
  <c r="N52" i="1"/>
  <c r="AE52" i="1"/>
  <c r="AD52" i="1"/>
  <c r="AC52" i="1"/>
  <c r="AB52" i="1"/>
  <c r="W52" i="1"/>
  <c r="X52" i="1" s="1"/>
  <c r="O52" i="1"/>
  <c r="Y47" i="1"/>
  <c r="R63" i="1"/>
  <c r="Q63" i="1"/>
  <c r="T63" i="1" s="1"/>
  <c r="P63" i="1"/>
  <c r="S63" i="1" s="1"/>
  <c r="AF77" i="1"/>
  <c r="AG77" i="1" s="1"/>
  <c r="AH77" i="1" s="1"/>
  <c r="Y61" i="1"/>
  <c r="Y59" i="1"/>
  <c r="AF22" i="1"/>
  <c r="Y65" i="1"/>
  <c r="AB28" i="1"/>
  <c r="AD28" i="1"/>
  <c r="AN13" i="1" s="1"/>
  <c r="AO13" i="1" s="1"/>
  <c r="AC28" i="1"/>
  <c r="W28" i="1"/>
  <c r="X28" i="1" s="1"/>
  <c r="O28" i="1"/>
  <c r="N28" i="1"/>
  <c r="AE28" i="1"/>
  <c r="W62" i="1"/>
  <c r="X62" i="1" s="1"/>
  <c r="N62" i="1"/>
  <c r="O62" i="1"/>
  <c r="AD62" i="1"/>
  <c r="AE62" i="1"/>
  <c r="AC62" i="1"/>
  <c r="AB62" i="1"/>
  <c r="AF62" i="1" s="1"/>
  <c r="P67" i="1"/>
  <c r="S67" i="1" s="1"/>
  <c r="Q67" i="1"/>
  <c r="T67" i="1" s="1"/>
  <c r="R67" i="1"/>
  <c r="O60" i="1"/>
  <c r="N60" i="1"/>
  <c r="AE60" i="1"/>
  <c r="AD60" i="1"/>
  <c r="AC60" i="1"/>
  <c r="AB60" i="1"/>
  <c r="W60" i="1"/>
  <c r="X60" i="1" s="1"/>
  <c r="P68" i="1"/>
  <c r="S68" i="1" s="1"/>
  <c r="R68" i="1"/>
  <c r="AA68" i="1" s="1"/>
  <c r="Q68" i="1"/>
  <c r="T68" i="1" s="1"/>
  <c r="P82" i="1"/>
  <c r="S82" i="1" s="1"/>
  <c r="Q82" i="1"/>
  <c r="T82" i="1" s="1"/>
  <c r="R82" i="1"/>
  <c r="AG88" i="1"/>
  <c r="AH88" i="1"/>
  <c r="AF30" i="1"/>
  <c r="AG30" i="1" s="1"/>
  <c r="AH30" i="1" s="1"/>
  <c r="N54" i="1"/>
  <c r="O54" i="1"/>
  <c r="AE54" i="1"/>
  <c r="AD54" i="1"/>
  <c r="AC54" i="1"/>
  <c r="AB54" i="1"/>
  <c r="W54" i="1"/>
  <c r="X54" i="1" s="1"/>
  <c r="AF80" i="1"/>
  <c r="AG80" i="1" s="1"/>
  <c r="AH80" i="1" s="1"/>
  <c r="AE37" i="1"/>
  <c r="AD37" i="1"/>
  <c r="AC37" i="1"/>
  <c r="AB37" i="1"/>
  <c r="AF37" i="1" s="1"/>
  <c r="AG37" i="1" s="1"/>
  <c r="AH37" i="1" s="1"/>
  <c r="W37" i="1"/>
  <c r="X37" i="1" s="1"/>
  <c r="N37" i="1"/>
  <c r="O37" i="1"/>
  <c r="AF53" i="1"/>
  <c r="AG53" i="1" s="1"/>
  <c r="AH53" i="1" s="1"/>
  <c r="AF74" i="1"/>
  <c r="AG74" i="1" s="1"/>
  <c r="AH74" i="1" s="1"/>
  <c r="AD90" i="1"/>
  <c r="AB90" i="1"/>
  <c r="AC90" i="1"/>
  <c r="AE90" i="1"/>
  <c r="W90" i="1"/>
  <c r="X90" i="1" s="1"/>
  <c r="O90" i="1"/>
  <c r="N90" i="1"/>
  <c r="AC41" i="1"/>
  <c r="AB41" i="1"/>
  <c r="AD41" i="1"/>
  <c r="AE41" i="1"/>
  <c r="W41" i="1"/>
  <c r="X41" i="1" s="1"/>
  <c r="N41" i="1"/>
  <c r="O41" i="1"/>
  <c r="Q27" i="1"/>
  <c r="Y27" i="1" s="1"/>
  <c r="P27" i="1"/>
  <c r="S27" i="1" s="1"/>
  <c r="R27" i="1"/>
  <c r="W70" i="1"/>
  <c r="X70" i="1" s="1"/>
  <c r="N70" i="1"/>
  <c r="O70" i="1"/>
  <c r="AE70" i="1"/>
  <c r="AD70" i="1"/>
  <c r="AC70" i="1"/>
  <c r="AB70" i="1"/>
  <c r="Y82" i="1"/>
  <c r="AF25" i="1"/>
  <c r="AG25" i="1" s="1"/>
  <c r="AH25" i="1" s="1"/>
  <c r="O45" i="1"/>
  <c r="AE45" i="1"/>
  <c r="AD45" i="1"/>
  <c r="AC45" i="1"/>
  <c r="AB45" i="1"/>
  <c r="W45" i="1"/>
  <c r="X45" i="1" s="1"/>
  <c r="N45" i="1"/>
  <c r="AA75" i="1"/>
  <c r="Q75" i="1"/>
  <c r="Y75" i="1" s="1"/>
  <c r="P75" i="1"/>
  <c r="S75" i="1" s="1"/>
  <c r="R75" i="1"/>
  <c r="AA66" i="1"/>
  <c r="P66" i="1"/>
  <c r="S66" i="1" s="1"/>
  <c r="Q66" i="1"/>
  <c r="T66" i="1" s="1"/>
  <c r="R66" i="1"/>
  <c r="AE71" i="1"/>
  <c r="AD71" i="1"/>
  <c r="AC71" i="1"/>
  <c r="W71" i="1"/>
  <c r="X71" i="1" s="1"/>
  <c r="O71" i="1"/>
  <c r="N71" i="1"/>
  <c r="AB71" i="1"/>
  <c r="O57" i="1"/>
  <c r="AC57" i="1"/>
  <c r="AB57" i="1"/>
  <c r="AE57" i="1"/>
  <c r="AD57" i="1"/>
  <c r="W57" i="1"/>
  <c r="X57" i="1" s="1"/>
  <c r="N57" i="1"/>
  <c r="Y91" i="1"/>
  <c r="E89" i="2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V77" i="1" l="1"/>
  <c r="Z77" i="1"/>
  <c r="U77" i="1"/>
  <c r="V30" i="1"/>
  <c r="Z30" i="1"/>
  <c r="U30" i="1"/>
  <c r="R70" i="1"/>
  <c r="AA70" i="1" s="1"/>
  <c r="P70" i="1"/>
  <c r="S70" i="1" s="1"/>
  <c r="Q70" i="1"/>
  <c r="T70" i="1" s="1"/>
  <c r="R37" i="1"/>
  <c r="P37" i="1"/>
  <c r="S37" i="1" s="1"/>
  <c r="Q37" i="1"/>
  <c r="AN11" i="1"/>
  <c r="AO11" i="1" s="1"/>
  <c r="Y54" i="1"/>
  <c r="P57" i="1"/>
  <c r="S57" i="1" s="1"/>
  <c r="Q57" i="1"/>
  <c r="T57" i="1" s="1"/>
  <c r="R57" i="1"/>
  <c r="V57" i="1" s="1"/>
  <c r="V66" i="1"/>
  <c r="Z66" i="1"/>
  <c r="U66" i="1"/>
  <c r="Y67" i="1"/>
  <c r="Y70" i="1"/>
  <c r="Y37" i="1"/>
  <c r="AF54" i="1"/>
  <c r="AG54" i="1" s="1"/>
  <c r="AH54" i="1" s="1"/>
  <c r="AA60" i="1"/>
  <c r="R60" i="1"/>
  <c r="P60" i="1"/>
  <c r="S60" i="1" s="1"/>
  <c r="Q60" i="1"/>
  <c r="Y32" i="1"/>
  <c r="AA85" i="1"/>
  <c r="Q85" i="1"/>
  <c r="R85" i="1"/>
  <c r="P85" i="1"/>
  <c r="S85" i="1" s="1"/>
  <c r="U65" i="1"/>
  <c r="Z65" i="1"/>
  <c r="AF40" i="1"/>
  <c r="AG40" i="1" s="1"/>
  <c r="AH40" i="1" s="1"/>
  <c r="V47" i="1"/>
  <c r="Z47" i="1"/>
  <c r="U47" i="1"/>
  <c r="AG89" i="1"/>
  <c r="AH89" i="1"/>
  <c r="AA77" i="1"/>
  <c r="Y48" i="1"/>
  <c r="AA25" i="1"/>
  <c r="V49" i="1"/>
  <c r="Z49" i="1"/>
  <c r="U49" i="1"/>
  <c r="AA43" i="1"/>
  <c r="Q43" i="1"/>
  <c r="P43" i="1"/>
  <c r="S43" i="1" s="1"/>
  <c r="R43" i="1"/>
  <c r="Y87" i="1"/>
  <c r="Y79" i="1"/>
  <c r="Y53" i="1"/>
  <c r="Y86" i="1"/>
  <c r="Y43" i="1"/>
  <c r="V91" i="1"/>
  <c r="Z91" i="1"/>
  <c r="U91" i="1"/>
  <c r="Y68" i="1"/>
  <c r="V67" i="1"/>
  <c r="Z67" i="1"/>
  <c r="U67" i="1"/>
  <c r="V74" i="1"/>
  <c r="Z74" i="1"/>
  <c r="U74" i="1"/>
  <c r="V59" i="1"/>
  <c r="Z59" i="1"/>
  <c r="U59" i="1"/>
  <c r="AF45" i="1"/>
  <c r="AG45" i="1" s="1"/>
  <c r="AH45" i="1" s="1"/>
  <c r="Y60" i="1"/>
  <c r="AF28" i="1"/>
  <c r="AG28" i="1" s="1"/>
  <c r="AH28" i="1" s="1"/>
  <c r="V50" i="1"/>
  <c r="Z50" i="1"/>
  <c r="U50" i="1"/>
  <c r="Q69" i="1"/>
  <c r="R69" i="1"/>
  <c r="P69" i="1"/>
  <c r="S69" i="1" s="1"/>
  <c r="AF86" i="1"/>
  <c r="AF43" i="1"/>
  <c r="AG43" i="1" s="1"/>
  <c r="AH43" i="1" s="1"/>
  <c r="AA56" i="1"/>
  <c r="Q56" i="1"/>
  <c r="T56" i="1" s="1"/>
  <c r="R56" i="1"/>
  <c r="P56" i="1"/>
  <c r="S56" i="1" s="1"/>
  <c r="V56" i="1"/>
  <c r="AG62" i="1"/>
  <c r="AH62" i="1" s="1"/>
  <c r="AF71" i="1"/>
  <c r="AG71" i="1" s="1"/>
  <c r="AH71" i="1" s="1"/>
  <c r="V27" i="1"/>
  <c r="Z27" i="1"/>
  <c r="U27" i="1"/>
  <c r="AA62" i="1"/>
  <c r="R62" i="1"/>
  <c r="P62" i="1"/>
  <c r="S62" i="1" s="1"/>
  <c r="Q62" i="1"/>
  <c r="R93" i="1"/>
  <c r="Q93" i="1"/>
  <c r="T93" i="1" s="1"/>
  <c r="P93" i="1"/>
  <c r="S93" i="1" s="1"/>
  <c r="AA42" i="1"/>
  <c r="P42" i="1"/>
  <c r="S42" i="1" s="1"/>
  <c r="Q42" i="1"/>
  <c r="T42" i="1" s="1"/>
  <c r="R42" i="1"/>
  <c r="AF70" i="1"/>
  <c r="AG70" i="1" s="1"/>
  <c r="AH70" i="1" s="1"/>
  <c r="AI11" i="1"/>
  <c r="AJ11" i="1" s="1"/>
  <c r="T27" i="1"/>
  <c r="AF41" i="1"/>
  <c r="AG41" i="1" s="1"/>
  <c r="AH41" i="1" s="1"/>
  <c r="AF60" i="1"/>
  <c r="AG60" i="1" s="1"/>
  <c r="AH60" i="1" s="1"/>
  <c r="Y62" i="1"/>
  <c r="Y74" i="1"/>
  <c r="Y52" i="1"/>
  <c r="AF24" i="1"/>
  <c r="AG24" i="1" s="1"/>
  <c r="AH24" i="1" s="1"/>
  <c r="U32" i="1"/>
  <c r="Z32" i="1"/>
  <c r="AF85" i="1"/>
  <c r="AG85" i="1" s="1"/>
  <c r="AH85" i="1" s="1"/>
  <c r="Y77" i="1"/>
  <c r="Y93" i="1"/>
  <c r="T59" i="1"/>
  <c r="T50" i="1"/>
  <c r="AF48" i="1"/>
  <c r="AG48" i="1" s="1"/>
  <c r="AH48" i="1" s="1"/>
  <c r="AF33" i="1"/>
  <c r="AG33" i="1" s="1"/>
  <c r="AH33" i="1" s="1"/>
  <c r="U80" i="1"/>
  <c r="Z80" i="1"/>
  <c r="AA49" i="1"/>
  <c r="T30" i="1"/>
  <c r="AA81" i="1"/>
  <c r="P81" i="1"/>
  <c r="S81" i="1" s="1"/>
  <c r="Q81" i="1"/>
  <c r="R81" i="1"/>
  <c r="V81" i="1"/>
  <c r="AA44" i="1"/>
  <c r="P44" i="1"/>
  <c r="S44" i="1" s="1"/>
  <c r="R44" i="1"/>
  <c r="Q44" i="1"/>
  <c r="U88" i="1"/>
  <c r="Z88" i="1"/>
  <c r="V82" i="1"/>
  <c r="Z82" i="1"/>
  <c r="U82" i="1"/>
  <c r="V61" i="1"/>
  <c r="Z61" i="1"/>
  <c r="U61" i="1"/>
  <c r="AF90" i="1"/>
  <c r="P52" i="1"/>
  <c r="S52" i="1" s="1"/>
  <c r="Q52" i="1"/>
  <c r="R52" i="1"/>
  <c r="AA52" i="1" s="1"/>
  <c r="Y85" i="1"/>
  <c r="R71" i="1"/>
  <c r="AA71" i="1" s="1"/>
  <c r="P71" i="1"/>
  <c r="S71" i="1" s="1"/>
  <c r="Q71" i="1"/>
  <c r="T71" i="1" s="1"/>
  <c r="Y71" i="1"/>
  <c r="V75" i="1"/>
  <c r="Z75" i="1"/>
  <c r="U75" i="1"/>
  <c r="AA27" i="1"/>
  <c r="AA54" i="1"/>
  <c r="R54" i="1"/>
  <c r="Q54" i="1"/>
  <c r="P54" i="1"/>
  <c r="S54" i="1" s="1"/>
  <c r="AA82" i="1"/>
  <c r="AA67" i="1"/>
  <c r="Y63" i="1"/>
  <c r="AF52" i="1"/>
  <c r="AG52" i="1" s="1"/>
  <c r="AH52" i="1" s="1"/>
  <c r="AA78" i="1"/>
  <c r="R78" i="1"/>
  <c r="P78" i="1"/>
  <c r="S78" i="1" s="1"/>
  <c r="Q78" i="1"/>
  <c r="T78" i="1" s="1"/>
  <c r="R24" i="1"/>
  <c r="Q24" i="1"/>
  <c r="P24" i="1"/>
  <c r="S24" i="1" s="1"/>
  <c r="V24" i="1"/>
  <c r="Q40" i="1"/>
  <c r="T40" i="1" s="1"/>
  <c r="R40" i="1"/>
  <c r="P40" i="1"/>
  <c r="S40" i="1" s="1"/>
  <c r="V40" i="1"/>
  <c r="Y25" i="1"/>
  <c r="AA74" i="1"/>
  <c r="AD11" i="1"/>
  <c r="AE11" i="1" s="1"/>
  <c r="AF93" i="1"/>
  <c r="AA61" i="1"/>
  <c r="AA59" i="1"/>
  <c r="T80" i="1"/>
  <c r="Y69" i="1"/>
  <c r="AF87" i="1"/>
  <c r="Y44" i="1"/>
  <c r="AA91" i="1"/>
  <c r="P58" i="1"/>
  <c r="S58" i="1" s="1"/>
  <c r="Q58" i="1"/>
  <c r="T58" i="1" s="1"/>
  <c r="R58" i="1"/>
  <c r="AA58" i="1" s="1"/>
  <c r="Y81" i="1"/>
  <c r="V83" i="1"/>
  <c r="Z83" i="1"/>
  <c r="U83" i="1"/>
  <c r="AF57" i="1"/>
  <c r="AG57" i="1" s="1"/>
  <c r="AH57" i="1" s="1"/>
  <c r="R45" i="1"/>
  <c r="P45" i="1"/>
  <c r="S45" i="1" s="1"/>
  <c r="Q45" i="1"/>
  <c r="T45" i="1" s="1"/>
  <c r="AA90" i="1"/>
  <c r="P90" i="1"/>
  <c r="S90" i="1" s="1"/>
  <c r="Q90" i="1"/>
  <c r="T90" i="1" s="1"/>
  <c r="R90" i="1"/>
  <c r="P28" i="1"/>
  <c r="S28" i="1" s="1"/>
  <c r="Q28" i="1"/>
  <c r="R28" i="1"/>
  <c r="V63" i="1"/>
  <c r="Z63" i="1"/>
  <c r="U63" i="1"/>
  <c r="U22" i="1"/>
  <c r="Z22" i="1"/>
  <c r="Q48" i="1"/>
  <c r="P48" i="1"/>
  <c r="S48" i="1" s="1"/>
  <c r="R48" i="1"/>
  <c r="V48" i="1" s="1"/>
  <c r="P33" i="1"/>
  <c r="S33" i="1" s="1"/>
  <c r="Q33" i="1"/>
  <c r="Y33" i="1" s="1"/>
  <c r="R33" i="1"/>
  <c r="V33" i="1" s="1"/>
  <c r="U25" i="1"/>
  <c r="Z25" i="1"/>
  <c r="AG91" i="1"/>
  <c r="AH91" i="1" s="1"/>
  <c r="AA30" i="1"/>
  <c r="P87" i="1"/>
  <c r="S87" i="1" s="1"/>
  <c r="Q87" i="1"/>
  <c r="R87" i="1"/>
  <c r="AF38" i="1"/>
  <c r="AG38" i="1" s="1"/>
  <c r="AH38" i="1" s="1"/>
  <c r="Y40" i="1"/>
  <c r="Y22" i="1"/>
  <c r="T22" i="1"/>
  <c r="T75" i="1"/>
  <c r="AA41" i="1"/>
  <c r="P41" i="1"/>
  <c r="S41" i="1" s="1"/>
  <c r="R41" i="1"/>
  <c r="V41" i="1" s="1"/>
  <c r="Q41" i="1"/>
  <c r="T41" i="1" s="1"/>
  <c r="V68" i="1"/>
  <c r="Z68" i="1"/>
  <c r="U68" i="1"/>
  <c r="Y28" i="1"/>
  <c r="AG22" i="1"/>
  <c r="AH22" i="1"/>
  <c r="AN15" i="1"/>
  <c r="AO15" i="1" s="1"/>
  <c r="AA63" i="1"/>
  <c r="AF78" i="1"/>
  <c r="AG78" i="1" s="1"/>
  <c r="AH78" i="1" s="1"/>
  <c r="T65" i="1"/>
  <c r="AA88" i="1"/>
  <c r="Q72" i="1"/>
  <c r="P72" i="1"/>
  <c r="S72" i="1" s="1"/>
  <c r="R72" i="1"/>
  <c r="V72" i="1" s="1"/>
  <c r="V53" i="1"/>
  <c r="Z53" i="1"/>
  <c r="U53" i="1"/>
  <c r="AA22" i="1"/>
  <c r="P55" i="1"/>
  <c r="S55" i="1" s="1"/>
  <c r="Q55" i="1"/>
  <c r="T55" i="1" s="1"/>
  <c r="R55" i="1"/>
  <c r="Y66" i="1"/>
  <c r="AA86" i="1"/>
  <c r="R86" i="1"/>
  <c r="P86" i="1"/>
  <c r="S86" i="1" s="1"/>
  <c r="Q86" i="1"/>
  <c r="T83" i="1"/>
  <c r="Z89" i="1"/>
  <c r="U89" i="1"/>
  <c r="AF58" i="1"/>
  <c r="AG58" i="1" s="1"/>
  <c r="AH58" i="1" s="1"/>
  <c r="AA79" i="1"/>
  <c r="R79" i="1"/>
  <c r="P79" i="1"/>
  <c r="S79" i="1" s="1"/>
  <c r="Q79" i="1"/>
  <c r="AF56" i="1"/>
  <c r="AG56" i="1" s="1"/>
  <c r="AH56" i="1" s="1"/>
  <c r="AA38" i="1"/>
  <c r="R38" i="1"/>
  <c r="P38" i="1"/>
  <c r="S38" i="1" s="1"/>
  <c r="Q38" i="1"/>
  <c r="T38" i="1" s="1"/>
  <c r="V90" i="1" l="1"/>
  <c r="Z90" i="1"/>
  <c r="U90" i="1"/>
  <c r="U40" i="1"/>
  <c r="Z40" i="1"/>
  <c r="V69" i="1"/>
  <c r="Z69" i="1"/>
  <c r="U69" i="1"/>
  <c r="Y78" i="1"/>
  <c r="AA33" i="1"/>
  <c r="Y58" i="1"/>
  <c r="T54" i="1"/>
  <c r="U81" i="1"/>
  <c r="Z81" i="1"/>
  <c r="T69" i="1"/>
  <c r="Y55" i="1"/>
  <c r="V85" i="1"/>
  <c r="Z85" i="1"/>
  <c r="U85" i="1"/>
  <c r="AH90" i="1"/>
  <c r="AG90" i="1"/>
  <c r="V93" i="1"/>
  <c r="Z93" i="1"/>
  <c r="U93" i="1"/>
  <c r="AA48" i="1"/>
  <c r="U52" i="1"/>
  <c r="T52" i="1"/>
  <c r="V70" i="1"/>
  <c r="Z70" i="1"/>
  <c r="U70" i="1"/>
  <c r="V38" i="1"/>
  <c r="Z38" i="1"/>
  <c r="U38" i="1"/>
  <c r="V55" i="1"/>
  <c r="Z55" i="1"/>
  <c r="U55" i="1"/>
  <c r="AG93" i="1"/>
  <c r="AH93" i="1" s="1"/>
  <c r="AN17" i="1" s="1"/>
  <c r="AO17" i="1" s="1"/>
  <c r="AA40" i="1"/>
  <c r="V78" i="1"/>
  <c r="Z78" i="1"/>
  <c r="U78" i="1"/>
  <c r="V54" i="1"/>
  <c r="Z54" i="1"/>
  <c r="U54" i="1"/>
  <c r="T81" i="1"/>
  <c r="Y57" i="1"/>
  <c r="U56" i="1"/>
  <c r="Z56" i="1"/>
  <c r="AA69" i="1"/>
  <c r="Y45" i="1"/>
  <c r="T85" i="1"/>
  <c r="U57" i="1"/>
  <c r="Z57" i="1"/>
  <c r="T37" i="1"/>
  <c r="U72" i="1"/>
  <c r="Z72" i="1"/>
  <c r="U41" i="1"/>
  <c r="Z41" i="1"/>
  <c r="V87" i="1"/>
  <c r="Z87" i="1"/>
  <c r="U87" i="1"/>
  <c r="V28" i="1"/>
  <c r="AD14" i="1" s="1"/>
  <c r="AE14" i="1" s="1"/>
  <c r="Z28" i="1"/>
  <c r="U44" i="1"/>
  <c r="T44" i="1"/>
  <c r="Y42" i="1"/>
  <c r="AA93" i="1"/>
  <c r="V37" i="1"/>
  <c r="Z37" i="1"/>
  <c r="U37" i="1"/>
  <c r="T79" i="1"/>
  <c r="T86" i="1"/>
  <c r="AA55" i="1"/>
  <c r="T72" i="1"/>
  <c r="T87" i="1"/>
  <c r="T48" i="1"/>
  <c r="U28" i="1"/>
  <c r="T28" i="1"/>
  <c r="AD12" i="1" s="1"/>
  <c r="AH87" i="1"/>
  <c r="AG87" i="1"/>
  <c r="AN16" i="1" s="1"/>
  <c r="AO16" i="1" s="1"/>
  <c r="T24" i="1"/>
  <c r="Y24" i="1"/>
  <c r="Y72" i="1"/>
  <c r="V44" i="1"/>
  <c r="Z44" i="1"/>
  <c r="V42" i="1"/>
  <c r="Z42" i="1"/>
  <c r="AI13" i="1" s="1"/>
  <c r="AJ13" i="1" s="1"/>
  <c r="U42" i="1"/>
  <c r="T62" i="1"/>
  <c r="V43" i="1"/>
  <c r="Z43" i="1"/>
  <c r="U43" i="1"/>
  <c r="T60" i="1"/>
  <c r="AA57" i="1"/>
  <c r="AA37" i="1"/>
  <c r="U48" i="1"/>
  <c r="Z48" i="1"/>
  <c r="V71" i="1"/>
  <c r="Z71" i="1"/>
  <c r="U71" i="1"/>
  <c r="Y41" i="1"/>
  <c r="AI14" i="1"/>
  <c r="AJ14" i="1" s="1"/>
  <c r="AA72" i="1"/>
  <c r="U33" i="1"/>
  <c r="Z33" i="1"/>
  <c r="V45" i="1"/>
  <c r="Z45" i="1"/>
  <c r="U45" i="1"/>
  <c r="Y56" i="1"/>
  <c r="U24" i="1"/>
  <c r="AD13" i="1" s="1"/>
  <c r="AE13" i="1" s="1"/>
  <c r="Z24" i="1"/>
  <c r="AG86" i="1"/>
  <c r="AH86" i="1"/>
  <c r="V79" i="1"/>
  <c r="Z79" i="1"/>
  <c r="U79" i="1"/>
  <c r="V86" i="1"/>
  <c r="Z86" i="1"/>
  <c r="U86" i="1"/>
  <c r="AA87" i="1"/>
  <c r="T33" i="1"/>
  <c r="AA28" i="1"/>
  <c r="AA45" i="1"/>
  <c r="V58" i="1"/>
  <c r="Z58" i="1"/>
  <c r="U58" i="1"/>
  <c r="AA24" i="1"/>
  <c r="V52" i="1"/>
  <c r="Z52" i="1"/>
  <c r="V62" i="1"/>
  <c r="Z62" i="1"/>
  <c r="U62" i="1"/>
  <c r="Y38" i="1"/>
  <c r="AI12" i="1" s="1"/>
  <c r="AJ12" i="1" s="1"/>
  <c r="T43" i="1"/>
  <c r="V60" i="1"/>
  <c r="Z60" i="1"/>
  <c r="U60" i="1"/>
  <c r="Y90" i="1"/>
  <c r="AJ15" i="1" l="1"/>
  <c r="AE12" i="1"/>
  <c r="AE15" i="1" s="1"/>
  <c r="E12" i="2"/>
</calcChain>
</file>

<file path=xl/sharedStrings.xml><?xml version="1.0" encoding="utf-8"?>
<sst xmlns="http://schemas.openxmlformats.org/spreadsheetml/2006/main" count="491" uniqueCount="262">
  <si>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</si>
  <si>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</si>
  <si>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</si>
  <si>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</si>
  <si>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</si>
  <si>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</si>
  <si>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</si>
  <si>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</si>
  <si>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</si>
  <si>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</si>
  <si>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</si>
  <si>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</si>
  <si>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</si>
  <si>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</si>
  <si>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</si>
  <si>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</si>
  <si>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</si>
  <si>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</si>
  <si>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</si>
  <si>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</si>
  <si>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</si>
  <si>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</si>
  <si>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</si>
  <si>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</si>
  <si>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</si>
  <si>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</si>
  <si>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</si>
  <si>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</si>
  <si>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</si>
  <si>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</si>
  <si>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</si>
  <si>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</si>
  <si>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</si>
  <si>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</si>
  <si>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</si>
  <si>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</si>
  <si>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</si>
  <si>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</si>
  <si>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</si>
  <si>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</si>
  <si>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</si>
  <si>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</si>
  <si>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</si>
  <si>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</si>
  <si>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</si>
  <si>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</si>
  <si>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</si>
  <si>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</si>
  <si>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</si>
  <si>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</si>
  <si>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</si>
  <si>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</si>
  <si>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</si>
  <si>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</si>
  <si>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</si>
  <si>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</si>
  <si>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</si>
  <si>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</si>
  <si>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</si>
  <si>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</si>
  <si>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</si>
  <si>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</si>
  <si>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</si>
  <si>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</si>
  <si>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</si>
  <si>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</si>
  <si>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</si>
  <si>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</si>
  <si>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</si>
  <si>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</si>
  <si>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</si>
  <si>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</si>
  <si>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</si>
  <si>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</si>
  <si>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</si>
  <si>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</si>
  <si>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</si>
  <si>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</si>
  <si>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</si>
  <si>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</si>
  <si>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</si>
  <si>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</si>
  <si>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</si>
  <si>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</si>
  <si>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</si>
  <si>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</si>
  <si>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</si>
  <si>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</si>
  <si>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</si>
  <si>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</si>
  <si>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</si>
  <si>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</si>
  <si>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</si>
  <si>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</si>
  <si>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</si>
  <si>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</si>
  <si>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</si>
  <si>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</si>
  <si>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</si>
  <si>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</si>
  <si>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</si>
  <si>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</si>
  <si>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</si>
  <si>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</si>
  <si>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</si>
  <si>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</si>
  <si>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</si>
  <si>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</si>
  <si>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</si>
  <si>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</si>
  <si>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</si>
  <si>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</si>
  <si>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</si>
  <si>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</si>
  <si>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</si>
  <si>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</si>
  <si>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</si>
  <si>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</si>
  <si>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</si>
  <si>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</si>
  <si>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</si>
  <si>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</si>
  <si>
    <t>S</t>
  </si>
  <si>
    <t>Anexo I, Tabela 15</t>
  </si>
  <si>
    <t>A</t>
  </si>
  <si>
    <t>n</t>
  </si>
  <si>
    <t>Reg Glob</t>
  </si>
  <si>
    <t>3CL</t>
  </si>
  <si>
    <t>tp</t>
  </si>
  <si>
    <t>fw_silv</t>
  </si>
  <si>
    <t>fw</t>
  </si>
  <si>
    <t>Ndesb=</t>
  </si>
  <si>
    <t>i)</t>
  </si>
  <si>
    <t>j)</t>
  </si>
  <si>
    <t>fw_silv =</t>
  </si>
  <si>
    <r>
      <t>N</t>
    </r>
    <r>
      <rPr>
        <vertAlign val="subscript"/>
        <sz val="11"/>
        <color theme="1"/>
        <rFont val="Calibri"/>
        <family val="2"/>
        <scheme val="minor"/>
      </rPr>
      <t>0.27</t>
    </r>
    <r>
      <rPr>
        <sz val="11"/>
        <color theme="1"/>
        <rFont val="Calibri"/>
        <family val="2"/>
        <scheme val="minor"/>
      </rPr>
      <t>=</t>
    </r>
  </si>
  <si>
    <r>
      <t xml:space="preserve">Um nº e árvores negativo significa que </t>
    </r>
    <r>
      <rPr>
        <b/>
        <sz val="8"/>
        <color rgb="FFC00000"/>
        <rFont val="Calibri"/>
        <family val="2"/>
        <scheme val="minor"/>
      </rPr>
      <t>NÃO HÁ NECESSIDADE DE DESBASTAR!!!</t>
    </r>
  </si>
  <si>
    <t>Se eu quisesse manter o fw de 0.19, aos 18 anos teria de ir ver quantas árvores sairiam em desbaste (assumindo que a hdom a essa idade seria 26 m) chegava à conclusão que teria de tirar 53 arv /ha</t>
  </si>
  <si>
    <t>Se eu quisesse gerir para um fw de 0.19, tinha de repetir os calculos das árvores a desbastar aos 13 anos</t>
  </si>
  <si>
    <t>i) e j) addicionais ao exercicio</t>
  </si>
  <si>
    <t>SDI =</t>
  </si>
  <si>
    <t>O valor indica que estamos longe de atingir a linha de autodesbaste que é representado por um valor de 1000 no Eucalipto</t>
  </si>
  <si>
    <t>l)</t>
  </si>
  <si>
    <t xml:space="preserve">Exercicio 123 </t>
  </si>
  <si>
    <t>alinea m)</t>
  </si>
  <si>
    <t>x</t>
  </si>
  <si>
    <t>y</t>
  </si>
  <si>
    <t>total</t>
  </si>
  <si>
    <t>copa</t>
  </si>
  <si>
    <t>tronco</t>
  </si>
  <si>
    <t>descort.</t>
  </si>
  <si>
    <t>N</t>
  </si>
  <si>
    <t>E</t>
  </si>
  <si>
    <t>W</t>
  </si>
  <si>
    <t>Sb</t>
  </si>
  <si>
    <t>Pm</t>
  </si>
  <si>
    <t>-</t>
  </si>
  <si>
    <t>Coeficiente Espaçamento</t>
  </si>
  <si>
    <t>Percentagem de copa</t>
  </si>
  <si>
    <t>cw = diâmetro médio da copa</t>
  </si>
  <si>
    <t>raio médio</t>
  </si>
  <si>
    <t>Cw</t>
  </si>
  <si>
    <t>N_par</t>
  </si>
  <si>
    <t>raio parcela</t>
  </si>
  <si>
    <t>area parcela</t>
  </si>
  <si>
    <t>f_exp_A</t>
  </si>
  <si>
    <t>N_pov</t>
  </si>
  <si>
    <t>coef_esp=</t>
  </si>
  <si>
    <t>ca= área da copa</t>
  </si>
  <si>
    <t>área da copa</t>
  </si>
  <si>
    <t>sum copa</t>
  </si>
  <si>
    <t>%Coberto</t>
  </si>
  <si>
    <t>Figura 12</t>
  </si>
  <si>
    <t>Parcela 8</t>
  </si>
  <si>
    <t>Pb</t>
  </si>
  <si>
    <t>Parcela 13</t>
  </si>
  <si>
    <t>Figura 6</t>
  </si>
  <si>
    <r>
      <t>h</t>
    </r>
    <r>
      <rPr>
        <b/>
        <vertAlign val="subscript"/>
        <sz val="9"/>
        <color theme="1"/>
        <rFont val="Arial"/>
        <family val="2"/>
      </rPr>
      <t>copa</t>
    </r>
  </si>
  <si>
    <t>casc</t>
  </si>
  <si>
    <r>
      <t>i</t>
    </r>
    <r>
      <rPr>
        <b/>
        <vertAlign val="subscript"/>
        <sz val="9"/>
        <color theme="1"/>
        <rFont val="Arial"/>
        <family val="2"/>
      </rPr>
      <t>d</t>
    </r>
  </si>
  <si>
    <t>t</t>
  </si>
  <si>
    <t>cod_dom</t>
  </si>
  <si>
    <t>f_expA</t>
  </si>
  <si>
    <t>hdom_aux</t>
  </si>
  <si>
    <t>Oliv Hop</t>
  </si>
  <si>
    <t>par</t>
  </si>
  <si>
    <t>pov</t>
  </si>
  <si>
    <t>Exercicio 123</t>
  </si>
  <si>
    <t>g</t>
  </si>
  <si>
    <t>h_final</t>
  </si>
  <si>
    <t>esp</t>
  </si>
  <si>
    <t>As percentagens de coberto recomendadas por Natividade para o montado rondam os 58%. Segundo este autor esta é a percentagem de coberto maxima e acima dela deverá realizar-se desbaste. Notem que a 58% de coberto corresponde um coef de espaçamento de 1.2. CONTUDO, na pratica os gestores florestais praticam % muito inferiores, como as obtidas para as parcelas 8 e 13.  No caso da gestão com vista a produção de cortiça e simultânea exploração cinegética (veado) os valores de % Coberto recomendados devem ficar abaixo dos 35%.</t>
  </si>
  <si>
    <t>TPC 21/Out/2025</t>
  </si>
  <si>
    <t>beta0</t>
  </si>
  <si>
    <t>beta1</t>
  </si>
  <si>
    <t>beta2</t>
  </si>
  <si>
    <t>v</t>
  </si>
  <si>
    <t>V</t>
  </si>
  <si>
    <t>n)</t>
  </si>
  <si>
    <t>vu-st</t>
  </si>
  <si>
    <t>vu_st</t>
  </si>
  <si>
    <t>o)</t>
  </si>
  <si>
    <t>Vu_st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</si>
  <si>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-1</t>
    </r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</si>
  <si>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/>
    </r>
  </si>
  <si>
    <t>V%di</t>
  </si>
  <si>
    <t>di</t>
  </si>
  <si>
    <t>classe1</t>
  </si>
  <si>
    <t>classe2</t>
  </si>
  <si>
    <t>d:25-12</t>
  </si>
  <si>
    <t>d:&gt;25cm</t>
  </si>
  <si>
    <t>classe3</t>
  </si>
  <si>
    <t>d:12-6</t>
  </si>
  <si>
    <t>d:&lt;6</t>
  </si>
  <si>
    <t>bicada</t>
  </si>
  <si>
    <t>classe 1</t>
  </si>
  <si>
    <t>classe 2</t>
  </si>
  <si>
    <t>classe 3</t>
  </si>
  <si>
    <t>classe 4/bicada</t>
  </si>
  <si>
    <t>cat aprov</t>
  </si>
  <si>
    <t>p)</t>
  </si>
  <si>
    <t>beta3</t>
  </si>
  <si>
    <t>beta4</t>
  </si>
  <si>
    <t>hi</t>
  </si>
  <si>
    <t>sem restrição ao comprimento do toro</t>
  </si>
  <si>
    <t>com restrição ao comprimento do toro</t>
  </si>
  <si>
    <r>
      <t xml:space="preserve">Tabela 7. Equações utilizadas na estimação da biomassa – </t>
    </r>
    <r>
      <rPr>
        <b/>
        <i/>
        <sz val="10"/>
        <color theme="1"/>
        <rFont val="Arial"/>
        <family val="2"/>
      </rPr>
      <t>Eucalyptus globulus</t>
    </r>
  </si>
  <si>
    <t>Modelos</t>
  </si>
  <si>
    <t>Componente</t>
  </si>
  <si>
    <t>Modelo</t>
  </si>
  <si>
    <r>
      <t>β</t>
    </r>
    <r>
      <rPr>
        <b/>
        <vertAlign val="subscript"/>
        <sz val="9"/>
        <color theme="1"/>
        <rFont val="Arial"/>
        <family val="2"/>
      </rPr>
      <t>0</t>
    </r>
  </si>
  <si>
    <r>
      <t>β</t>
    </r>
    <r>
      <rPr>
        <b/>
        <vertAlign val="subscript"/>
        <sz val="9"/>
        <color theme="1"/>
        <rFont val="Arial"/>
        <family val="2"/>
      </rPr>
      <t>1</t>
    </r>
  </si>
  <si>
    <r>
      <t>β</t>
    </r>
    <r>
      <rPr>
        <b/>
        <vertAlign val="subscript"/>
        <sz val="9"/>
        <color theme="1"/>
        <rFont val="Arial"/>
        <family val="2"/>
      </rPr>
      <t>2</t>
    </r>
  </si>
  <si>
    <t>Fonte</t>
  </si>
  <si>
    <t>Lenho</t>
  </si>
  <si>
    <t>(ww)</t>
  </si>
  <si>
    <t>árvores dispersas noutros estratos: 1.780459</t>
  </si>
  <si>
    <t>Tomé et al. 2007d</t>
  </si>
  <si>
    <t>Casca</t>
  </si>
  <si>
    <t>(wb)</t>
  </si>
  <si>
    <t>árvores dispersas noutros estratos: 2.379475</t>
  </si>
  <si>
    <t>Ramos (wbr)</t>
  </si>
  <si>
    <t>Folhas (wl)</t>
  </si>
  <si>
    <t>Total aérea (wa)</t>
  </si>
  <si>
    <t>wa = ww+wb+wl+wbr</t>
  </si>
  <si>
    <t>Raízes (wr)</t>
  </si>
  <si>
    <t>wr = 0.2487 wa</t>
  </si>
  <si>
    <t>Soares e Tomé, 2004</t>
  </si>
  <si>
    <r>
      <t>d – diâmetro da árvore medido a 1,30 m de altura (cm); h – altura total da árvore (m); w</t>
    </r>
    <r>
      <rPr>
        <vertAlign val="subscript"/>
        <sz val="9"/>
        <color theme="1"/>
        <rFont val="Arial"/>
        <family val="2"/>
      </rPr>
      <t>i</t>
    </r>
    <r>
      <rPr>
        <sz val="9"/>
        <color theme="1"/>
        <rFont val="Arial"/>
        <family val="2"/>
      </rPr>
      <t xml:space="preserve"> – biomassa da componente i da árvore (kg); wa – biomassa total aérea da árvore (kg); hdom – altura dominante (m).</t>
    </r>
  </si>
  <si>
    <t>ww</t>
  </si>
  <si>
    <t>wb</t>
  </si>
  <si>
    <t>wbr</t>
  </si>
  <si>
    <t>wl</t>
  </si>
  <si>
    <t>wa</t>
  </si>
  <si>
    <t>wr</t>
  </si>
  <si>
    <t>wt</t>
  </si>
  <si>
    <t>ww+wb+wl+wbr</t>
  </si>
  <si>
    <t>0.2487 wa</t>
  </si>
  <si>
    <t>wa+wr</t>
  </si>
  <si>
    <t>Kg</t>
  </si>
  <si>
    <t>ton</t>
  </si>
  <si>
    <t>biomassa por componentes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</si>
</sst>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"/>
    <numFmt numFmtId="166" formatCode="0.000"/>
    <numFmt numFmtId="175" formatCode="#,##0.000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  <font>
      <sz val="9"/>
      <color theme="5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Arial"/>
      <family val="2"/>
    </font>
    <font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Arial"/>
      <family val="2"/>
    </font>
    <font>
      <b/>
      <sz val="24"/>
      <color rgb="FFC00000"/>
      <name val="Arial"/>
      <family val="2"/>
    </font>
    <font>
      <vertAlign val="superscript"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9" tint="-0.249977111117893"/>
      <name val="Arial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vertAlign val="subscript"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4" borderId="1" xfId="0" applyNumberFormat="1" applyFill="1" applyBorder="1"/>
    <xf numFmtId="0" fontId="2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/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7" fillId="0" borderId="12" xfId="0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Fill="1" applyBorder="1"/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8" fillId="0" borderId="0" xfId="0" applyFont="1"/>
    <xf numFmtId="0" fontId="23" fillId="2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7" xfId="0" applyNumberFormat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right"/>
    </xf>
    <xf numFmtId="1" fontId="0" fillId="2" borderId="17" xfId="0" applyNumberFormat="1" applyFill="1" applyBorder="1" applyAlignment="1">
      <alignment horizontal="left"/>
    </xf>
    <xf numFmtId="1" fontId="25" fillId="2" borderId="17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right"/>
    </xf>
    <xf numFmtId="1" fontId="0" fillId="0" borderId="20" xfId="0" applyNumberFormat="1" applyBorder="1" applyAlignment="1">
      <alignment horizontal="left"/>
    </xf>
    <xf numFmtId="0" fontId="0" fillId="2" borderId="18" xfId="0" applyFill="1" applyBorder="1"/>
    <xf numFmtId="0" fontId="8" fillId="0" borderId="0" xfId="0" applyFont="1" applyAlignment="1">
      <alignment horizontal="right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14" fillId="7" borderId="1" xfId="0" applyFont="1" applyFill="1" applyBorder="1"/>
    <xf numFmtId="1" fontId="31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165" fontId="0" fillId="0" borderId="0" xfId="0" applyNumberFormat="1" applyAlignment="1">
      <alignment horizontal="left"/>
    </xf>
    <xf numFmtId="165" fontId="0" fillId="0" borderId="1" xfId="0" applyNumberFormat="1" applyBorder="1"/>
    <xf numFmtId="0" fontId="0" fillId="7" borderId="1" xfId="0" applyFill="1" applyBorder="1"/>
    <xf numFmtId="1" fontId="0" fillId="0" borderId="1" xfId="0" applyNumberFormat="1" applyBorder="1"/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0" fillId="0" borderId="1" xfId="0" applyFont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0" fillId="8" borderId="0" xfId="0" applyFill="1"/>
    <xf numFmtId="0" fontId="14" fillId="0" borderId="0" xfId="0" applyFont="1" applyBorder="1" applyAlignment="1">
      <alignment horizontal="center" wrapText="1"/>
    </xf>
    <xf numFmtId="166" fontId="0" fillId="0" borderId="0" xfId="0" applyNumberFormat="1"/>
    <xf numFmtId="166" fontId="0" fillId="0" borderId="1" xfId="0" applyNumberFormat="1" applyBorder="1"/>
    <xf numFmtId="2" fontId="0" fillId="0" borderId="1" xfId="0" applyNumberFormat="1" applyBorder="1"/>
    <xf numFmtId="0" fontId="7" fillId="0" borderId="1" xfId="0" applyFont="1" applyBorder="1"/>
    <xf numFmtId="0" fontId="0" fillId="2" borderId="20" xfId="0" applyFill="1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0" fillId="0" borderId="22" xfId="0" applyBorder="1"/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2" borderId="12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66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1" xfId="0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Border="1"/>
    <xf numFmtId="0" fontId="3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166" fontId="0" fillId="0" borderId="3" xfId="0" applyNumberFormat="1" applyBorder="1"/>
    <xf numFmtId="165" fontId="0" fillId="2" borderId="2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16" xfId="0" applyBorder="1"/>
    <xf numFmtId="164" fontId="0" fillId="0" borderId="0" xfId="0" applyNumberFormat="1"/>
    <xf numFmtId="0" fontId="38" fillId="0" borderId="27" xfId="0" applyFont="1" applyBorder="1" applyAlignment="1">
      <alignment horizontal="center" vertical="center" wrapText="1"/>
    </xf>
    <xf numFmtId="164" fontId="35" fillId="0" borderId="4" xfId="0" applyNumberFormat="1" applyFont="1" applyBorder="1"/>
    <xf numFmtId="0" fontId="9" fillId="0" borderId="1" xfId="0" applyFont="1" applyBorder="1" applyAlignment="1">
      <alignment horizontal="center"/>
    </xf>
    <xf numFmtId="165" fontId="0" fillId="9" borderId="3" xfId="0" applyNumberFormat="1" applyFill="1" applyBorder="1" applyAlignment="1">
      <alignment horizontal="center"/>
    </xf>
    <xf numFmtId="165" fontId="0" fillId="9" borderId="0" xfId="0" applyNumberFormat="1" applyFill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3" fillId="0" borderId="0" xfId="0" applyNumberFormat="1" applyFont="1"/>
    <xf numFmtId="166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37" fillId="10" borderId="1" xfId="0" applyNumberFormat="1" applyFont="1" applyFill="1" applyBorder="1" applyAlignment="1">
      <alignment horizontal="center"/>
    </xf>
    <xf numFmtId="0" fontId="37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4" fontId="37" fillId="7" borderId="1" xfId="0" applyNumberFormat="1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8" fillId="7" borderId="0" xfId="0" applyFont="1" applyFill="1" applyBorder="1"/>
    <xf numFmtId="0" fontId="8" fillId="7" borderId="0" xfId="0" applyFont="1" applyFill="1" applyAlignment="1">
      <alignment horizontal="left"/>
    </xf>
    <xf numFmtId="0" fontId="0" fillId="7" borderId="0" xfId="0" applyFill="1" applyBorder="1"/>
    <xf numFmtId="0" fontId="14" fillId="7" borderId="0" xfId="0" applyFont="1" applyFill="1" applyBorder="1" applyAlignment="1">
      <alignment horizontal="center" wrapText="1"/>
    </xf>
    <xf numFmtId="0" fontId="38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6" fillId="7" borderId="0" xfId="0" applyFont="1" applyFill="1"/>
    <xf numFmtId="166" fontId="0" fillId="4" borderId="0" xfId="0" applyNumberFormat="1" applyFill="1" applyAlignment="1">
      <alignment horizontal="center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/>
    <xf numFmtId="0" fontId="0" fillId="2" borderId="23" xfId="0" applyFill="1" applyBorder="1"/>
    <xf numFmtId="0" fontId="39" fillId="2" borderId="14" xfId="0" applyFont="1" applyFill="1" applyBorder="1"/>
    <xf numFmtId="165" fontId="0" fillId="9" borderId="0" xfId="0" applyNumberFormat="1" applyFill="1" applyBorder="1"/>
    <xf numFmtId="0" fontId="1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40" fillId="7" borderId="1" xfId="0" applyFont="1" applyFill="1" applyBorder="1" applyAlignment="1">
      <alignment horizontal="center"/>
    </xf>
    <xf numFmtId="0" fontId="41" fillId="0" borderId="19" xfId="0" applyFont="1" applyBorder="1" applyAlignment="1">
      <alignment horizontal="center" wrapText="1"/>
    </xf>
    <xf numFmtId="0" fontId="41" fillId="0" borderId="20" xfId="0" applyFont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16" xfId="0" applyFont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7" xfId="0" applyFont="1" applyBorder="1" applyAlignment="1">
      <alignment horizontal="center" wrapText="1"/>
    </xf>
    <xf numFmtId="0" fontId="40" fillId="1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/>
    </xf>
    <xf numFmtId="166" fontId="0" fillId="3" borderId="0" xfId="0" applyNumberFormat="1" applyFill="1"/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justify" vertical="center" wrapText="1"/>
    </xf>
    <xf numFmtId="0" fontId="44" fillId="0" borderId="19" xfId="0" applyFont="1" applyBorder="1" applyAlignment="1">
      <alignment horizontal="left" vertical="center" wrapText="1"/>
    </xf>
    <xf numFmtId="0" fontId="44" fillId="0" borderId="20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40" fillId="10" borderId="26" xfId="0" applyFont="1" applyFill="1" applyBorder="1" applyAlignment="1">
      <alignment horizontal="center"/>
    </xf>
    <xf numFmtId="0" fontId="0" fillId="11" borderId="1" xfId="0" applyFill="1" applyBorder="1" applyAlignment="1">
      <alignment horizontal="right"/>
    </xf>
    <xf numFmtId="0" fontId="0" fillId="11" borderId="1" xfId="0" applyFill="1" applyBorder="1"/>
    <xf numFmtId="0" fontId="3" fillId="11" borderId="1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0" fillId="2" borderId="12" xfId="0" applyFill="1" applyBorder="1" applyAlignment="1">
      <alignment wrapText="1"/>
    </xf>
    <xf numFmtId="0" fontId="0" fillId="2" borderId="25" xfId="0" applyFill="1" applyBorder="1"/>
    <xf numFmtId="0" fontId="0" fillId="2" borderId="12" xfId="0" applyFill="1" applyBorder="1" applyAlignment="1">
      <alignment horizontal="center"/>
    </xf>
    <xf numFmtId="0" fontId="47" fillId="2" borderId="12" xfId="0" applyFont="1" applyFill="1" applyBorder="1" applyAlignment="1">
      <alignment horizontal="center"/>
    </xf>
    <xf numFmtId="0" fontId="0" fillId="0" borderId="26" xfId="0" applyBorder="1"/>
    <xf numFmtId="0" fontId="0" fillId="0" borderId="13" xfId="0" applyBorder="1"/>
    <xf numFmtId="0" fontId="0" fillId="11" borderId="1" xfId="0" applyFill="1" applyBorder="1" applyAlignment="1">
      <alignment horizontal="center"/>
    </xf>
    <xf numFmtId="175" fontId="3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right" vertical="center"/>
    </xf>
    <xf numFmtId="0" fontId="0" fillId="11" borderId="1" xfId="0" applyFill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</xdr:colOff>
          <xdr:row>4</xdr:row>
          <xdr:rowOff>38100</xdr:rowOff>
        </xdr:from>
        <xdr:to>
          <xdr:col>14</xdr:col>
          <xdr:colOff>594360</xdr:colOff>
          <xdr:row>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10</xdr:row>
      <xdr:rowOff>32084</xdr:rowOff>
    </xdr:from>
    <xdr:to>
      <xdr:col>8</xdr:col>
      <xdr:colOff>192506</xdr:colOff>
      <xdr:row>12</xdr:row>
      <xdr:rowOff>33446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10</xdr:row>
          <xdr:rowOff>7620</xdr:rowOff>
        </xdr:from>
        <xdr:to>
          <xdr:col>13</xdr:col>
          <xdr:colOff>495300</xdr:colOff>
          <xdr:row>12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300182</xdr:colOff>
      <xdr:row>13</xdr:row>
      <xdr:rowOff>180877</xdr:rowOff>
    </xdr:from>
    <xdr:to>
      <xdr:col>15</xdr:col>
      <xdr:colOff>269393</xdr:colOff>
      <xdr:row>15</xdr:row>
      <xdr:rowOff>139133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427"/>
        <a:stretch/>
      </xdr:blipFill>
      <xdr:spPr>
        <a:xfrm>
          <a:off x="8555182" y="2782453"/>
          <a:ext cx="577272" cy="3431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250153</xdr:colOff>
      <xdr:row>10</xdr:row>
      <xdr:rowOff>18571</xdr:rowOff>
    </xdr:from>
    <xdr:to>
      <xdr:col>15</xdr:col>
      <xdr:colOff>438740</xdr:colOff>
      <xdr:row>11</xdr:row>
      <xdr:rowOff>160658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153" y="1688813"/>
          <a:ext cx="796648" cy="335098"/>
        </a:xfrm>
        <a:prstGeom prst="rect">
          <a:avLst/>
        </a:prstGeom>
      </xdr:spPr>
    </xdr:pic>
    <xdr:clientData/>
  </xdr:twoCellAnchor>
  <xdr:oneCellAnchor>
    <xdr:from>
      <xdr:col>16</xdr:col>
      <xdr:colOff>250153</xdr:colOff>
      <xdr:row>3</xdr:row>
      <xdr:rowOff>18571</xdr:rowOff>
    </xdr:from>
    <xdr:ext cx="797359" cy="332587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055" y="1675093"/>
          <a:ext cx="797359" cy="332587"/>
        </a:xfrm>
        <a:prstGeom prst="rect">
          <a:avLst/>
        </a:prstGeom>
      </xdr:spPr>
    </xdr:pic>
    <xdr:clientData/>
  </xdr:oneCellAnchor>
  <xdr:oneCellAnchor>
    <xdr:from>
      <xdr:col>16</xdr:col>
      <xdr:colOff>250153</xdr:colOff>
      <xdr:row>8</xdr:row>
      <xdr:rowOff>18571</xdr:rowOff>
    </xdr:from>
    <xdr:ext cx="797359" cy="33258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8370" y="1675093"/>
          <a:ext cx="797359" cy="332587"/>
        </a:xfrm>
        <a:prstGeom prst="rect">
          <a:avLst/>
        </a:prstGeom>
      </xdr:spPr>
    </xdr:pic>
    <xdr:clientData/>
  </xdr:oneCellAnchor>
  <xdr:twoCellAnchor editAs="oneCell">
    <xdr:from>
      <xdr:col>17</xdr:col>
      <xdr:colOff>99967</xdr:colOff>
      <xdr:row>13</xdr:row>
      <xdr:rowOff>39253</xdr:rowOff>
    </xdr:from>
    <xdr:to>
      <xdr:col>18</xdr:col>
      <xdr:colOff>534378</xdr:colOff>
      <xdr:row>15</xdr:row>
      <xdr:rowOff>75712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0897" y="2527272"/>
          <a:ext cx="1044011" cy="4192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68580</xdr:colOff>
          <xdr:row>1</xdr:row>
          <xdr:rowOff>22860</xdr:rowOff>
        </xdr:from>
        <xdr:to>
          <xdr:col>23</xdr:col>
          <xdr:colOff>480060</xdr:colOff>
          <xdr:row>3</xdr:row>
          <xdr:rowOff>68580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266700</xdr:colOff>
          <xdr:row>2</xdr:row>
          <xdr:rowOff>167640</xdr:rowOff>
        </xdr:from>
        <xdr:to>
          <xdr:col>26</xdr:col>
          <xdr:colOff>15240</xdr:colOff>
          <xdr:row>4</xdr:row>
          <xdr:rowOff>190500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533400</xdr:colOff>
          <xdr:row>11</xdr:row>
          <xdr:rowOff>190500</xdr:rowOff>
        </xdr:from>
        <xdr:to>
          <xdr:col>25</xdr:col>
          <xdr:colOff>182880</xdr:colOff>
          <xdr:row>15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27</xdr:col>
      <xdr:colOff>141035</xdr:colOff>
      <xdr:row>0</xdr:row>
      <xdr:rowOff>131844</xdr:rowOff>
    </xdr:from>
    <xdr:to>
      <xdr:col>32</xdr:col>
      <xdr:colOff>584262</xdr:colOff>
      <xdr:row>3</xdr:row>
      <xdr:rowOff>121330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13600" y="131844"/>
          <a:ext cx="3480184" cy="563747"/>
        </a:xfrm>
        <a:prstGeom prst="rect">
          <a:avLst/>
        </a:prstGeom>
      </xdr:spPr>
    </xdr:pic>
    <xdr:clientData/>
  </xdr:twoCellAnchor>
  <xdr:twoCellAnchor>
    <xdr:from>
      <xdr:col>31</xdr:col>
      <xdr:colOff>326243</xdr:colOff>
      <xdr:row>0</xdr:row>
      <xdr:rowOff>187739</xdr:rowOff>
    </xdr:from>
    <xdr:to>
      <xdr:col>32</xdr:col>
      <xdr:colOff>405617</xdr:colOff>
      <xdr:row>3</xdr:row>
      <xdr:rowOff>33131</xdr:rowOff>
    </xdr:to>
    <xdr:sp macro="" textlink="">
      <xdr:nvSpPr>
        <xdr:cNvPr id="7" name="Rectangle 6"/>
        <xdr:cNvSpPr/>
      </xdr:nvSpPr>
      <xdr:spPr>
        <a:xfrm>
          <a:off x="19028373" y="187739"/>
          <a:ext cx="686766" cy="419653"/>
        </a:xfrm>
        <a:prstGeom prst="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579091</xdr:colOff>
      <xdr:row>0</xdr:row>
      <xdr:rowOff>143566</xdr:rowOff>
    </xdr:from>
    <xdr:to>
      <xdr:col>32</xdr:col>
      <xdr:colOff>469117</xdr:colOff>
      <xdr:row>3</xdr:row>
      <xdr:rowOff>77305</xdr:rowOff>
    </xdr:to>
    <xdr:sp macro="" textlink="">
      <xdr:nvSpPr>
        <xdr:cNvPr id="15" name="Rectangle 14"/>
        <xdr:cNvSpPr/>
      </xdr:nvSpPr>
      <xdr:spPr>
        <a:xfrm>
          <a:off x="18066439" y="143566"/>
          <a:ext cx="1712200" cy="508000"/>
        </a:xfrm>
        <a:prstGeom prst="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127876</xdr:colOff>
          <xdr:row>18</xdr:row>
          <xdr:rowOff>217651</xdr:rowOff>
        </xdr:from>
        <xdr:to>
          <xdr:col>28</xdr:col>
          <xdr:colOff>597776</xdr:colOff>
          <xdr:row>18</xdr:row>
          <xdr:rowOff>530071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184150</xdr:colOff>
          <xdr:row>18</xdr:row>
          <xdr:rowOff>38100</xdr:rowOff>
        </xdr:from>
        <xdr:to>
          <xdr:col>30</xdr:col>
          <xdr:colOff>520700</xdr:colOff>
          <xdr:row>18</xdr:row>
          <xdr:rowOff>510540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</xdr:colOff>
          <xdr:row>16</xdr:row>
          <xdr:rowOff>0</xdr:rowOff>
        </xdr:from>
        <xdr:to>
          <xdr:col>45</xdr:col>
          <xdr:colOff>3295651</xdr:colOff>
          <xdr:row>17</xdr:row>
          <xdr:rowOff>139700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0</xdr:colOff>
          <xdr:row>18</xdr:row>
          <xdr:rowOff>0</xdr:rowOff>
        </xdr:from>
        <xdr:to>
          <xdr:col>46</xdr:col>
          <xdr:colOff>38100</xdr:colOff>
          <xdr:row>19</xdr:row>
          <xdr:rowOff>167640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215636</xdr:colOff>
          <xdr:row>10</xdr:row>
          <xdr:rowOff>175173</xdr:rowOff>
        </xdr:from>
        <xdr:to>
          <xdr:col>44</xdr:col>
          <xdr:colOff>272305</xdr:colOff>
          <xdr:row>12</xdr:row>
          <xdr:rowOff>98272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303923</xdr:colOff>
          <xdr:row>12</xdr:row>
          <xdr:rowOff>46858</xdr:rowOff>
        </xdr:from>
        <xdr:to>
          <xdr:col>44</xdr:col>
          <xdr:colOff>227549</xdr:colOff>
          <xdr:row>14</xdr:row>
          <xdr:rowOff>134532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1</xdr:row>
      <xdr:rowOff>32920</xdr:rowOff>
    </xdr:from>
    <xdr:to>
      <xdr:col>4</xdr:col>
      <xdr:colOff>177005</xdr:colOff>
      <xdr:row>3</xdr:row>
      <xdr:rowOff>175260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1" y="215800"/>
          <a:ext cx="1281904" cy="508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10436</xdr:colOff>
      <xdr:row>1</xdr:row>
      <xdr:rowOff>59468</xdr:rowOff>
    </xdr:from>
    <xdr:to>
      <xdr:col>7</xdr:col>
      <xdr:colOff>566448</xdr:colOff>
      <xdr:row>3</xdr:row>
      <xdr:rowOff>150907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295" y="241685"/>
          <a:ext cx="1773555" cy="45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23" Type="http://schemas.openxmlformats.org/officeDocument/2006/relationships/oleObject" Target="../embeddings/oleObject11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zoomScale="151" workbookViewId="0">
      <selection activeCell="E6" sqref="E6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44">
        <v>1</v>
      </c>
      <c r="J1" s="44">
        <v>2</v>
      </c>
      <c r="K1" s="44">
        <v>3</v>
      </c>
      <c r="L1" s="44">
        <v>4</v>
      </c>
      <c r="M1" s="44">
        <v>5</v>
      </c>
      <c r="N1" s="44">
        <v>6</v>
      </c>
      <c r="O1" s="44">
        <v>7</v>
      </c>
      <c r="P1" s="44">
        <v>8</v>
      </c>
      <c r="Q1" s="44">
        <v>9</v>
      </c>
      <c r="R1" s="44">
        <v>10</v>
      </c>
      <c r="S1" s="44">
        <v>11</v>
      </c>
      <c r="T1" s="44">
        <v>12</v>
      </c>
      <c r="U1" s="44">
        <v>13</v>
      </c>
      <c r="V1" s="44">
        <v>14</v>
      </c>
      <c r="W1" s="44">
        <v>15</v>
      </c>
      <c r="X1" s="44">
        <v>16</v>
      </c>
    </row>
    <row r="2" spans="2:25" s="6" customFormat="1" x14ac:dyDescent="0.3">
      <c r="D2" s="7"/>
      <c r="E2" s="7"/>
      <c r="F2" s="7"/>
      <c r="I2" s="45" t="s">
        <v>110</v>
      </c>
      <c r="J2" s="46">
        <v>6</v>
      </c>
      <c r="K2" s="47" t="s">
        <v>94</v>
      </c>
      <c r="L2" s="46">
        <v>16</v>
      </c>
      <c r="M2" s="43" t="s">
        <v>96</v>
      </c>
      <c r="N2" s="15">
        <v>26</v>
      </c>
      <c r="O2" s="46" t="s">
        <v>97</v>
      </c>
      <c r="P2" s="45">
        <v>36</v>
      </c>
      <c r="Q2" s="46">
        <v>41</v>
      </c>
      <c r="R2" s="49">
        <v>46</v>
      </c>
      <c r="S2" s="48">
        <v>51</v>
      </c>
      <c r="T2" s="3">
        <v>56</v>
      </c>
      <c r="U2" s="46">
        <v>61</v>
      </c>
      <c r="V2" s="46">
        <v>66</v>
      </c>
      <c r="W2" s="46" t="s">
        <v>104</v>
      </c>
      <c r="X2" s="3">
        <v>76</v>
      </c>
    </row>
    <row r="3" spans="2:25" s="6" customFormat="1" x14ac:dyDescent="0.3">
      <c r="D3" s="7"/>
      <c r="E3" s="7"/>
      <c r="F3" s="7"/>
      <c r="I3" s="46">
        <v>2</v>
      </c>
      <c r="J3" s="15">
        <v>7</v>
      </c>
      <c r="K3" s="15">
        <v>12</v>
      </c>
      <c r="L3" s="15">
        <v>17</v>
      </c>
      <c r="M3" s="42">
        <v>22</v>
      </c>
      <c r="N3" s="45">
        <v>27</v>
      </c>
      <c r="O3" s="15" t="s">
        <v>98</v>
      </c>
      <c r="P3" s="45">
        <v>37</v>
      </c>
      <c r="Q3" s="3">
        <v>42</v>
      </c>
      <c r="R3" s="3">
        <v>47</v>
      </c>
      <c r="S3" s="46" t="s">
        <v>101</v>
      </c>
      <c r="T3" s="49">
        <v>57</v>
      </c>
      <c r="U3" s="49">
        <v>62</v>
      </c>
      <c r="V3" s="46">
        <v>67</v>
      </c>
      <c r="W3" s="3">
        <v>72</v>
      </c>
      <c r="X3" s="49">
        <v>77</v>
      </c>
    </row>
    <row r="4" spans="2:25" s="6" customFormat="1" x14ac:dyDescent="0.3">
      <c r="B4" s="36" t="s">
        <v>50</v>
      </c>
      <c r="C4" s="7"/>
      <c r="D4" s="7"/>
      <c r="E4" s="7"/>
      <c r="F4" s="7"/>
      <c r="I4" s="45" t="s">
        <v>111</v>
      </c>
      <c r="J4" s="45" t="s">
        <v>92</v>
      </c>
      <c r="K4" s="15">
        <v>13</v>
      </c>
      <c r="L4" s="15">
        <v>18</v>
      </c>
      <c r="M4" s="9">
        <v>23</v>
      </c>
      <c r="N4" s="48">
        <v>28</v>
      </c>
      <c r="O4" s="45" t="s">
        <v>99</v>
      </c>
      <c r="P4" s="15">
        <v>38</v>
      </c>
      <c r="Q4" s="3">
        <v>43</v>
      </c>
      <c r="R4" s="49">
        <v>48</v>
      </c>
      <c r="S4" s="46">
        <v>53</v>
      </c>
      <c r="T4" s="46" t="s">
        <v>102</v>
      </c>
      <c r="U4" s="48">
        <v>63</v>
      </c>
      <c r="V4" s="3">
        <v>68</v>
      </c>
      <c r="W4" s="46" t="s">
        <v>105</v>
      </c>
      <c r="X4" s="46">
        <v>78</v>
      </c>
    </row>
    <row r="5" spans="2:25" s="6" customFormat="1" x14ac:dyDescent="0.3">
      <c r="B5" s="38" t="s">
        <v>52</v>
      </c>
      <c r="C5" s="38" t="s">
        <v>53</v>
      </c>
      <c r="D5" s="38" t="s">
        <v>51</v>
      </c>
      <c r="E5" s="38" t="s">
        <v>54</v>
      </c>
      <c r="F5" s="7"/>
      <c r="I5" s="15">
        <v>4</v>
      </c>
      <c r="J5" s="45" t="s">
        <v>93</v>
      </c>
      <c r="K5" s="15">
        <v>14</v>
      </c>
      <c r="L5" s="15">
        <v>19</v>
      </c>
      <c r="M5" s="42">
        <v>24</v>
      </c>
      <c r="N5" s="15">
        <v>29</v>
      </c>
      <c r="O5" s="15">
        <v>34</v>
      </c>
      <c r="P5" s="15" t="s">
        <v>100</v>
      </c>
      <c r="Q5" s="3">
        <v>44</v>
      </c>
      <c r="R5" s="3">
        <v>49</v>
      </c>
      <c r="S5" s="3">
        <v>54</v>
      </c>
      <c r="T5" s="3">
        <v>59</v>
      </c>
      <c r="U5" s="46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39">
        <v>2.5</v>
      </c>
      <c r="C6" s="39">
        <v>7.5</v>
      </c>
      <c r="D6" s="39">
        <v>5</v>
      </c>
      <c r="E6" s="15">
        <f>COUNTIFS($C$16:$C$89,"&gt;="&amp;B6,$C$16:$C$89,"&lt;"&amp;C6)</f>
        <v>1</v>
      </c>
      <c r="F6" s="7" t="s">
        <v>112</v>
      </c>
      <c r="I6" s="15">
        <v>5</v>
      </c>
      <c r="J6" s="48">
        <v>10</v>
      </c>
      <c r="K6" s="15">
        <v>15</v>
      </c>
      <c r="L6" s="45" t="s">
        <v>95</v>
      </c>
      <c r="M6" s="9">
        <v>25</v>
      </c>
      <c r="N6" s="15">
        <v>30</v>
      </c>
      <c r="O6" s="15">
        <v>35</v>
      </c>
      <c r="P6" s="15">
        <v>40</v>
      </c>
      <c r="Q6" s="3">
        <v>45</v>
      </c>
      <c r="R6" s="48">
        <v>50</v>
      </c>
      <c r="S6" s="3">
        <v>55</v>
      </c>
      <c r="T6" s="3">
        <v>60</v>
      </c>
      <c r="U6" s="3">
        <v>65</v>
      </c>
      <c r="V6" s="49">
        <v>70</v>
      </c>
      <c r="W6" s="3">
        <v>75</v>
      </c>
      <c r="X6" s="3" t="s">
        <v>106</v>
      </c>
    </row>
    <row r="7" spans="2:25" s="6" customFormat="1" x14ac:dyDescent="0.3">
      <c r="B7" s="39">
        <f>C6</f>
        <v>7.5</v>
      </c>
      <c r="C7" s="39">
        <f>B7+5</f>
        <v>12.5</v>
      </c>
      <c r="D7" s="39">
        <v>10</v>
      </c>
      <c r="E7" s="15">
        <f t="shared" ref="E7:E11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39">
        <f>C7</f>
        <v>12.5</v>
      </c>
      <c r="C8" s="39">
        <f>B8+5</f>
        <v>17.5</v>
      </c>
      <c r="D8" s="39">
        <v>15</v>
      </c>
      <c r="E8" s="15">
        <f t="shared" si="0"/>
        <v>5</v>
      </c>
      <c r="F8" s="7" t="s">
        <v>112</v>
      </c>
      <c r="I8" s="50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39">
        <f>C8</f>
        <v>17.5</v>
      </c>
      <c r="C9" s="39">
        <f>B9+5</f>
        <v>22.5</v>
      </c>
      <c r="D9" s="39">
        <v>20</v>
      </c>
      <c r="E9" s="15">
        <f t="shared" si="0"/>
        <v>22</v>
      </c>
      <c r="F9" s="7" t="s">
        <v>113</v>
      </c>
      <c r="I9" s="51" t="s">
        <v>109</v>
      </c>
      <c r="J9" s="40"/>
      <c r="K9" s="40"/>
      <c r="L9" s="40"/>
      <c r="M9" s="40"/>
      <c r="N9" s="40"/>
      <c r="O9" s="40"/>
      <c r="P9" s="40"/>
      <c r="Q9" s="7"/>
      <c r="R9" s="7"/>
      <c r="S9" s="7"/>
      <c r="T9" s="7"/>
      <c r="U9" s="7"/>
      <c r="V9" s="7"/>
      <c r="W9" s="7"/>
      <c r="X9" s="7"/>
    </row>
    <row r="10" spans="2:25" x14ac:dyDescent="0.3">
      <c r="B10" s="39">
        <f>C9</f>
        <v>22.5</v>
      </c>
      <c r="C10" s="39">
        <f>B10+5</f>
        <v>27.5</v>
      </c>
      <c r="D10" s="39">
        <v>25</v>
      </c>
      <c r="E10" s="15">
        <f t="shared" si="0"/>
        <v>35</v>
      </c>
      <c r="F10" s="7" t="s">
        <v>115</v>
      </c>
      <c r="I10" s="52" t="s">
        <v>108</v>
      </c>
      <c r="Y10" s="6"/>
    </row>
    <row r="11" spans="2:25" x14ac:dyDescent="0.3">
      <c r="B11" s="39">
        <f>C10</f>
        <v>27.5</v>
      </c>
      <c r="C11" s="39">
        <f>B11+5</f>
        <v>32.5</v>
      </c>
      <c r="D11" s="39">
        <v>30</v>
      </c>
      <c r="E11" s="15">
        <f t="shared" si="0"/>
        <v>10</v>
      </c>
      <c r="F11" s="7" t="s">
        <v>114</v>
      </c>
      <c r="I11" s="53" t="s">
        <v>116</v>
      </c>
    </row>
    <row r="12" spans="2:25" x14ac:dyDescent="0.3">
      <c r="B12" s="37"/>
      <c r="C12" s="37"/>
      <c r="D12" s="37"/>
      <c r="E12" s="37">
        <f ca="1">SUM(E6:E12)</f>
        <v>0</v>
      </c>
    </row>
    <row r="14" spans="2:25" x14ac:dyDescent="0.3">
      <c r="B14" s="210" t="s">
        <v>0</v>
      </c>
      <c r="C14" s="11" t="s">
        <v>33</v>
      </c>
      <c r="D14" s="11"/>
      <c r="E14" s="9"/>
      <c r="F14" s="20"/>
    </row>
    <row r="15" spans="2:25" x14ac:dyDescent="0.3">
      <c r="B15" s="210"/>
      <c r="C15" s="22" t="s">
        <v>27</v>
      </c>
      <c r="D15" s="22" t="s">
        <v>3</v>
      </c>
      <c r="E15" s="9" t="s">
        <v>55</v>
      </c>
      <c r="F15" s="20"/>
    </row>
    <row r="16" spans="2:25" x14ac:dyDescent="0.3">
      <c r="B16" s="15">
        <v>1</v>
      </c>
      <c r="C16" s="9">
        <v>22.6</v>
      </c>
      <c r="D16" s="7">
        <v>18.5</v>
      </c>
      <c r="E16" s="40">
        <f t="shared" ref="E16:E47" si="1">LOOKUP(C16,$B$6:$B$11,$D$6:$D$11)</f>
        <v>25</v>
      </c>
      <c r="F16" s="40" t="s">
        <v>57</v>
      </c>
    </row>
    <row r="17" spans="2:6" x14ac:dyDescent="0.3">
      <c r="B17" s="15">
        <v>2</v>
      </c>
      <c r="C17" s="9">
        <v>27.2</v>
      </c>
      <c r="E17" s="7">
        <f t="shared" si="1"/>
        <v>25</v>
      </c>
      <c r="F17" s="7" t="s">
        <v>58</v>
      </c>
    </row>
    <row r="18" spans="2:6" x14ac:dyDescent="0.3">
      <c r="B18" s="15">
        <v>3</v>
      </c>
      <c r="C18" s="9">
        <v>21.45</v>
      </c>
      <c r="D18" s="7">
        <v>22.5</v>
      </c>
      <c r="E18" s="40">
        <f t="shared" si="1"/>
        <v>20</v>
      </c>
      <c r="F18" s="40" t="s">
        <v>57</v>
      </c>
    </row>
    <row r="19" spans="2:6" x14ac:dyDescent="0.3">
      <c r="B19" s="15">
        <v>4</v>
      </c>
      <c r="C19" s="9">
        <v>21.7</v>
      </c>
      <c r="E19" s="7">
        <f t="shared" si="1"/>
        <v>20</v>
      </c>
      <c r="F19" s="7" t="s">
        <v>58</v>
      </c>
    </row>
    <row r="20" spans="2:6" x14ac:dyDescent="0.3">
      <c r="B20" s="15">
        <v>5</v>
      </c>
      <c r="C20" s="9">
        <v>25.8</v>
      </c>
      <c r="E20" s="7">
        <f t="shared" si="1"/>
        <v>25</v>
      </c>
      <c r="F20" s="7" t="s">
        <v>59</v>
      </c>
    </row>
    <row r="21" spans="2:6" x14ac:dyDescent="0.3">
      <c r="B21" s="15">
        <v>6</v>
      </c>
      <c r="C21" s="9">
        <v>26.85</v>
      </c>
      <c r="E21" s="7">
        <f t="shared" si="1"/>
        <v>25</v>
      </c>
      <c r="F21" s="7" t="s">
        <v>60</v>
      </c>
    </row>
    <row r="22" spans="2:6" x14ac:dyDescent="0.3">
      <c r="B22" s="15">
        <v>7</v>
      </c>
      <c r="C22" s="9">
        <v>24.75</v>
      </c>
      <c r="E22" s="7">
        <f t="shared" si="1"/>
        <v>25</v>
      </c>
      <c r="F22" s="7" t="s">
        <v>61</v>
      </c>
    </row>
    <row r="23" spans="2:6" x14ac:dyDescent="0.3">
      <c r="B23" s="15">
        <v>8</v>
      </c>
      <c r="C23" s="9">
        <v>26.45</v>
      </c>
      <c r="D23" s="7">
        <v>23</v>
      </c>
      <c r="E23" s="41">
        <f t="shared" si="1"/>
        <v>25</v>
      </c>
      <c r="F23" s="41" t="s">
        <v>62</v>
      </c>
    </row>
    <row r="24" spans="2:6" x14ac:dyDescent="0.3">
      <c r="B24" s="15">
        <v>9</v>
      </c>
      <c r="C24" s="9">
        <v>14.3</v>
      </c>
      <c r="D24" s="7">
        <v>15.5</v>
      </c>
      <c r="E24" s="40">
        <f t="shared" si="1"/>
        <v>15</v>
      </c>
      <c r="F24" s="40" t="s">
        <v>57</v>
      </c>
    </row>
    <row r="25" spans="2:6" x14ac:dyDescent="0.3">
      <c r="B25" s="15">
        <v>11</v>
      </c>
      <c r="C25" s="9">
        <v>29.4</v>
      </c>
      <c r="D25" s="7">
        <v>23.5</v>
      </c>
      <c r="E25" s="40">
        <f t="shared" si="1"/>
        <v>30</v>
      </c>
      <c r="F25" s="40" t="s">
        <v>57</v>
      </c>
    </row>
    <row r="26" spans="2:6" x14ac:dyDescent="0.3">
      <c r="B26" s="15">
        <v>12</v>
      </c>
      <c r="C26" s="9">
        <v>22.15</v>
      </c>
      <c r="E26" s="7">
        <f t="shared" si="1"/>
        <v>20</v>
      </c>
      <c r="F26" s="7" t="s">
        <v>59</v>
      </c>
    </row>
    <row r="27" spans="2:6" x14ac:dyDescent="0.3">
      <c r="B27" s="15">
        <v>13</v>
      </c>
      <c r="C27" s="9">
        <v>20.5</v>
      </c>
      <c r="E27" s="7">
        <f t="shared" si="1"/>
        <v>20</v>
      </c>
      <c r="F27" s="7" t="s">
        <v>60</v>
      </c>
    </row>
    <row r="28" spans="2:6" x14ac:dyDescent="0.3">
      <c r="B28" s="15">
        <v>15</v>
      </c>
      <c r="C28" s="9">
        <v>25</v>
      </c>
      <c r="E28" s="7">
        <f t="shared" si="1"/>
        <v>25</v>
      </c>
      <c r="F28" s="7" t="s">
        <v>63</v>
      </c>
    </row>
    <row r="29" spans="2:6" x14ac:dyDescent="0.3">
      <c r="B29" s="15">
        <v>16</v>
      </c>
      <c r="C29" s="9">
        <v>28.35</v>
      </c>
      <c r="E29" s="7">
        <f t="shared" si="1"/>
        <v>30</v>
      </c>
      <c r="F29" s="7" t="s">
        <v>58</v>
      </c>
    </row>
    <row r="30" spans="2:6" x14ac:dyDescent="0.3">
      <c r="B30" s="15">
        <v>17</v>
      </c>
      <c r="C30" s="9">
        <v>20.75</v>
      </c>
      <c r="E30" s="7">
        <f t="shared" si="1"/>
        <v>20</v>
      </c>
      <c r="F30" s="7" t="s">
        <v>61</v>
      </c>
    </row>
    <row r="31" spans="2:6" x14ac:dyDescent="0.3">
      <c r="B31" s="15">
        <v>18</v>
      </c>
      <c r="C31" s="9">
        <v>24.7</v>
      </c>
      <c r="E31" s="7">
        <f t="shared" si="1"/>
        <v>25</v>
      </c>
      <c r="F31" s="7" t="s">
        <v>64</v>
      </c>
    </row>
    <row r="32" spans="2:6" x14ac:dyDescent="0.3">
      <c r="B32" s="15">
        <v>19</v>
      </c>
      <c r="C32" s="9">
        <v>25.2</v>
      </c>
      <c r="E32" s="7">
        <f t="shared" si="1"/>
        <v>25</v>
      </c>
      <c r="F32" s="7" t="s">
        <v>65</v>
      </c>
    </row>
    <row r="33" spans="2:6" x14ac:dyDescent="0.3">
      <c r="B33" s="15">
        <v>20</v>
      </c>
      <c r="C33" s="9">
        <v>4.05</v>
      </c>
      <c r="D33" s="7">
        <v>5.5</v>
      </c>
      <c r="E33" s="40">
        <f t="shared" si="1"/>
        <v>5</v>
      </c>
      <c r="F33" s="40" t="s">
        <v>56</v>
      </c>
    </row>
    <row r="34" spans="2:6" x14ac:dyDescent="0.3">
      <c r="B34" s="15">
        <v>21</v>
      </c>
      <c r="C34" s="9">
        <v>21.25</v>
      </c>
      <c r="D34" s="7">
        <v>22.5</v>
      </c>
      <c r="E34" s="40">
        <f t="shared" si="1"/>
        <v>20</v>
      </c>
      <c r="F34" s="40" t="s">
        <v>62</v>
      </c>
    </row>
    <row r="35" spans="2:6" x14ac:dyDescent="0.3">
      <c r="B35" s="15">
        <v>22</v>
      </c>
      <c r="C35" s="9">
        <v>21.95</v>
      </c>
      <c r="E35" s="7">
        <f t="shared" si="1"/>
        <v>20</v>
      </c>
      <c r="F35" s="7" t="s">
        <v>63</v>
      </c>
    </row>
    <row r="36" spans="2:6" x14ac:dyDescent="0.3">
      <c r="B36" s="15">
        <v>23</v>
      </c>
      <c r="C36" s="9">
        <v>22.75</v>
      </c>
      <c r="E36" s="7">
        <f t="shared" si="1"/>
        <v>25</v>
      </c>
      <c r="F36" s="7" t="s">
        <v>66</v>
      </c>
    </row>
    <row r="37" spans="2:6" x14ac:dyDescent="0.3">
      <c r="B37" s="15">
        <v>24</v>
      </c>
      <c r="C37" s="9">
        <v>14.65</v>
      </c>
      <c r="E37" s="7">
        <f t="shared" si="1"/>
        <v>15</v>
      </c>
      <c r="F37" s="7" t="s">
        <v>58</v>
      </c>
    </row>
    <row r="38" spans="2:6" x14ac:dyDescent="0.3">
      <c r="B38" s="15">
        <v>25</v>
      </c>
      <c r="C38" s="9">
        <v>20.05</v>
      </c>
      <c r="E38" s="7">
        <f t="shared" si="1"/>
        <v>20</v>
      </c>
      <c r="F38" s="7" t="s">
        <v>64</v>
      </c>
    </row>
    <row r="39" spans="2:6" x14ac:dyDescent="0.3">
      <c r="B39" s="15">
        <v>26</v>
      </c>
      <c r="C39" s="9">
        <v>20.100000000000001</v>
      </c>
      <c r="E39" s="7">
        <f t="shared" si="1"/>
        <v>20</v>
      </c>
      <c r="F39" s="7" t="s">
        <v>65</v>
      </c>
    </row>
    <row r="40" spans="2:6" x14ac:dyDescent="0.3">
      <c r="B40" s="15">
        <v>27</v>
      </c>
      <c r="C40" s="9">
        <v>22.6</v>
      </c>
      <c r="E40" s="7">
        <f t="shared" si="1"/>
        <v>25</v>
      </c>
      <c r="F40" s="7" t="s">
        <v>67</v>
      </c>
    </row>
    <row r="41" spans="2:6" x14ac:dyDescent="0.3">
      <c r="B41" s="15">
        <v>29</v>
      </c>
      <c r="C41" s="9">
        <v>17.350000000000001</v>
      </c>
      <c r="E41" s="7">
        <f t="shared" si="1"/>
        <v>15</v>
      </c>
      <c r="F41" s="7" t="s">
        <v>59</v>
      </c>
    </row>
    <row r="42" spans="2:6" x14ac:dyDescent="0.3">
      <c r="B42" s="15">
        <v>30</v>
      </c>
      <c r="C42" s="9">
        <v>24.5</v>
      </c>
      <c r="E42" s="7">
        <f t="shared" si="1"/>
        <v>25</v>
      </c>
      <c r="F42" s="7" t="s">
        <v>68</v>
      </c>
    </row>
    <row r="43" spans="2:6" x14ac:dyDescent="0.3">
      <c r="B43" s="15">
        <v>31</v>
      </c>
      <c r="C43" s="9">
        <v>26.9</v>
      </c>
      <c r="D43" s="7">
        <v>23</v>
      </c>
      <c r="E43" s="7">
        <f t="shared" si="1"/>
        <v>25</v>
      </c>
      <c r="F43" s="7" t="s">
        <v>69</v>
      </c>
    </row>
    <row r="44" spans="2:6" x14ac:dyDescent="0.3">
      <c r="B44" s="15">
        <v>32</v>
      </c>
      <c r="C44" s="9">
        <v>19.55</v>
      </c>
      <c r="D44" s="7">
        <v>20.5</v>
      </c>
      <c r="E44" s="7">
        <f t="shared" si="1"/>
        <v>20</v>
      </c>
      <c r="F44" s="7" t="s">
        <v>66</v>
      </c>
    </row>
    <row r="45" spans="2:6" x14ac:dyDescent="0.3">
      <c r="B45" s="15">
        <v>33</v>
      </c>
      <c r="C45" s="9">
        <v>8.15</v>
      </c>
      <c r="D45" s="7">
        <v>11.5</v>
      </c>
      <c r="E45" s="40">
        <f t="shared" si="1"/>
        <v>10</v>
      </c>
      <c r="F45" s="40" t="s">
        <v>56</v>
      </c>
    </row>
    <row r="46" spans="2:6" x14ac:dyDescent="0.3">
      <c r="B46" s="15">
        <v>34</v>
      </c>
      <c r="C46" s="9">
        <v>22.95</v>
      </c>
      <c r="E46" s="7">
        <f t="shared" si="1"/>
        <v>25</v>
      </c>
      <c r="F46" s="7" t="s">
        <v>70</v>
      </c>
    </row>
    <row r="47" spans="2:6" x14ac:dyDescent="0.3">
      <c r="B47" s="15">
        <v>35</v>
      </c>
      <c r="C47" s="9">
        <v>24.25</v>
      </c>
      <c r="E47" s="7">
        <f t="shared" si="1"/>
        <v>25</v>
      </c>
      <c r="F47" s="7" t="s">
        <v>71</v>
      </c>
    </row>
    <row r="48" spans="2:6" x14ac:dyDescent="0.3">
      <c r="B48" s="15">
        <v>36</v>
      </c>
      <c r="C48" s="9">
        <v>21.95</v>
      </c>
      <c r="E48" s="7">
        <f t="shared" ref="E48:E79" si="2">LOOKUP(C48,$B$6:$B$11,$D$6:$D$11)</f>
        <v>20</v>
      </c>
      <c r="F48" s="7" t="s">
        <v>67</v>
      </c>
    </row>
    <row r="49" spans="2:6" x14ac:dyDescent="0.3">
      <c r="B49" s="15">
        <v>37</v>
      </c>
      <c r="C49" s="9">
        <v>22.6</v>
      </c>
      <c r="E49" s="7">
        <f t="shared" si="2"/>
        <v>25</v>
      </c>
      <c r="F49" s="7" t="s">
        <v>72</v>
      </c>
    </row>
    <row r="50" spans="2:6" x14ac:dyDescent="0.3">
      <c r="B50" s="15">
        <v>38</v>
      </c>
      <c r="C50" s="9">
        <v>23.3</v>
      </c>
      <c r="E50" s="7">
        <f t="shared" si="2"/>
        <v>25</v>
      </c>
      <c r="F50" s="7" t="s">
        <v>73</v>
      </c>
    </row>
    <row r="51" spans="2:6" x14ac:dyDescent="0.3">
      <c r="B51" s="15">
        <v>39</v>
      </c>
      <c r="C51" s="9">
        <v>24.9</v>
      </c>
      <c r="D51" s="7">
        <v>22</v>
      </c>
      <c r="E51" s="7">
        <f t="shared" si="2"/>
        <v>25</v>
      </c>
      <c r="F51" s="7" t="s">
        <v>74</v>
      </c>
    </row>
    <row r="52" spans="2:6" x14ac:dyDescent="0.3">
      <c r="B52" s="15">
        <v>40</v>
      </c>
      <c r="C52" s="9">
        <v>21.85</v>
      </c>
      <c r="E52" s="7">
        <f t="shared" si="2"/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 t="shared" si="2"/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 t="shared" si="2"/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 t="shared" si="2"/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 t="shared" si="2"/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 t="shared" si="2"/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 t="shared" si="2"/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 t="shared" si="2"/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 t="shared" si="2"/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 t="shared" si="2"/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 t="shared" si="2"/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 t="shared" si="2"/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 t="shared" si="2"/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 t="shared" si="2"/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 t="shared" si="2"/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 t="shared" si="2"/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 t="shared" si="2"/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 t="shared" si="2"/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 t="shared" si="2"/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 t="shared" si="2"/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 t="shared" si="2"/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 t="shared" si="2"/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 t="shared" si="2"/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 t="shared" si="2"/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 t="shared" si="2"/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 t="shared" si="2"/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 t="shared" si="2"/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 t="shared" si="2"/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 t="shared" ref="E80:E89" si="3"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 t="shared" si="3"/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 t="shared" si="3"/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 t="shared" si="3"/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 t="shared" si="3"/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 t="shared" si="3"/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 t="shared" si="3"/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 t="shared" si="3"/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 t="shared" si="3"/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 t="shared" si="3"/>
        <v>25</v>
      </c>
      <c r="F89" s="7" t="s">
        <v>84</v>
      </c>
    </row>
    <row r="91" spans="2:6" x14ac:dyDescent="0.3">
      <c r="B91" s="15">
        <v>10</v>
      </c>
      <c r="C91" s="9"/>
      <c r="D91" s="20"/>
    </row>
    <row r="92" spans="2:6" x14ac:dyDescent="0.3">
      <c r="B92" s="15">
        <v>14</v>
      </c>
      <c r="C92" s="9"/>
      <c r="D92" s="20"/>
    </row>
    <row r="93" spans="2:6" x14ac:dyDescent="0.3">
      <c r="B93" s="15">
        <v>28</v>
      </c>
      <c r="C93" s="9"/>
      <c r="D93" s="20"/>
    </row>
    <row r="94" spans="2:6" x14ac:dyDescent="0.3">
      <c r="B94" s="3">
        <v>50</v>
      </c>
      <c r="C94" s="9"/>
      <c r="D94" s="20"/>
    </row>
    <row r="95" spans="2:6" x14ac:dyDescent="0.3">
      <c r="B95" s="3">
        <v>51</v>
      </c>
      <c r="C95" s="9"/>
      <c r="D95" s="20"/>
    </row>
    <row r="96" spans="2:6" x14ac:dyDescent="0.3">
      <c r="B96" s="3">
        <v>63</v>
      </c>
      <c r="C96" s="9"/>
      <c r="D96" s="20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1"/>
  <sheetViews>
    <sheetView tabSelected="1" topLeftCell="X1" zoomScale="87" zoomScaleNormal="194" workbookViewId="0">
      <selection activeCell="AL19" sqref="AL19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  <col min="19" max="20" width="8.88671875" customWidth="1"/>
    <col min="22" max="22" width="8.88671875" customWidth="1"/>
    <col min="24" max="24" width="10.5546875" bestFit="1" customWidth="1"/>
    <col min="25" max="25" width="10.88671875" customWidth="1"/>
    <col min="27" max="27" width="7" style="6" customWidth="1"/>
    <col min="38" max="38" width="1.5546875" style="6" customWidth="1"/>
    <col min="39" max="41" width="8.88671875" style="6"/>
    <col min="42" max="42" width="4" style="6" customWidth="1"/>
    <col min="44" max="44" width="6" customWidth="1"/>
    <col min="45" max="45" width="11" customWidth="1"/>
    <col min="46" max="46" width="48.109375" customWidth="1"/>
    <col min="47" max="48" width="11" customWidth="1"/>
  </cols>
  <sheetData>
    <row r="1" spans="2:48" s="6" customFormat="1" ht="15" thickBot="1" x14ac:dyDescent="0.35">
      <c r="B1" s="5" t="s">
        <v>6</v>
      </c>
      <c r="F1" s="7"/>
      <c r="Q1" s="83" t="s">
        <v>139</v>
      </c>
      <c r="AB1" s="96"/>
      <c r="AC1" s="147"/>
      <c r="AD1" s="147"/>
      <c r="AE1" s="147"/>
      <c r="AF1" s="147"/>
      <c r="AG1" s="97"/>
    </row>
    <row r="2" spans="2:48" s="6" customFormat="1" ht="14.4" customHeight="1" x14ac:dyDescent="0.3">
      <c r="B2" s="7" t="s">
        <v>7</v>
      </c>
      <c r="F2" s="7"/>
      <c r="L2" s="60" t="s">
        <v>117</v>
      </c>
      <c r="Q2" s="76" t="s">
        <v>129</v>
      </c>
      <c r="R2" s="65">
        <v>0.19</v>
      </c>
      <c r="S2" s="227" t="s">
        <v>138</v>
      </c>
      <c r="T2" s="228"/>
      <c r="U2" s="229"/>
      <c r="W2" s="96"/>
      <c r="X2" s="147"/>
      <c r="Y2" s="147"/>
      <c r="Z2" s="97"/>
      <c r="AA2" s="30"/>
      <c r="AB2" s="81"/>
      <c r="AC2" s="30"/>
      <c r="AD2" s="30"/>
      <c r="AE2" s="30"/>
      <c r="AF2" s="30"/>
      <c r="AG2" s="82"/>
    </row>
    <row r="3" spans="2:48" ht="15.6" x14ac:dyDescent="0.35">
      <c r="C3" s="6"/>
      <c r="D3" s="6"/>
      <c r="E3" s="6"/>
      <c r="G3" s="6"/>
      <c r="H3" s="6"/>
      <c r="K3" s="220" t="s">
        <v>3</v>
      </c>
      <c r="L3" s="33" t="s">
        <v>43</v>
      </c>
      <c r="M3" s="33" t="s">
        <v>44</v>
      </c>
      <c r="N3" s="33" t="s">
        <v>45</v>
      </c>
      <c r="O3" s="33" t="s">
        <v>46</v>
      </c>
      <c r="Q3" s="79" t="s">
        <v>135</v>
      </c>
      <c r="R3" s="80">
        <f>100^2/(L9^2*R2^2)</f>
        <v>508.99850722060449</v>
      </c>
      <c r="S3" s="230"/>
      <c r="T3" s="231"/>
      <c r="U3" s="232"/>
      <c r="W3" s="81"/>
      <c r="X3" s="30"/>
      <c r="Y3" s="30"/>
      <c r="Z3" s="82"/>
      <c r="AA3" s="30"/>
      <c r="AB3" s="81"/>
      <c r="AC3" s="30"/>
      <c r="AD3" s="30"/>
      <c r="AE3" s="30"/>
      <c r="AF3" s="30"/>
      <c r="AG3" s="82"/>
    </row>
    <row r="4" spans="2:48" x14ac:dyDescent="0.3">
      <c r="C4" s="6"/>
      <c r="D4" s="6"/>
      <c r="E4" s="6"/>
      <c r="F4" s="10" t="s">
        <v>13</v>
      </c>
      <c r="G4" s="17">
        <f>10000/C11</f>
        <v>6.25</v>
      </c>
      <c r="H4" s="6"/>
      <c r="I4" s="6"/>
      <c r="K4" s="220"/>
      <c r="L4" s="34">
        <v>-1.770086</v>
      </c>
      <c r="M4" s="35">
        <v>-0.233239</v>
      </c>
      <c r="N4" s="35">
        <v>0.54879800000000001</v>
      </c>
      <c r="O4" s="35">
        <v>-5.5273999999999997E-2</v>
      </c>
      <c r="P4" s="28"/>
      <c r="Q4" s="81"/>
      <c r="R4" s="82"/>
      <c r="S4" s="230"/>
      <c r="T4" s="231"/>
      <c r="U4" s="232"/>
      <c r="W4" s="81"/>
      <c r="X4" s="30"/>
      <c r="Y4" s="30"/>
      <c r="Z4" s="82"/>
      <c r="AA4" s="30"/>
      <c r="AB4" s="81"/>
      <c r="AC4" s="30"/>
      <c r="AD4" s="30"/>
      <c r="AE4" s="30"/>
      <c r="AF4" s="30"/>
      <c r="AG4" s="82"/>
    </row>
    <row r="5" spans="2:48" ht="15" customHeight="1" thickBot="1" x14ac:dyDescent="0.35">
      <c r="B5" s="6"/>
      <c r="C5" s="6"/>
      <c r="D5" s="6"/>
      <c r="E5" s="6"/>
      <c r="I5" s="6"/>
      <c r="K5" s="14"/>
      <c r="L5" s="30"/>
      <c r="M5" s="31"/>
      <c r="N5" s="31"/>
      <c r="O5" s="31"/>
      <c r="P5" s="28"/>
      <c r="Q5" s="81"/>
      <c r="R5" s="78"/>
      <c r="S5" s="233" t="s">
        <v>136</v>
      </c>
      <c r="T5" s="234"/>
      <c r="U5" s="235"/>
      <c r="W5" s="81"/>
      <c r="X5" s="30"/>
      <c r="Y5" s="30"/>
      <c r="Z5" s="82"/>
      <c r="AA5" s="30"/>
      <c r="AB5" s="208">
        <f>1-EXP(AF6/AG6)</f>
        <v>0.94157493807131143</v>
      </c>
      <c r="AC5" s="204" t="s">
        <v>193</v>
      </c>
      <c r="AD5" s="204" t="s">
        <v>194</v>
      </c>
      <c r="AE5" s="204" t="s">
        <v>195</v>
      </c>
      <c r="AF5" s="204" t="s">
        <v>221</v>
      </c>
      <c r="AG5" s="205" t="s">
        <v>222</v>
      </c>
    </row>
    <row r="6" spans="2:48" ht="15" thickBot="1" x14ac:dyDescent="0.35">
      <c r="B6" s="64" t="s">
        <v>21</v>
      </c>
      <c r="C6" s="65" t="s">
        <v>22</v>
      </c>
      <c r="D6" s="6"/>
      <c r="E6" s="6"/>
      <c r="G6" s="10" t="s">
        <v>8</v>
      </c>
      <c r="H6" s="10" t="s">
        <v>24</v>
      </c>
      <c r="K6" s="14"/>
      <c r="L6" s="30"/>
      <c r="M6" s="31"/>
      <c r="N6" s="31"/>
      <c r="O6" s="31"/>
      <c r="P6" s="28"/>
      <c r="Q6" s="84" t="s">
        <v>131</v>
      </c>
      <c r="R6" s="92">
        <f>H7-R3</f>
        <v>-46.498507220604495</v>
      </c>
      <c r="S6" s="236"/>
      <c r="T6" s="237"/>
      <c r="U6" s="238"/>
      <c r="W6" s="148"/>
      <c r="X6" s="9" t="s">
        <v>193</v>
      </c>
      <c r="Y6" s="9" t="s">
        <v>194</v>
      </c>
      <c r="Z6" s="149" t="s">
        <v>195</v>
      </c>
      <c r="AA6" s="20"/>
      <c r="AB6" s="88"/>
      <c r="AC6" s="206">
        <v>1.0988</v>
      </c>
      <c r="AD6" s="206">
        <v>0.38690000000000002</v>
      </c>
      <c r="AE6" s="206">
        <v>2.8460999999999999</v>
      </c>
      <c r="AF6" s="206">
        <v>-1.0988</v>
      </c>
      <c r="AG6" s="207">
        <v>0.38690000000000002</v>
      </c>
    </row>
    <row r="7" spans="2:48" ht="14.4" customHeight="1" thickBot="1" x14ac:dyDescent="0.35">
      <c r="B7" s="66" t="s">
        <v>25</v>
      </c>
      <c r="C7" s="67">
        <v>35</v>
      </c>
      <c r="D7" s="6"/>
      <c r="E7" s="21" t="s">
        <v>28</v>
      </c>
      <c r="F7" s="10" t="s">
        <v>10</v>
      </c>
      <c r="G7" s="9">
        <f>COUNTIF(G22:G101,0)</f>
        <v>74</v>
      </c>
      <c r="H7" s="27">
        <f>G7*$G$4</f>
        <v>462.5</v>
      </c>
      <c r="I7" s="16" t="s">
        <v>11</v>
      </c>
      <c r="Q7" s="76" t="s">
        <v>129</v>
      </c>
      <c r="R7" s="65">
        <v>0.19</v>
      </c>
      <c r="S7" s="227" t="s">
        <v>137</v>
      </c>
      <c r="T7" s="228"/>
      <c r="U7" s="229"/>
      <c r="W7" s="150" t="s">
        <v>196</v>
      </c>
      <c r="X7" s="15">
        <v>0.21049999999999999</v>
      </c>
      <c r="Y7" s="15">
        <v>1.8190999999999999</v>
      </c>
      <c r="Z7" s="151">
        <v>1.0703</v>
      </c>
      <c r="AA7" s="186"/>
      <c r="AM7" s="298" t="s">
        <v>261</v>
      </c>
      <c r="AN7" s="299"/>
      <c r="AO7" s="300"/>
    </row>
    <row r="8" spans="2:48" ht="16.2" thickBot="1" x14ac:dyDescent="0.4">
      <c r="B8" s="66" t="s">
        <v>15</v>
      </c>
      <c r="C8" s="67">
        <v>1</v>
      </c>
      <c r="D8" s="6"/>
      <c r="E8" s="21" t="s">
        <v>29</v>
      </c>
      <c r="F8" s="10" t="s">
        <v>12</v>
      </c>
      <c r="G8" s="9">
        <f>COUNTIF(G22:G101,1)</f>
        <v>6</v>
      </c>
      <c r="H8" s="12">
        <f t="shared" ref="H8:H9" si="0">G8*$G$4</f>
        <v>37.5</v>
      </c>
      <c r="I8" s="16" t="s">
        <v>11</v>
      </c>
      <c r="L8" s="29" t="s">
        <v>24</v>
      </c>
      <c r="Q8" s="79" t="s">
        <v>135</v>
      </c>
      <c r="R8" s="80">
        <f>100^2/(26^2*R7^2)</f>
        <v>409.77560687767379</v>
      </c>
      <c r="S8" s="230"/>
      <c r="T8" s="231"/>
      <c r="U8" s="232"/>
      <c r="W8" s="152" t="s">
        <v>199</v>
      </c>
      <c r="X8" s="153">
        <v>0.1241</v>
      </c>
      <c r="Y8" s="153">
        <v>1.7828999999999999</v>
      </c>
      <c r="Z8" s="154">
        <v>1.1564000000000001</v>
      </c>
      <c r="AA8" s="186"/>
      <c r="AC8" s="213" t="s">
        <v>224</v>
      </c>
      <c r="AD8" s="214"/>
      <c r="AE8" s="215"/>
      <c r="AH8" s="213" t="s">
        <v>225</v>
      </c>
      <c r="AI8" s="214"/>
      <c r="AJ8" s="215"/>
      <c r="AK8" s="6"/>
      <c r="AM8" s="301"/>
      <c r="AN8" s="302"/>
      <c r="AO8" s="303"/>
    </row>
    <row r="9" spans="2:48" ht="15" thickBot="1" x14ac:dyDescent="0.35">
      <c r="B9" s="66" t="s">
        <v>18</v>
      </c>
      <c r="C9" s="67" t="s">
        <v>19</v>
      </c>
      <c r="D9" s="6"/>
      <c r="E9" s="21"/>
      <c r="F9" s="10" t="s">
        <v>14</v>
      </c>
      <c r="G9" s="9">
        <f>COUNT(G22:G101)</f>
        <v>80</v>
      </c>
      <c r="H9" s="12">
        <f t="shared" si="0"/>
        <v>500</v>
      </c>
      <c r="I9" s="16" t="s">
        <v>11</v>
      </c>
      <c r="J9" s="21" t="s">
        <v>120</v>
      </c>
      <c r="K9" s="25" t="s">
        <v>38</v>
      </c>
      <c r="L9" s="75">
        <f>AVERAGE(J22:J101)</f>
        <v>23.328571428571429</v>
      </c>
      <c r="M9" s="16" t="s">
        <v>5</v>
      </c>
      <c r="O9" s="76" t="s">
        <v>134</v>
      </c>
      <c r="P9" s="65">
        <v>0.27</v>
      </c>
      <c r="Q9" s="81"/>
      <c r="R9" s="82"/>
      <c r="S9" s="230"/>
      <c r="T9" s="231"/>
      <c r="U9" s="232"/>
      <c r="AC9" s="216"/>
      <c r="AD9" s="217"/>
      <c r="AE9" s="218"/>
      <c r="AH9" s="216"/>
      <c r="AI9" s="217"/>
      <c r="AJ9" s="218"/>
      <c r="AK9" s="6"/>
      <c r="AN9" s="7" t="s">
        <v>259</v>
      </c>
      <c r="AO9" s="7" t="s">
        <v>260</v>
      </c>
    </row>
    <row r="10" spans="2:48" ht="26.4" customHeight="1" thickBot="1" x14ac:dyDescent="0.4">
      <c r="B10" s="66" t="s">
        <v>20</v>
      </c>
      <c r="C10" s="67">
        <v>13</v>
      </c>
      <c r="E10" s="21" t="s">
        <v>31</v>
      </c>
      <c r="F10" s="10" t="s">
        <v>16</v>
      </c>
      <c r="G10" s="13">
        <f>SUM(H22:H95)</f>
        <v>3.1713733811494986</v>
      </c>
      <c r="H10" s="13">
        <f>G10*$G$4</f>
        <v>19.821083632184365</v>
      </c>
      <c r="I10" s="16" t="s">
        <v>17</v>
      </c>
      <c r="J10" s="21" t="s">
        <v>119</v>
      </c>
      <c r="K10" s="25" t="s">
        <v>39</v>
      </c>
      <c r="L10" s="59">
        <f>AVERAGE(K22:K101)</f>
        <v>27.87142857142857</v>
      </c>
      <c r="M10" s="16" t="s">
        <v>42</v>
      </c>
      <c r="O10" s="79" t="s">
        <v>135</v>
      </c>
      <c r="P10" s="80">
        <f>100^2/(L9^2*P9^2)</f>
        <v>252.05550220389333</v>
      </c>
      <c r="Q10" s="81"/>
      <c r="R10" s="82"/>
      <c r="S10" s="230"/>
      <c r="T10" s="231"/>
      <c r="U10" s="232"/>
      <c r="W10" s="17"/>
      <c r="X10" s="10" t="s">
        <v>185</v>
      </c>
      <c r="Y10" s="10" t="s">
        <v>186</v>
      </c>
      <c r="AB10" s="105" t="s">
        <v>220</v>
      </c>
      <c r="AC10" s="187" t="s">
        <v>219</v>
      </c>
      <c r="AD10" s="187" t="s">
        <v>185</v>
      </c>
      <c r="AE10" s="187" t="s">
        <v>186</v>
      </c>
      <c r="AH10" s="187" t="s">
        <v>219</v>
      </c>
      <c r="AI10" s="187" t="s">
        <v>185</v>
      </c>
      <c r="AJ10" s="187" t="s">
        <v>186</v>
      </c>
      <c r="AK10" s="6"/>
      <c r="AN10" s="134" t="s">
        <v>185</v>
      </c>
      <c r="AO10" s="134" t="s">
        <v>186</v>
      </c>
      <c r="AP10" s="304"/>
      <c r="AQ10" s="257" t="s">
        <v>226</v>
      </c>
      <c r="AR10" s="257"/>
      <c r="AS10" s="257"/>
      <c r="AT10" s="257"/>
      <c r="AU10" s="257"/>
      <c r="AV10" s="257"/>
    </row>
    <row r="11" spans="2:48" ht="15" thickBot="1" x14ac:dyDescent="0.35">
      <c r="B11" s="66" t="s">
        <v>23</v>
      </c>
      <c r="C11" s="67">
        <v>1600</v>
      </c>
      <c r="E11" s="21" t="s">
        <v>32</v>
      </c>
      <c r="F11" s="10" t="s">
        <v>30</v>
      </c>
      <c r="G11" s="26">
        <f>100*SQRT((4*G10)/(PI()*G7))</f>
        <v>23.359464775430851</v>
      </c>
      <c r="H11" s="9"/>
      <c r="I11" s="14"/>
      <c r="J11" s="14"/>
      <c r="K11" s="33" t="s">
        <v>49</v>
      </c>
      <c r="L11" s="94">
        <f>L4+M4*L9+N4*H7/1000+O4*G11</f>
        <v>-8.2485706524257374</v>
      </c>
      <c r="M11" s="96"/>
      <c r="N11" s="97"/>
      <c r="O11" s="81"/>
      <c r="P11" s="82"/>
      <c r="Q11" s="90" t="s">
        <v>131</v>
      </c>
      <c r="R11" s="91">
        <f>H7-R8</f>
        <v>52.724393122326205</v>
      </c>
      <c r="S11" s="239"/>
      <c r="T11" s="240"/>
      <c r="U11" s="241"/>
      <c r="V11" s="156" t="s">
        <v>198</v>
      </c>
      <c r="W11" s="25" t="s">
        <v>197</v>
      </c>
      <c r="X11" s="144">
        <f>SUM(N22:N101)</f>
        <v>30.299216583154791</v>
      </c>
      <c r="Y11" s="107">
        <f>X11*$G$4</f>
        <v>189.37010364471746</v>
      </c>
      <c r="Z11" s="155" t="s">
        <v>203</v>
      </c>
      <c r="AA11" s="155"/>
      <c r="AC11" s="179" t="s">
        <v>215</v>
      </c>
      <c r="AD11" s="180">
        <f>SUM(S22:S101)</f>
        <v>3.8103516963785249</v>
      </c>
      <c r="AE11" s="145">
        <f>AD11*$G$4</f>
        <v>23.814698102365782</v>
      </c>
      <c r="AF11" s="155" t="s">
        <v>203</v>
      </c>
      <c r="AH11" s="179" t="s">
        <v>215</v>
      </c>
      <c r="AI11" s="180">
        <f>SUM(X22:X101)</f>
        <v>0.43421431525578469</v>
      </c>
      <c r="AJ11" s="145">
        <f>AI11*$G$4</f>
        <v>2.7138394703486544</v>
      </c>
      <c r="AK11" s="155" t="s">
        <v>203</v>
      </c>
      <c r="AL11" s="155"/>
      <c r="AM11" s="293" t="s">
        <v>249</v>
      </c>
      <c r="AN11" s="297">
        <f>SUM(AB22:AB101)</f>
        <v>13944.925675224191</v>
      </c>
      <c r="AO11" s="116">
        <f>AN11*$G$4/1000</f>
        <v>87.155785470151201</v>
      </c>
      <c r="AQ11" s="258" t="s">
        <v>227</v>
      </c>
      <c r="AR11" s="259"/>
      <c r="AS11" s="259"/>
      <c r="AT11" s="259"/>
      <c r="AU11" s="259"/>
      <c r="AV11" s="260"/>
    </row>
    <row r="12" spans="2:48" ht="15" thickBot="1" x14ac:dyDescent="0.35">
      <c r="B12" s="66" t="s">
        <v>26</v>
      </c>
      <c r="C12" s="67">
        <v>30</v>
      </c>
      <c r="F12" s="10" t="s">
        <v>36</v>
      </c>
      <c r="G12" s="13">
        <f>AVERAGE(F22:F95)</f>
        <v>22.909459459459459</v>
      </c>
      <c r="I12" s="54"/>
      <c r="J12" s="54"/>
      <c r="K12" s="62" t="s">
        <v>122</v>
      </c>
      <c r="L12" s="95">
        <f>M14*(L9/M14)^((C10/C15)^N14)</f>
        <v>20.496080132356497</v>
      </c>
      <c r="M12" s="81"/>
      <c r="N12" s="82"/>
      <c r="O12" s="81"/>
      <c r="P12" s="78"/>
      <c r="V12" s="157" t="s">
        <v>201</v>
      </c>
      <c r="W12" s="168" t="s">
        <v>202</v>
      </c>
      <c r="X12" s="169">
        <f>SUM(O22:O101)</f>
        <v>24.555754635786837</v>
      </c>
      <c r="Y12" s="177">
        <f t="shared" ref="Y12" si="1">X12*$G$4</f>
        <v>153.47346647366774</v>
      </c>
      <c r="Z12" s="155" t="s">
        <v>204</v>
      </c>
      <c r="AA12" s="155"/>
      <c r="AC12" s="179" t="s">
        <v>216</v>
      </c>
      <c r="AD12" s="180">
        <f>SUM(T22:T101)</f>
        <v>18.818792138803374</v>
      </c>
      <c r="AE12" s="145">
        <f t="shared" ref="AE12:AE14" si="2">AD12*$G$4</f>
        <v>117.61745086752109</v>
      </c>
      <c r="AF12" s="155" t="s">
        <v>203</v>
      </c>
      <c r="AH12" s="179" t="s">
        <v>216</v>
      </c>
      <c r="AI12" s="180">
        <f>SUM(Y22:Y101)</f>
        <v>22.194929519926109</v>
      </c>
      <c r="AJ12" s="145">
        <f t="shared" ref="AJ12:AJ14" si="3">AI12*$G$4</f>
        <v>138.71830949953818</v>
      </c>
      <c r="AK12" s="155" t="s">
        <v>203</v>
      </c>
      <c r="AL12" s="155"/>
      <c r="AM12" s="293" t="s">
        <v>250</v>
      </c>
      <c r="AN12" s="297">
        <f>SUM(AC22:AC101)</f>
        <v>2331.6971553120247</v>
      </c>
      <c r="AO12" s="116">
        <f t="shared" ref="AO12:AO17" si="4">AN12*$G$4/1000</f>
        <v>14.573107220700154</v>
      </c>
      <c r="AP12" s="155"/>
      <c r="AQ12" s="261">
        <v>-1</v>
      </c>
      <c r="AR12" s="262"/>
      <c r="AS12" s="262"/>
      <c r="AT12" s="262"/>
      <c r="AU12" s="262"/>
      <c r="AV12" s="263"/>
    </row>
    <row r="13" spans="2:48" ht="15" thickBot="1" x14ac:dyDescent="0.35">
      <c r="B13" s="68" t="s">
        <v>9</v>
      </c>
      <c r="C13" s="69">
        <f>C11/100</f>
        <v>16</v>
      </c>
      <c r="E13" s="18"/>
      <c r="F13" s="19"/>
      <c r="G13" s="20"/>
      <c r="H13" s="18"/>
      <c r="I13" s="54"/>
      <c r="J13" s="54"/>
      <c r="K13" s="93" t="s">
        <v>123</v>
      </c>
      <c r="L13" s="54"/>
      <c r="M13" s="98" t="s">
        <v>124</v>
      </c>
      <c r="N13" s="99" t="s">
        <v>125</v>
      </c>
      <c r="O13" s="85" t="s">
        <v>131</v>
      </c>
      <c r="P13" s="86">
        <f>H7-P10</f>
        <v>210.44449779610667</v>
      </c>
      <c r="Q13" s="83" t="s">
        <v>133</v>
      </c>
      <c r="R13" s="102" t="s">
        <v>140</v>
      </c>
      <c r="S13" s="103">
        <f>H7*(G11/25)^1.6</f>
        <v>414.90468960947948</v>
      </c>
      <c r="T13" s="242" t="s">
        <v>141</v>
      </c>
      <c r="U13" s="242"/>
      <c r="V13" s="242"/>
      <c r="W13" s="96"/>
      <c r="X13" s="147"/>
      <c r="Y13" s="170"/>
      <c r="Z13" s="97"/>
      <c r="AA13" s="30"/>
      <c r="AC13" s="179" t="s">
        <v>217</v>
      </c>
      <c r="AD13" s="180">
        <f>SUM(U22:U101)</f>
        <v>1.842711808775469</v>
      </c>
      <c r="AE13" s="145">
        <f t="shared" si="2"/>
        <v>11.516948804846681</v>
      </c>
      <c r="AF13" s="155" t="s">
        <v>203</v>
      </c>
      <c r="AH13" s="179" t="s">
        <v>217</v>
      </c>
      <c r="AI13" s="180">
        <f>SUM(Z22:Z101)</f>
        <v>1.842711808775469</v>
      </c>
      <c r="AJ13" s="145">
        <f t="shared" si="3"/>
        <v>11.516948804846681</v>
      </c>
      <c r="AK13" s="155" t="s">
        <v>203</v>
      </c>
      <c r="AL13" s="155"/>
      <c r="AM13" s="293" t="s">
        <v>251</v>
      </c>
      <c r="AN13" s="297">
        <f>SUM(AD22:AD101)</f>
        <v>1475.6453561272381</v>
      </c>
      <c r="AO13" s="116">
        <f t="shared" si="4"/>
        <v>9.2227834757952394</v>
      </c>
      <c r="AP13" s="155"/>
      <c r="AQ13" s="261"/>
      <c r="AR13" s="262"/>
      <c r="AS13" s="262"/>
      <c r="AT13" s="262"/>
      <c r="AU13" s="262"/>
      <c r="AV13" s="263"/>
    </row>
    <row r="14" spans="2:48" ht="15" thickBot="1" x14ac:dyDescent="0.35">
      <c r="B14" s="70" t="s">
        <v>126</v>
      </c>
      <c r="C14" s="67" t="s">
        <v>127</v>
      </c>
      <c r="H14" s="8"/>
      <c r="I14" s="54"/>
      <c r="J14" s="54"/>
      <c r="L14" s="54"/>
      <c r="M14" s="100">
        <v>61.1372</v>
      </c>
      <c r="N14" s="101">
        <v>0.48049999999999998</v>
      </c>
      <c r="O14" s="76" t="s">
        <v>130</v>
      </c>
      <c r="P14" s="77">
        <f>100/(L9*SQRT(H7))</f>
        <v>0.19932234444745497</v>
      </c>
      <c r="Q14" s="105" t="s">
        <v>142</v>
      </c>
      <c r="R14" s="81"/>
      <c r="S14" s="30"/>
      <c r="T14" s="243"/>
      <c r="U14" s="243"/>
      <c r="V14" s="243"/>
      <c r="W14" s="81"/>
      <c r="X14" s="30"/>
      <c r="Y14" s="171"/>
      <c r="Z14" s="82"/>
      <c r="AA14" s="30"/>
      <c r="AC14" s="179" t="s">
        <v>218</v>
      </c>
      <c r="AD14" s="180">
        <f>SUM(V22:V101)</f>
        <v>8.3898991829477951E-2</v>
      </c>
      <c r="AE14" s="145">
        <f t="shared" si="2"/>
        <v>0.52436869893423721</v>
      </c>
      <c r="AF14" s="155" t="s">
        <v>203</v>
      </c>
      <c r="AH14" s="179" t="s">
        <v>218</v>
      </c>
      <c r="AI14" s="180">
        <f>SUM(AA22:AA101)</f>
        <v>8.3898991829477951E-2</v>
      </c>
      <c r="AJ14" s="145">
        <f t="shared" si="3"/>
        <v>0.52436869893423721</v>
      </c>
      <c r="AK14" s="155" t="s">
        <v>203</v>
      </c>
      <c r="AL14" s="155"/>
      <c r="AM14" s="293" t="s">
        <v>252</v>
      </c>
      <c r="AN14" s="297">
        <f>SUM(AE22:AE101)</f>
        <v>1028.2299207103226</v>
      </c>
      <c r="AO14" s="116">
        <f t="shared" si="4"/>
        <v>6.4264370044395163</v>
      </c>
      <c r="AP14" s="155"/>
      <c r="AQ14" s="261">
        <v>-2</v>
      </c>
      <c r="AR14" s="262"/>
      <c r="AS14" s="262"/>
      <c r="AT14" s="262"/>
      <c r="AU14" s="262"/>
      <c r="AV14" s="263"/>
    </row>
    <row r="15" spans="2:48" ht="15" thickBot="1" x14ac:dyDescent="0.35">
      <c r="B15" s="71" t="s">
        <v>128</v>
      </c>
      <c r="C15" s="72">
        <v>10</v>
      </c>
      <c r="I15" s="54"/>
      <c r="J15" s="54"/>
      <c r="K15" s="54"/>
      <c r="M15" s="54"/>
      <c r="N15" s="54"/>
      <c r="O15" s="81"/>
      <c r="P15" s="82"/>
      <c r="R15" s="81"/>
      <c r="S15" s="30"/>
      <c r="T15" s="243"/>
      <c r="U15" s="243"/>
      <c r="V15" s="243"/>
      <c r="W15" s="81"/>
      <c r="X15" s="30"/>
      <c r="Y15" s="171"/>
      <c r="Z15" s="82"/>
      <c r="AA15" s="30"/>
      <c r="AB15" s="18"/>
      <c r="AC15" s="18"/>
      <c r="AD15" s="18"/>
      <c r="AE15" s="209">
        <f>SUM(AE11:AE14)</f>
        <v>153.4734664736678</v>
      </c>
      <c r="AF15" s="18"/>
      <c r="AG15" s="18"/>
      <c r="AH15" s="6"/>
      <c r="AI15" s="6"/>
      <c r="AJ15" s="178">
        <f>SUM(AJ11:AJ14)</f>
        <v>153.47346647366777</v>
      </c>
      <c r="AK15" s="6"/>
      <c r="AM15" s="293" t="s">
        <v>253</v>
      </c>
      <c r="AN15" s="297">
        <f>SUM(AF22:AF101)</f>
        <v>18780.498107373769</v>
      </c>
      <c r="AO15" s="116">
        <f t="shared" si="4"/>
        <v>117.37811317108606</v>
      </c>
      <c r="AQ15" s="264"/>
      <c r="AR15" s="265"/>
      <c r="AS15" s="265"/>
      <c r="AT15" s="265"/>
      <c r="AU15" s="265"/>
      <c r="AV15" s="266"/>
    </row>
    <row r="16" spans="2:48" s="6" customFormat="1" ht="24.6" thickBot="1" x14ac:dyDescent="0.35">
      <c r="B16" s="73"/>
      <c r="C16" s="74"/>
      <c r="F16" s="7"/>
      <c r="I16" s="54"/>
      <c r="J16" s="54"/>
      <c r="K16" s="54"/>
      <c r="L16"/>
      <c r="O16" s="88"/>
      <c r="P16" s="89"/>
      <c r="Q16" s="87" t="s">
        <v>132</v>
      </c>
      <c r="R16" s="88"/>
      <c r="S16" s="104"/>
      <c r="T16" s="244"/>
      <c r="U16" s="244"/>
      <c r="V16" s="244"/>
      <c r="W16" s="81"/>
      <c r="X16" s="9" t="s">
        <v>193</v>
      </c>
      <c r="Y16" s="9" t="s">
        <v>194</v>
      </c>
      <c r="Z16" s="181" t="s">
        <v>195</v>
      </c>
      <c r="AA16" s="280" t="s">
        <v>193</v>
      </c>
      <c r="AB16" s="281">
        <v>9.9640000000000006E-3</v>
      </c>
      <c r="AC16" s="281">
        <v>5.9400000000000002E-4</v>
      </c>
      <c r="AD16" s="282">
        <v>9.5602999999999994E-2</v>
      </c>
      <c r="AE16" s="282">
        <v>0.24895200000000001</v>
      </c>
      <c r="AF16" s="18"/>
      <c r="AG16" s="18"/>
      <c r="AM16" s="293" t="s">
        <v>254</v>
      </c>
      <c r="AN16" s="297">
        <f>SUM(AG22:AG101)</f>
        <v>4670.7098793038595</v>
      </c>
      <c r="AO16" s="116">
        <f t="shared" si="4"/>
        <v>29.191936745649119</v>
      </c>
      <c r="AQ16" s="250" t="s">
        <v>228</v>
      </c>
      <c r="AR16" s="251" t="s">
        <v>229</v>
      </c>
      <c r="AS16" s="251" t="s">
        <v>230</v>
      </c>
      <c r="AT16" s="251" t="s">
        <v>231</v>
      </c>
      <c r="AU16" s="251" t="s">
        <v>232</v>
      </c>
      <c r="AV16" s="251" t="s">
        <v>233</v>
      </c>
    </row>
    <row r="17" spans="2:48" s="6" customFormat="1" ht="42" customHeight="1" thickBot="1" x14ac:dyDescent="0.35">
      <c r="B17" s="73"/>
      <c r="C17" s="74"/>
      <c r="F17" s="7"/>
      <c r="I17" s="54"/>
      <c r="J17" s="54"/>
      <c r="K17" s="54"/>
      <c r="O17" s="30"/>
      <c r="P17" s="30"/>
      <c r="Q17" s="87"/>
      <c r="R17" s="30"/>
      <c r="S17" s="30"/>
      <c r="T17" s="142"/>
      <c r="U17" s="142"/>
      <c r="V17" s="142"/>
      <c r="W17" s="172" t="s">
        <v>205</v>
      </c>
      <c r="X17" s="174">
        <v>0.60219999999999996</v>
      </c>
      <c r="Y17" s="167">
        <v>4.7766999999999999</v>
      </c>
      <c r="Z17" s="182">
        <v>4.4124999999999996</v>
      </c>
      <c r="AA17" s="295" t="s">
        <v>194</v>
      </c>
      <c r="AB17" s="296">
        <v>1.780459</v>
      </c>
      <c r="AC17" s="296">
        <v>2.3794749999999998</v>
      </c>
      <c r="AD17" s="294">
        <v>1.6746529999999999</v>
      </c>
      <c r="AE17" s="294">
        <v>1.264033</v>
      </c>
      <c r="AF17" s="18"/>
      <c r="AG17" s="18"/>
      <c r="AM17" s="293" t="s">
        <v>255</v>
      </c>
      <c r="AN17" s="297">
        <f>SUM(AH22:AH101)</f>
        <v>23451.207986677626</v>
      </c>
      <c r="AO17" s="116">
        <f t="shared" si="4"/>
        <v>146.57004991673514</v>
      </c>
      <c r="AQ17" s="252" t="s">
        <v>234</v>
      </c>
      <c r="AR17" s="267">
        <v>1</v>
      </c>
      <c r="AS17" s="267">
        <v>9.9640000000000006E-3</v>
      </c>
      <c r="AT17" s="269" t="s">
        <v>236</v>
      </c>
      <c r="AU17" s="267">
        <v>1.369618</v>
      </c>
      <c r="AV17" s="271" t="s">
        <v>237</v>
      </c>
    </row>
    <row r="18" spans="2:48" s="6" customFormat="1" ht="15" thickBot="1" x14ac:dyDescent="0.35">
      <c r="B18" s="73"/>
      <c r="C18" s="74"/>
      <c r="F18" s="7"/>
      <c r="I18" s="54"/>
      <c r="J18" s="54"/>
      <c r="K18" s="54"/>
      <c r="O18" s="30"/>
      <c r="P18" s="195" t="s">
        <v>220</v>
      </c>
      <c r="Q18" s="196"/>
      <c r="R18" s="197"/>
      <c r="S18" s="197"/>
      <c r="T18" s="198"/>
      <c r="U18" s="198"/>
      <c r="V18" s="198"/>
      <c r="W18" s="197"/>
      <c r="X18" s="199"/>
      <c r="Y18" s="200"/>
      <c r="Z18" s="200"/>
      <c r="AA18" s="280" t="s">
        <v>195</v>
      </c>
      <c r="AB18" s="281">
        <v>1.369618</v>
      </c>
      <c r="AC18" s="281">
        <v>1.0849880000000001</v>
      </c>
      <c r="AD18" s="282">
        <v>-0.85072999999999999</v>
      </c>
      <c r="AE18" s="282">
        <v>-0.71209999999999996</v>
      </c>
      <c r="AF18" s="291"/>
      <c r="AG18" s="281">
        <v>0.2487</v>
      </c>
      <c r="AH18" s="292"/>
      <c r="AQ18" s="253" t="s">
        <v>235</v>
      </c>
      <c r="AR18" s="268"/>
      <c r="AS18" s="268"/>
      <c r="AT18" s="270"/>
      <c r="AU18" s="268"/>
      <c r="AV18" s="272"/>
    </row>
    <row r="19" spans="2:48" s="6" customFormat="1" ht="42" customHeight="1" x14ac:dyDescent="0.45">
      <c r="B19" s="73"/>
      <c r="C19" s="74"/>
      <c r="F19" s="7"/>
      <c r="I19" s="54"/>
      <c r="J19" s="54"/>
      <c r="K19" s="54"/>
      <c r="L19" s="245" t="s">
        <v>121</v>
      </c>
      <c r="M19" s="245"/>
      <c r="N19" s="21" t="s">
        <v>198</v>
      </c>
      <c r="O19" s="159" t="s">
        <v>201</v>
      </c>
      <c r="P19" s="201"/>
      <c r="Q19" s="196"/>
      <c r="R19" s="114"/>
      <c r="S19" s="212" t="s">
        <v>224</v>
      </c>
      <c r="T19" s="212"/>
      <c r="U19" s="212"/>
      <c r="V19" s="212"/>
      <c r="W19" s="219" t="s">
        <v>225</v>
      </c>
      <c r="X19" s="219"/>
      <c r="Y19" s="219"/>
      <c r="Z19" s="219"/>
      <c r="AA19" s="279"/>
      <c r="AB19" s="288"/>
      <c r="AC19" s="14"/>
      <c r="AD19" s="284"/>
      <c r="AE19" s="283"/>
      <c r="AF19" s="287" t="s">
        <v>256</v>
      </c>
      <c r="AG19" s="290" t="s">
        <v>257</v>
      </c>
      <c r="AH19" s="289" t="s">
        <v>258</v>
      </c>
      <c r="AI19" s="286"/>
      <c r="AQ19" s="252" t="s">
        <v>238</v>
      </c>
      <c r="AR19" s="267">
        <v>1</v>
      </c>
      <c r="AS19" s="267">
        <v>5.9400000000000002E-4</v>
      </c>
      <c r="AT19" s="269" t="s">
        <v>240</v>
      </c>
      <c r="AU19" s="267">
        <v>1.0849880000000001</v>
      </c>
      <c r="AV19" s="271" t="s">
        <v>237</v>
      </c>
    </row>
    <row r="20" spans="2:48" ht="15" thickBot="1" x14ac:dyDescent="0.35">
      <c r="B20" s="221" t="s">
        <v>0</v>
      </c>
      <c r="C20" s="63" t="s">
        <v>4</v>
      </c>
      <c r="D20" s="4" t="s">
        <v>4</v>
      </c>
      <c r="E20" s="4" t="s">
        <v>5</v>
      </c>
      <c r="F20" s="11" t="s">
        <v>33</v>
      </c>
      <c r="G20" s="222" t="s">
        <v>34</v>
      </c>
      <c r="H20" s="55"/>
      <c r="I20" s="61" t="s">
        <v>118</v>
      </c>
      <c r="J20" s="223" t="s">
        <v>40</v>
      </c>
      <c r="K20" s="225" t="s">
        <v>41</v>
      </c>
      <c r="L20" s="164"/>
      <c r="M20" s="160"/>
      <c r="N20" s="57"/>
      <c r="O20" s="163"/>
      <c r="P20" s="211" t="s">
        <v>206</v>
      </c>
      <c r="Q20" s="211"/>
      <c r="R20" s="211"/>
      <c r="S20" s="193" t="s">
        <v>210</v>
      </c>
      <c r="T20" s="194" t="s">
        <v>209</v>
      </c>
      <c r="U20" s="194" t="s">
        <v>212</v>
      </c>
      <c r="V20" s="194" t="s">
        <v>213</v>
      </c>
      <c r="W20" s="189" t="s">
        <v>223</v>
      </c>
      <c r="X20" s="190" t="s">
        <v>210</v>
      </c>
      <c r="Y20" s="191" t="s">
        <v>209</v>
      </c>
      <c r="Z20" s="191" t="s">
        <v>212</v>
      </c>
      <c r="AA20" s="191" t="s">
        <v>213</v>
      </c>
      <c r="AB20" s="14"/>
      <c r="AC20" s="14"/>
      <c r="AD20" s="285"/>
      <c r="AE20" s="30"/>
      <c r="AF20" s="285"/>
      <c r="AG20" s="285"/>
      <c r="AH20" s="285"/>
      <c r="AI20" s="286"/>
      <c r="AQ20" s="253" t="s">
        <v>239</v>
      </c>
      <c r="AR20" s="268"/>
      <c r="AS20" s="268"/>
      <c r="AT20" s="270"/>
      <c r="AU20" s="268"/>
      <c r="AV20" s="272"/>
    </row>
    <row r="21" spans="2:48" ht="23.4" thickBot="1" x14ac:dyDescent="0.35">
      <c r="B21" s="210"/>
      <c r="C21" s="4" t="s">
        <v>1</v>
      </c>
      <c r="D21" s="4" t="s">
        <v>2</v>
      </c>
      <c r="E21" s="4" t="s">
        <v>3</v>
      </c>
      <c r="F21" s="22" t="s">
        <v>27</v>
      </c>
      <c r="G21" s="222"/>
      <c r="H21" s="56" t="s">
        <v>35</v>
      </c>
      <c r="I21" s="56" t="s">
        <v>37</v>
      </c>
      <c r="J21" s="224"/>
      <c r="K21" s="226"/>
      <c r="L21" s="165" t="s">
        <v>47</v>
      </c>
      <c r="M21" s="161" t="s">
        <v>48</v>
      </c>
      <c r="N21" s="58" t="s">
        <v>196</v>
      </c>
      <c r="O21" s="158" t="s">
        <v>200</v>
      </c>
      <c r="P21" s="113">
        <v>25</v>
      </c>
      <c r="Q21" s="113">
        <v>12</v>
      </c>
      <c r="R21" s="113">
        <v>6</v>
      </c>
      <c r="S21" s="113" t="s">
        <v>207</v>
      </c>
      <c r="T21" s="113" t="s">
        <v>208</v>
      </c>
      <c r="U21" s="113" t="s">
        <v>211</v>
      </c>
      <c r="V21" s="113" t="s">
        <v>214</v>
      </c>
      <c r="W21" s="192">
        <v>3.1</v>
      </c>
      <c r="X21" s="192" t="s">
        <v>207</v>
      </c>
      <c r="Y21" s="192" t="s">
        <v>208</v>
      </c>
      <c r="Z21" s="192" t="s">
        <v>211</v>
      </c>
      <c r="AA21" s="192" t="s">
        <v>214</v>
      </c>
      <c r="AB21" s="293" t="s">
        <v>249</v>
      </c>
      <c r="AC21" s="293" t="s">
        <v>250</v>
      </c>
      <c r="AD21" s="293" t="s">
        <v>251</v>
      </c>
      <c r="AE21" s="293" t="s">
        <v>252</v>
      </c>
      <c r="AF21" s="293" t="s">
        <v>253</v>
      </c>
      <c r="AG21" s="293" t="s">
        <v>254</v>
      </c>
      <c r="AH21" s="293" t="s">
        <v>255</v>
      </c>
      <c r="AQ21" s="253" t="s">
        <v>241</v>
      </c>
      <c r="AR21" s="254">
        <v>2</v>
      </c>
      <c r="AS21" s="254">
        <v>9.5602999999999994E-2</v>
      </c>
      <c r="AT21" s="255">
        <v>1674653</v>
      </c>
      <c r="AU21" s="254">
        <v>-0.85072999999999999</v>
      </c>
      <c r="AV21" s="256" t="s">
        <v>237</v>
      </c>
    </row>
    <row r="22" spans="2:48" ht="21" thickBot="1" x14ac:dyDescent="0.35">
      <c r="B22" s="3">
        <v>78</v>
      </c>
      <c r="C22" s="2">
        <v>294</v>
      </c>
      <c r="D22" s="2">
        <v>301</v>
      </c>
      <c r="E22" s="2"/>
      <c r="F22" s="176">
        <f>AVERAGE(C22:D22)/10</f>
        <v>29.75</v>
      </c>
      <c r="G22" s="9">
        <f>IF(C22&lt;&gt;"",0,1)</f>
        <v>0</v>
      </c>
      <c r="H22">
        <f>PI()/40000*F22^2</f>
        <v>6.9512646199195408E-2</v>
      </c>
      <c r="I22" s="23">
        <v>1</v>
      </c>
      <c r="J22" t="str">
        <f t="shared" ref="J22:J53" si="5">IF(AND($I22&lt;=$C$13,$E22&lt;&gt;""),E22,"")</f>
        <v/>
      </c>
      <c r="K22" s="6" t="str">
        <f t="shared" ref="K22:K53" si="6">IF(AND($I22&lt;=$C$13,$E22&lt;&gt;""),F22,"")</f>
        <v/>
      </c>
      <c r="L22" s="166">
        <f t="shared" ref="L22:L53" si="7">$L$9*EXP($L$11*(1/F22-1/$L$10))</f>
        <v>23.768632244450625</v>
      </c>
      <c r="M22" s="145">
        <f>IF(E22&lt;&gt;"",E22,L22)</f>
        <v>23.768632244450625</v>
      </c>
      <c r="N22" s="162">
        <f>$X$7*(F22/100)^$Y$7*M22^$Z$7</f>
        <v>0.68898462924489834</v>
      </c>
      <c r="O22" s="175">
        <f>$X$8*(F22/100)^$Y$8*M22^$Z$8</f>
        <v>0.55752320367017771</v>
      </c>
      <c r="P22" s="143">
        <f>$O22*EXP(-$X$17*P$21^$Y$17/$F22^$Z$17)</f>
        <v>0.22607206369082572</v>
      </c>
      <c r="Q22" s="143">
        <f>$O22*EXP(-$X$17*Q$21^$Y$17/$F22^$Z$17)</f>
        <v>0.54261940506576534</v>
      </c>
      <c r="R22" s="143">
        <f>$O22*EXP(-$X$17*R$21^$Y$17/$F22^$Z$17)</f>
        <v>0.55697236694301577</v>
      </c>
      <c r="S22" s="183">
        <f>P22</f>
        <v>0.22607206369082572</v>
      </c>
      <c r="T22" s="183">
        <f>Q22-P22</f>
        <v>0.31654734137493962</v>
      </c>
      <c r="U22" s="183">
        <f>R22-Q22</f>
        <v>1.4352961877250436E-2</v>
      </c>
      <c r="V22" s="185">
        <f>O22-R22</f>
        <v>5.5083672716194076E-4</v>
      </c>
      <c r="W22" s="184">
        <f t="shared" ref="W22:W53" si="8">F22*($AC$6+$AD$6*LN(1-(($W$21/M22)^(1/$AE$6))*$AB$5))</f>
        <v>25.590709778362562</v>
      </c>
      <c r="X22" s="143">
        <f>IF(W22&gt;=$P$21,P22,0)</f>
        <v>0.22607206369082572</v>
      </c>
      <c r="Y22" s="185">
        <f>Q22-X22</f>
        <v>0.31654734137493962</v>
      </c>
      <c r="Z22" s="185">
        <f>R22-Q22</f>
        <v>1.4352961877250436E-2</v>
      </c>
      <c r="AA22" s="173">
        <f>O22-R22</f>
        <v>5.5083672716194076E-4</v>
      </c>
      <c r="AB22">
        <f>AB$16*$F22^AB$17*$M22^AB$18</f>
        <v>321.00881940593695</v>
      </c>
      <c r="AC22" s="6">
        <f>AC$16*$F22^AC$17*$M22^AC$18</f>
        <v>59.273406657630247</v>
      </c>
      <c r="AD22" s="6">
        <f>AD$16*$F22^AD$17*($M22/$F22)^AD$18</f>
        <v>33.961152496811835</v>
      </c>
      <c r="AE22" s="6">
        <f>AE$16*$F22^AE$17*($M22/$F22)^AE$18</f>
        <v>21.284784706815152</v>
      </c>
      <c r="AF22">
        <f>AB22+AC22+AD22+AE22</f>
        <v>435.5281632671942</v>
      </c>
      <c r="AG22">
        <f>$AG$18*AF22</f>
        <v>108.3158542045512</v>
      </c>
      <c r="AH22">
        <f>AF22+AG22</f>
        <v>543.84401747174536</v>
      </c>
      <c r="AQ22" s="253" t="s">
        <v>242</v>
      </c>
      <c r="AR22" s="254">
        <v>2</v>
      </c>
      <c r="AS22" s="254">
        <v>0.24895200000000001</v>
      </c>
      <c r="AT22" s="255">
        <v>1264033</v>
      </c>
      <c r="AU22" s="254">
        <v>-0.71209999999999996</v>
      </c>
      <c r="AV22" s="256" t="s">
        <v>237</v>
      </c>
    </row>
    <row r="23" spans="2:48" ht="23.4" thickBot="1" x14ac:dyDescent="0.35">
      <c r="B23" s="1">
        <v>11</v>
      </c>
      <c r="C23" s="2">
        <v>295</v>
      </c>
      <c r="D23" s="2">
        <v>293</v>
      </c>
      <c r="E23" s="2">
        <v>23.5</v>
      </c>
      <c r="F23" s="176">
        <f t="shared" ref="F23:F86" si="9">AVERAGE(C23:D23)/10</f>
        <v>29.4</v>
      </c>
      <c r="G23" s="9">
        <f t="shared" ref="G23:G86" si="10">IF(C23&lt;&gt;"",0,1)</f>
        <v>0</v>
      </c>
      <c r="H23" s="6">
        <f t="shared" ref="H23:H86" si="11">PI()/40000*F23^2</f>
        <v>6.7886675651421827E-2</v>
      </c>
      <c r="I23" s="24">
        <v>2</v>
      </c>
      <c r="J23" s="6">
        <f t="shared" si="5"/>
        <v>23.5</v>
      </c>
      <c r="K23" s="6">
        <f t="shared" si="6"/>
        <v>29.4</v>
      </c>
      <c r="L23" s="166">
        <f t="shared" si="7"/>
        <v>23.690307302369241</v>
      </c>
      <c r="M23" s="146">
        <f t="shared" ref="M23:M86" si="12">IF(E23&lt;&gt;"",E23,L23)</f>
        <v>23.5</v>
      </c>
      <c r="N23" s="144">
        <f t="shared" ref="N23:N53" si="13">$X$7*(F23/100)^$Y$7*M23^$Z$7</f>
        <v>0.66615710135844031</v>
      </c>
      <c r="O23" s="180">
        <f t="shared" ref="O23:O86" si="14">$X$8*(F23/100)^$Y$8*M23^$Z$8</f>
        <v>0.53875475077311796</v>
      </c>
      <c r="P23" s="143">
        <f t="shared" ref="P23:R86" si="15">$O23*EXP(-$X$17*P$21^$Y$17/$F23^$Z$17)</f>
        <v>0.20814225156495897</v>
      </c>
      <c r="Q23" s="143">
        <f t="shared" si="15"/>
        <v>0.52359158622779511</v>
      </c>
      <c r="R23" s="143">
        <f t="shared" si="15"/>
        <v>0.53819393759505962</v>
      </c>
      <c r="S23" s="183">
        <f t="shared" ref="S23:S86" si="16">P23</f>
        <v>0.20814225156495897</v>
      </c>
      <c r="T23" s="183">
        <f t="shared" ref="T23:T86" si="17">Q23-P23</f>
        <v>0.31544933466283614</v>
      </c>
      <c r="U23" s="183">
        <f t="shared" ref="U23:U86" si="18">R23-Q23</f>
        <v>1.460235136726451E-2</v>
      </c>
      <c r="V23" s="185">
        <f t="shared" ref="V23:V86" si="19">O23-R23</f>
        <v>5.6081317805833919E-4</v>
      </c>
      <c r="W23" s="184">
        <f t="shared" si="8"/>
        <v>25.250756802144462</v>
      </c>
      <c r="X23" s="143">
        <f t="shared" ref="X23:X86" si="20">IF(W23&gt;=$P$21,P23,0)</f>
        <v>0.20814225156495897</v>
      </c>
      <c r="Y23" s="185">
        <f t="shared" ref="Y23:Y86" si="21">Q23-X23</f>
        <v>0.31544933466283614</v>
      </c>
      <c r="Z23" s="185">
        <f t="shared" ref="Z23:Z86" si="22">R23-Q23</f>
        <v>1.460235136726451E-2</v>
      </c>
      <c r="AA23" s="173">
        <f t="shared" ref="AA23:AA86" si="23">O23-R23</f>
        <v>5.6081317805833919E-4</v>
      </c>
      <c r="AB23" s="6">
        <f t="shared" ref="AB23:AC86" si="24">AB$16*$F23^AB$17*$M23^AB$18</f>
        <v>309.46045647241147</v>
      </c>
      <c r="AC23" s="6">
        <f t="shared" si="24"/>
        <v>56.921244504273503</v>
      </c>
      <c r="AD23" s="6">
        <f t="shared" ref="AD23:AE86" si="25">AD$16*$F23^AD$17*($M23/$F23)^AD$18</f>
        <v>33.281458054645086</v>
      </c>
      <c r="AE23" s="6">
        <f t="shared" si="25"/>
        <v>20.961763171890581</v>
      </c>
      <c r="AF23" s="6">
        <f t="shared" ref="AF23:AF86" si="26">AB23+AC23+AD23+AE23</f>
        <v>420.62492220322065</v>
      </c>
      <c r="AG23" s="6">
        <f t="shared" ref="AG23:AG86" si="27">$AG$18*AF23</f>
        <v>104.60941815194097</v>
      </c>
      <c r="AH23" s="6">
        <f t="shared" ref="AH23:AH86" si="28">AF23+AG23</f>
        <v>525.23434035516163</v>
      </c>
      <c r="AQ23" s="253" t="s">
        <v>243</v>
      </c>
      <c r="AR23" s="273" t="s">
        <v>244</v>
      </c>
      <c r="AS23" s="274"/>
      <c r="AT23" s="274"/>
      <c r="AU23" s="275"/>
      <c r="AV23" s="256" t="s">
        <v>237</v>
      </c>
    </row>
    <row r="24" spans="2:48" ht="23.4" thickBot="1" x14ac:dyDescent="0.35">
      <c r="B24" s="3">
        <v>66</v>
      </c>
      <c r="C24" s="2">
        <v>290</v>
      </c>
      <c r="D24" s="2">
        <v>289</v>
      </c>
      <c r="E24" s="2"/>
      <c r="F24" s="176">
        <f t="shared" si="9"/>
        <v>28.95</v>
      </c>
      <c r="G24" s="9">
        <f t="shared" si="10"/>
        <v>0</v>
      </c>
      <c r="H24" s="6">
        <f t="shared" si="11"/>
        <v>6.5824416423880983E-2</v>
      </c>
      <c r="I24" s="23">
        <v>3</v>
      </c>
      <c r="J24" s="6" t="str">
        <f t="shared" si="5"/>
        <v/>
      </c>
      <c r="K24" s="6" t="str">
        <f t="shared" si="6"/>
        <v/>
      </c>
      <c r="L24" s="166">
        <f t="shared" si="7"/>
        <v>23.587216634507094</v>
      </c>
      <c r="M24" s="145">
        <f t="shared" si="12"/>
        <v>23.587216634507094</v>
      </c>
      <c r="N24" s="144">
        <f t="shared" si="13"/>
        <v>0.65029868806718794</v>
      </c>
      <c r="O24" s="144">
        <f t="shared" si="14"/>
        <v>0.52639086573551208</v>
      </c>
      <c r="P24" s="143">
        <f t="shared" si="15"/>
        <v>0.19019000906268999</v>
      </c>
      <c r="Q24" s="249">
        <f t="shared" si="15"/>
        <v>0.51054810340280232</v>
      </c>
      <c r="R24" s="143">
        <f t="shared" si="15"/>
        <v>0.52580435251564617</v>
      </c>
      <c r="S24" s="183">
        <f t="shared" si="16"/>
        <v>0.19019000906268999</v>
      </c>
      <c r="T24" s="183">
        <f t="shared" si="17"/>
        <v>0.32035809434011231</v>
      </c>
      <c r="U24" s="183">
        <f t="shared" si="18"/>
        <v>1.5256249112843845E-2</v>
      </c>
      <c r="V24" s="185">
        <f t="shared" si="19"/>
        <v>5.8651321986591398E-4</v>
      </c>
      <c r="W24" s="184">
        <f t="shared" si="8"/>
        <v>24.876776384349618</v>
      </c>
      <c r="X24" s="203">
        <f>IF(W24&gt;=$P$21,P24,0)</f>
        <v>0</v>
      </c>
      <c r="Y24" s="248">
        <f>Q24-X24</f>
        <v>0.51054810340280232</v>
      </c>
      <c r="Z24" s="185">
        <f t="shared" si="22"/>
        <v>1.5256249112843845E-2</v>
      </c>
      <c r="AA24" s="173">
        <f t="shared" si="23"/>
        <v>5.8651321986591398E-4</v>
      </c>
      <c r="AB24" s="6">
        <f>AB$16*$F24^AB$17*$M24^AB$18</f>
        <v>302.60895615410294</v>
      </c>
      <c r="AC24" s="6">
        <f t="shared" si="24"/>
        <v>55.09096938187443</v>
      </c>
      <c r="AD24" s="6">
        <f t="shared" si="25"/>
        <v>31.909259133291982</v>
      </c>
      <c r="AE24" s="6">
        <f t="shared" si="25"/>
        <v>20.278905634367387</v>
      </c>
      <c r="AF24" s="6">
        <f t="shared" si="26"/>
        <v>409.88809030363677</v>
      </c>
      <c r="AG24" s="6">
        <f t="shared" si="27"/>
        <v>101.93916805851447</v>
      </c>
      <c r="AH24" s="6">
        <f t="shared" si="28"/>
        <v>511.82725836215127</v>
      </c>
      <c r="AQ24" s="253" t="s">
        <v>245</v>
      </c>
      <c r="AR24" s="273" t="s">
        <v>246</v>
      </c>
      <c r="AS24" s="274"/>
      <c r="AT24" s="274"/>
      <c r="AU24" s="275"/>
      <c r="AV24" s="256" t="s">
        <v>247</v>
      </c>
    </row>
    <row r="25" spans="2:48" ht="37.799999999999997" customHeight="1" thickBot="1" x14ac:dyDescent="0.35">
      <c r="B25" s="3">
        <v>53</v>
      </c>
      <c r="C25" s="2">
        <v>292</v>
      </c>
      <c r="D25" s="2">
        <v>283</v>
      </c>
      <c r="E25" s="2"/>
      <c r="F25" s="176">
        <f t="shared" si="9"/>
        <v>28.75</v>
      </c>
      <c r="G25" s="9">
        <f t="shared" si="10"/>
        <v>0</v>
      </c>
      <c r="H25" s="6">
        <f t="shared" si="11"/>
        <v>6.4918066943320335E-2</v>
      </c>
      <c r="I25" s="23">
        <v>4</v>
      </c>
      <c r="J25" s="6" t="str">
        <f t="shared" si="5"/>
        <v/>
      </c>
      <c r="K25" s="6" t="str">
        <f t="shared" si="6"/>
        <v/>
      </c>
      <c r="L25" s="166">
        <f t="shared" si="7"/>
        <v>23.540511068463267</v>
      </c>
      <c r="M25" s="145">
        <f t="shared" si="12"/>
        <v>23.540511068463267</v>
      </c>
      <c r="N25" s="144">
        <f t="shared" si="13"/>
        <v>0.64078856846470555</v>
      </c>
      <c r="O25" s="144">
        <f t="shared" si="14"/>
        <v>0.51873445399876705</v>
      </c>
      <c r="P25" s="143">
        <f t="shared" si="15"/>
        <v>0.18158972886638641</v>
      </c>
      <c r="Q25" s="143">
        <f t="shared" si="15"/>
        <v>0.50264477431042265</v>
      </c>
      <c r="R25" s="143">
        <f t="shared" si="15"/>
        <v>0.51813852868338606</v>
      </c>
      <c r="S25" s="183">
        <f t="shared" si="16"/>
        <v>0.18158972886638641</v>
      </c>
      <c r="T25" s="183">
        <f t="shared" si="17"/>
        <v>0.32105504544403624</v>
      </c>
      <c r="U25" s="183">
        <f t="shared" si="18"/>
        <v>1.5493754372963409E-2</v>
      </c>
      <c r="V25" s="185">
        <f t="shared" si="19"/>
        <v>5.9592531538099625E-4</v>
      </c>
      <c r="W25" s="184">
        <f t="shared" si="8"/>
        <v>24.69827218272923</v>
      </c>
      <c r="X25" s="203">
        <f t="shared" si="20"/>
        <v>0</v>
      </c>
      <c r="Y25" s="185">
        <f t="shared" si="21"/>
        <v>0.50264477431042265</v>
      </c>
      <c r="Z25" s="185">
        <f t="shared" si="22"/>
        <v>1.5493754372963409E-2</v>
      </c>
      <c r="AA25" s="173">
        <f t="shared" si="23"/>
        <v>5.9592531538099625E-4</v>
      </c>
      <c r="AB25" s="6">
        <f t="shared" si="24"/>
        <v>298.08651986854983</v>
      </c>
      <c r="AC25" s="6">
        <f t="shared" si="24"/>
        <v>54.073255426605961</v>
      </c>
      <c r="AD25" s="6">
        <f t="shared" si="25"/>
        <v>31.408400338416712</v>
      </c>
      <c r="AE25" s="6">
        <f t="shared" si="25"/>
        <v>20.031243710127708</v>
      </c>
      <c r="AF25" s="6">
        <f t="shared" si="26"/>
        <v>403.59941934370016</v>
      </c>
      <c r="AG25" s="6">
        <f t="shared" si="27"/>
        <v>100.37517559077823</v>
      </c>
      <c r="AH25" s="6">
        <f t="shared" si="28"/>
        <v>503.97459493447838</v>
      </c>
      <c r="AQ25" s="276" t="s">
        <v>248</v>
      </c>
      <c r="AR25" s="277"/>
      <c r="AS25" s="277"/>
      <c r="AT25" s="277"/>
      <c r="AU25" s="277"/>
      <c r="AV25" s="278"/>
    </row>
    <row r="26" spans="2:48" x14ac:dyDescent="0.3">
      <c r="B26" s="3">
        <v>71</v>
      </c>
      <c r="C26" s="2">
        <v>284</v>
      </c>
      <c r="D26" s="2">
        <v>289</v>
      </c>
      <c r="E26" s="2">
        <v>25.5</v>
      </c>
      <c r="F26" s="176">
        <f t="shared" si="9"/>
        <v>28.65</v>
      </c>
      <c r="G26" s="9">
        <f t="shared" si="10"/>
        <v>0</v>
      </c>
      <c r="H26" s="6">
        <f t="shared" si="11"/>
        <v>6.4467248397530194E-2</v>
      </c>
      <c r="I26" s="24">
        <v>5</v>
      </c>
      <c r="J26" s="6">
        <f t="shared" si="5"/>
        <v>25.5</v>
      </c>
      <c r="K26" s="6">
        <f t="shared" si="6"/>
        <v>28.65</v>
      </c>
      <c r="L26" s="166">
        <f t="shared" si="7"/>
        <v>23.516948931664032</v>
      </c>
      <c r="M26" s="146">
        <f t="shared" si="12"/>
        <v>25.5</v>
      </c>
      <c r="N26" s="144">
        <f t="shared" si="13"/>
        <v>0.69362935247632651</v>
      </c>
      <c r="O26" s="144">
        <f t="shared" si="14"/>
        <v>0.5654605905192347</v>
      </c>
      <c r="P26" s="143">
        <f t="shared" si="15"/>
        <v>0.19475374296251943</v>
      </c>
      <c r="Q26" s="143">
        <f>$O26*EXP(-$X$17*Q$21^$Y$17/$F26^$Z$17)</f>
        <v>0.54765418345614891</v>
      </c>
      <c r="R26" s="143">
        <f t="shared" si="15"/>
        <v>0.56480092723645392</v>
      </c>
      <c r="S26" s="183">
        <f t="shared" si="16"/>
        <v>0.19475374296251943</v>
      </c>
      <c r="T26" s="183">
        <f t="shared" si="17"/>
        <v>0.35290044049362945</v>
      </c>
      <c r="U26" s="183">
        <f t="shared" si="18"/>
        <v>1.7146743780305007E-2</v>
      </c>
      <c r="V26" s="185">
        <f t="shared" si="19"/>
        <v>6.5966328278077579E-4</v>
      </c>
      <c r="W26" s="184">
        <f t="shared" si="8"/>
        <v>24.872812818466929</v>
      </c>
      <c r="X26" s="203">
        <f t="shared" si="20"/>
        <v>0</v>
      </c>
      <c r="Y26" s="185">
        <f t="shared" si="21"/>
        <v>0.54765418345614891</v>
      </c>
      <c r="Z26" s="185">
        <f t="shared" si="22"/>
        <v>1.7146743780305007E-2</v>
      </c>
      <c r="AA26" s="173">
        <f t="shared" si="23"/>
        <v>6.5966328278077579E-4</v>
      </c>
      <c r="AB26" s="6">
        <f t="shared" si="24"/>
        <v>330.52713770202553</v>
      </c>
      <c r="AC26" s="6">
        <f t="shared" si="24"/>
        <v>58.48672216984319</v>
      </c>
      <c r="AD26" s="6">
        <f t="shared" si="25"/>
        <v>29.085956682842589</v>
      </c>
      <c r="AE26" s="6">
        <f t="shared" si="25"/>
        <v>18.79275345715903</v>
      </c>
      <c r="AF26" s="6">
        <f t="shared" si="26"/>
        <v>436.89257001187036</v>
      </c>
      <c r="AG26" s="6">
        <f t="shared" si="27"/>
        <v>108.65518216195215</v>
      </c>
      <c r="AH26" s="6">
        <f t="shared" si="28"/>
        <v>545.54775217382257</v>
      </c>
    </row>
    <row r="27" spans="2:48" x14ac:dyDescent="0.3">
      <c r="B27" s="3">
        <v>41</v>
      </c>
      <c r="C27" s="2">
        <v>281</v>
      </c>
      <c r="D27" s="2">
        <v>289</v>
      </c>
      <c r="E27" s="2"/>
      <c r="F27" s="176">
        <f t="shared" si="9"/>
        <v>28.5</v>
      </c>
      <c r="G27" s="9">
        <f t="shared" si="10"/>
        <v>0</v>
      </c>
      <c r="H27" s="6">
        <f t="shared" si="11"/>
        <v>6.3793965821957732E-2</v>
      </c>
      <c r="I27" s="23">
        <v>6</v>
      </c>
      <c r="J27" s="6" t="str">
        <f t="shared" si="5"/>
        <v/>
      </c>
      <c r="K27" s="6" t="str">
        <f t="shared" si="6"/>
        <v/>
      </c>
      <c r="L27" s="166">
        <f t="shared" si="7"/>
        <v>23.481340532930407</v>
      </c>
      <c r="M27" s="145">
        <f t="shared" si="12"/>
        <v>23.481340532930407</v>
      </c>
      <c r="N27" s="144">
        <f t="shared" si="13"/>
        <v>0.62899195511836437</v>
      </c>
      <c r="O27" s="144">
        <f t="shared" si="14"/>
        <v>0.50923544961750322</v>
      </c>
      <c r="P27" s="143">
        <f t="shared" si="15"/>
        <v>0.171062383642582</v>
      </c>
      <c r="Q27" s="143">
        <f t="shared" si="15"/>
        <v>0.49282992517130064</v>
      </c>
      <c r="R27" s="143">
        <f t="shared" si="15"/>
        <v>0.50862746564820926</v>
      </c>
      <c r="S27" s="183">
        <f t="shared" si="16"/>
        <v>0.171062383642582</v>
      </c>
      <c r="T27" s="183">
        <f t="shared" si="17"/>
        <v>0.32176754152871867</v>
      </c>
      <c r="U27" s="183">
        <f t="shared" si="18"/>
        <v>1.5797540476908623E-2</v>
      </c>
      <c r="V27" s="185">
        <f t="shared" si="19"/>
        <v>6.0798396929395704E-4</v>
      </c>
      <c r="W27" s="184">
        <f t="shared" si="8"/>
        <v>24.475129638957412</v>
      </c>
      <c r="X27" s="203">
        <f t="shared" si="20"/>
        <v>0</v>
      </c>
      <c r="Y27" s="185">
        <f t="shared" si="21"/>
        <v>0.49282992517130064</v>
      </c>
      <c r="Z27" s="185">
        <f t="shared" si="22"/>
        <v>1.5797540476908623E-2</v>
      </c>
      <c r="AA27" s="173">
        <f t="shared" si="23"/>
        <v>6.0798396929395704E-4</v>
      </c>
      <c r="AB27" s="6">
        <f t="shared" si="24"/>
        <v>292.47724438327566</v>
      </c>
      <c r="AC27" s="6">
        <f t="shared" si="24"/>
        <v>52.816704731526251</v>
      </c>
      <c r="AD27" s="6">
        <f t="shared" si="25"/>
        <v>30.789094467030637</v>
      </c>
      <c r="AE27" s="6">
        <f t="shared" si="25"/>
        <v>19.723809060788081</v>
      </c>
      <c r="AF27" s="6">
        <f t="shared" si="26"/>
        <v>395.80685264262064</v>
      </c>
      <c r="AG27" s="6">
        <f t="shared" si="27"/>
        <v>98.437164252219759</v>
      </c>
      <c r="AH27" s="6">
        <f t="shared" si="28"/>
        <v>494.2440168948404</v>
      </c>
    </row>
    <row r="28" spans="2:48" x14ac:dyDescent="0.3">
      <c r="B28" s="1">
        <v>16</v>
      </c>
      <c r="C28" s="2">
        <v>278</v>
      </c>
      <c r="D28" s="2">
        <v>289</v>
      </c>
      <c r="E28" s="2"/>
      <c r="F28" s="176">
        <f t="shared" si="9"/>
        <v>28.35</v>
      </c>
      <c r="G28" s="9">
        <f t="shared" si="10"/>
        <v>0</v>
      </c>
      <c r="H28" s="6">
        <f t="shared" si="11"/>
        <v>6.3124217538120572E-2</v>
      </c>
      <c r="I28" s="23">
        <v>7</v>
      </c>
      <c r="J28" s="6" t="str">
        <f t="shared" si="5"/>
        <v/>
      </c>
      <c r="K28" s="6" t="str">
        <f t="shared" si="6"/>
        <v/>
      </c>
      <c r="L28" s="166">
        <f t="shared" si="7"/>
        <v>23.445410101068209</v>
      </c>
      <c r="M28" s="17">
        <f t="shared" si="12"/>
        <v>23.445410101068209</v>
      </c>
      <c r="N28" s="144">
        <f t="shared" si="13"/>
        <v>0.62196260935254843</v>
      </c>
      <c r="O28" s="144">
        <f t="shared" si="14"/>
        <v>0.50357425260022481</v>
      </c>
      <c r="P28" s="143">
        <f t="shared" si="15"/>
        <v>0.16486875752637531</v>
      </c>
      <c r="Q28" s="143">
        <f t="shared" si="15"/>
        <v>0.48697528919931848</v>
      </c>
      <c r="R28" s="143">
        <f t="shared" si="15"/>
        <v>0.50295887248364879</v>
      </c>
      <c r="S28" s="183">
        <f t="shared" si="16"/>
        <v>0.16486875752637531</v>
      </c>
      <c r="T28" s="183">
        <f t="shared" si="17"/>
        <v>0.32210653167294317</v>
      </c>
      <c r="U28" s="183">
        <f t="shared" si="18"/>
        <v>1.5983583284330305E-2</v>
      </c>
      <c r="V28" s="185">
        <f t="shared" si="19"/>
        <v>6.1538011657602532E-4</v>
      </c>
      <c r="W28" s="184">
        <f t="shared" si="8"/>
        <v>24.341237405492599</v>
      </c>
      <c r="X28" s="203">
        <f t="shared" si="20"/>
        <v>0</v>
      </c>
      <c r="Y28" s="185">
        <f t="shared" si="21"/>
        <v>0.48697528919931848</v>
      </c>
      <c r="Z28" s="185">
        <f t="shared" si="22"/>
        <v>1.5983583284330305E-2</v>
      </c>
      <c r="AA28" s="173">
        <f t="shared" si="23"/>
        <v>6.1538011657602532E-4</v>
      </c>
      <c r="AB28" s="6">
        <f t="shared" si="24"/>
        <v>289.13506447423418</v>
      </c>
      <c r="AC28" s="6">
        <f t="shared" si="24"/>
        <v>52.071064241651698</v>
      </c>
      <c r="AD28" s="6">
        <f t="shared" si="25"/>
        <v>30.421108297189484</v>
      </c>
      <c r="AE28" s="6">
        <f t="shared" si="25"/>
        <v>19.540491294648778</v>
      </c>
      <c r="AF28" s="6">
        <f t="shared" si="26"/>
        <v>391.16772830772419</v>
      </c>
      <c r="AG28" s="6">
        <f t="shared" si="27"/>
        <v>97.283414030131013</v>
      </c>
      <c r="AH28" s="6">
        <f t="shared" si="28"/>
        <v>488.45114233785523</v>
      </c>
    </row>
    <row r="29" spans="2:48" x14ac:dyDescent="0.3">
      <c r="B29" s="3">
        <v>58</v>
      </c>
      <c r="C29" s="2">
        <v>288</v>
      </c>
      <c r="D29" s="2">
        <v>275</v>
      </c>
      <c r="E29" s="2">
        <v>23.5</v>
      </c>
      <c r="F29" s="176">
        <f t="shared" si="9"/>
        <v>28.15</v>
      </c>
      <c r="G29" s="9">
        <f t="shared" si="10"/>
        <v>0</v>
      </c>
      <c r="H29" s="6">
        <f t="shared" si="11"/>
        <v>6.2236717613481436E-2</v>
      </c>
      <c r="I29" s="23">
        <v>8</v>
      </c>
      <c r="J29" s="6">
        <f t="shared" si="5"/>
        <v>23.5</v>
      </c>
      <c r="K29" s="6">
        <f t="shared" si="6"/>
        <v>28.15</v>
      </c>
      <c r="L29" s="166">
        <f t="shared" si="7"/>
        <v>23.396994395907015</v>
      </c>
      <c r="M29" s="146">
        <f t="shared" si="12"/>
        <v>23.5</v>
      </c>
      <c r="N29" s="144">
        <f t="shared" si="13"/>
        <v>0.61553420160827776</v>
      </c>
      <c r="O29" s="144">
        <f t="shared" si="14"/>
        <v>0.49859703933783106</v>
      </c>
      <c r="P29" s="143">
        <f t="shared" si="15"/>
        <v>0.1575566855027149</v>
      </c>
      <c r="Q29" s="143">
        <f t="shared" si="15"/>
        <v>0.48164958565168536</v>
      </c>
      <c r="R29" s="143">
        <f t="shared" si="15"/>
        <v>0.49796841937370412</v>
      </c>
      <c r="S29" s="183">
        <f t="shared" si="16"/>
        <v>0.1575566855027149</v>
      </c>
      <c r="T29" s="183">
        <f t="shared" si="17"/>
        <v>0.32409290014897046</v>
      </c>
      <c r="U29" s="183">
        <f t="shared" si="18"/>
        <v>1.6318833722018755E-2</v>
      </c>
      <c r="V29" s="185">
        <f t="shared" si="19"/>
        <v>6.2861996412694188E-4</v>
      </c>
      <c r="W29" s="184">
        <f t="shared" si="8"/>
        <v>24.17717020341383</v>
      </c>
      <c r="X29" s="203">
        <f t="shared" si="20"/>
        <v>0</v>
      </c>
      <c r="Y29" s="185">
        <f t="shared" si="21"/>
        <v>0.48164958565168536</v>
      </c>
      <c r="Z29" s="185">
        <f t="shared" si="22"/>
        <v>1.6318833722018755E-2</v>
      </c>
      <c r="AA29" s="173">
        <f t="shared" si="23"/>
        <v>6.2861996412694188E-4</v>
      </c>
      <c r="AB29" s="6">
        <f t="shared" si="24"/>
        <v>286.42426241394998</v>
      </c>
      <c r="AC29" s="6">
        <f t="shared" si="24"/>
        <v>51.330587697051577</v>
      </c>
      <c r="AD29" s="6">
        <f t="shared" si="25"/>
        <v>29.822981990448472</v>
      </c>
      <c r="AE29" s="6">
        <f t="shared" si="25"/>
        <v>19.237130551380901</v>
      </c>
      <c r="AF29" s="6">
        <f t="shared" si="26"/>
        <v>386.8149626528309</v>
      </c>
      <c r="AG29" s="6">
        <f t="shared" si="27"/>
        <v>96.20088121175904</v>
      </c>
      <c r="AH29" s="6">
        <f t="shared" si="28"/>
        <v>483.01584386458995</v>
      </c>
    </row>
    <row r="30" spans="2:48" x14ac:dyDescent="0.3">
      <c r="B30" s="3">
        <v>62</v>
      </c>
      <c r="C30" s="2">
        <v>284</v>
      </c>
      <c r="D30" s="2">
        <v>279</v>
      </c>
      <c r="E30" s="2"/>
      <c r="F30" s="176">
        <f t="shared" si="9"/>
        <v>28.15</v>
      </c>
      <c r="G30" s="9">
        <f t="shared" si="10"/>
        <v>0</v>
      </c>
      <c r="H30" s="6">
        <f t="shared" si="11"/>
        <v>6.2236717613481436E-2</v>
      </c>
      <c r="I30" s="23">
        <v>9</v>
      </c>
      <c r="J30" s="6" t="str">
        <f t="shared" si="5"/>
        <v/>
      </c>
      <c r="K30" s="6" t="str">
        <f t="shared" si="6"/>
        <v/>
      </c>
      <c r="L30" s="166">
        <f t="shared" si="7"/>
        <v>23.396994395907015</v>
      </c>
      <c r="M30" s="17">
        <f t="shared" si="12"/>
        <v>23.396994395907015</v>
      </c>
      <c r="N30" s="144">
        <f t="shared" si="13"/>
        <v>0.6126469562109994</v>
      </c>
      <c r="O30" s="144">
        <f t="shared" si="14"/>
        <v>0.49607064174997756</v>
      </c>
      <c r="P30" s="143">
        <f t="shared" si="15"/>
        <v>0.15675834375818129</v>
      </c>
      <c r="Q30" s="143">
        <f t="shared" si="15"/>
        <v>0.47920906102884142</v>
      </c>
      <c r="R30" s="143">
        <f t="shared" si="15"/>
        <v>0.49544520701126465</v>
      </c>
      <c r="S30" s="183">
        <f t="shared" si="16"/>
        <v>0.15675834375818129</v>
      </c>
      <c r="T30" s="183">
        <f t="shared" si="17"/>
        <v>0.3224507172706601</v>
      </c>
      <c r="U30" s="183">
        <f t="shared" si="18"/>
        <v>1.6236145982423233E-2</v>
      </c>
      <c r="V30" s="185">
        <f t="shared" si="19"/>
        <v>6.2543473871290445E-4</v>
      </c>
      <c r="W30" s="184">
        <f t="shared" si="8"/>
        <v>24.162706420100793</v>
      </c>
      <c r="X30" s="203">
        <f t="shared" si="20"/>
        <v>0</v>
      </c>
      <c r="Y30" s="185">
        <f t="shared" si="21"/>
        <v>0.47920906102884142</v>
      </c>
      <c r="Z30" s="185">
        <f t="shared" si="22"/>
        <v>1.6236145982423233E-2</v>
      </c>
      <c r="AA30" s="173">
        <f t="shared" si="23"/>
        <v>6.2543473871290445E-4</v>
      </c>
      <c r="AB30" s="6">
        <f t="shared" si="24"/>
        <v>284.70615631918446</v>
      </c>
      <c r="AC30" s="6">
        <f t="shared" si="24"/>
        <v>51.08651839742668</v>
      </c>
      <c r="AD30" s="6">
        <f t="shared" si="25"/>
        <v>29.934642887406216</v>
      </c>
      <c r="AE30" s="6">
        <f t="shared" si="25"/>
        <v>19.297401393809988</v>
      </c>
      <c r="AF30" s="6">
        <f t="shared" si="26"/>
        <v>385.02471899782734</v>
      </c>
      <c r="AG30" s="6">
        <f t="shared" si="27"/>
        <v>95.755647614759667</v>
      </c>
      <c r="AH30" s="6">
        <f t="shared" si="28"/>
        <v>480.78036661258699</v>
      </c>
    </row>
    <row r="31" spans="2:48" x14ac:dyDescent="0.3">
      <c r="B31" s="3">
        <v>64</v>
      </c>
      <c r="C31" s="2">
        <v>285</v>
      </c>
      <c r="D31" s="2">
        <v>275</v>
      </c>
      <c r="E31" s="2">
        <v>23.3</v>
      </c>
      <c r="F31" s="176">
        <f t="shared" si="9"/>
        <v>28</v>
      </c>
      <c r="G31" s="9">
        <f t="shared" si="10"/>
        <v>0</v>
      </c>
      <c r="H31" s="6">
        <f t="shared" si="11"/>
        <v>6.1575216010359944E-2</v>
      </c>
      <c r="I31" s="23">
        <v>10</v>
      </c>
      <c r="J31" s="6">
        <f t="shared" si="5"/>
        <v>23.3</v>
      </c>
      <c r="K31" s="6">
        <f t="shared" si="6"/>
        <v>28</v>
      </c>
      <c r="L31" s="166">
        <f t="shared" si="7"/>
        <v>23.360295519018411</v>
      </c>
      <c r="M31" s="146">
        <f t="shared" si="12"/>
        <v>23.3</v>
      </c>
      <c r="N31" s="144">
        <f t="shared" si="13"/>
        <v>0.60402973331811127</v>
      </c>
      <c r="O31" s="144">
        <f t="shared" si="14"/>
        <v>0.48901279509393814</v>
      </c>
      <c r="P31" s="143">
        <f t="shared" si="15"/>
        <v>0.15033918874891228</v>
      </c>
      <c r="Q31" s="143">
        <f t="shared" si="15"/>
        <v>0.4720015729957619</v>
      </c>
      <c r="R31" s="143">
        <f t="shared" si="15"/>
        <v>0.48838156050806303</v>
      </c>
      <c r="S31" s="183">
        <f t="shared" si="16"/>
        <v>0.15033918874891228</v>
      </c>
      <c r="T31" s="183">
        <f t="shared" si="17"/>
        <v>0.32166238424684962</v>
      </c>
      <c r="U31" s="183">
        <f t="shared" si="18"/>
        <v>1.6379987512301131E-2</v>
      </c>
      <c r="V31" s="185">
        <f t="shared" si="19"/>
        <v>6.3123458587510672E-4</v>
      </c>
      <c r="W31" s="184">
        <f t="shared" si="8"/>
        <v>24.02030986699932</v>
      </c>
      <c r="X31" s="203">
        <f t="shared" si="20"/>
        <v>0</v>
      </c>
      <c r="Y31" s="185">
        <f t="shared" si="21"/>
        <v>0.4720015729957619</v>
      </c>
      <c r="Z31" s="185">
        <f t="shared" si="22"/>
        <v>1.6379987512301131E-2</v>
      </c>
      <c r="AA31" s="173">
        <f t="shared" si="23"/>
        <v>6.3123458587510672E-4</v>
      </c>
      <c r="AB31" s="6">
        <f t="shared" si="24"/>
        <v>280.4106744812633</v>
      </c>
      <c r="AC31" s="6">
        <f t="shared" si="24"/>
        <v>50.214317893218457</v>
      </c>
      <c r="AD31" s="6">
        <f t="shared" si="25"/>
        <v>29.63801466040081</v>
      </c>
      <c r="AE31" s="6">
        <f t="shared" si="25"/>
        <v>19.151297828595514</v>
      </c>
      <c r="AF31" s="6">
        <f t="shared" si="26"/>
        <v>379.41430486347804</v>
      </c>
      <c r="AG31" s="6">
        <f t="shared" si="27"/>
        <v>94.360337619546996</v>
      </c>
      <c r="AH31" s="6">
        <f t="shared" si="28"/>
        <v>473.77464248302505</v>
      </c>
    </row>
    <row r="32" spans="2:48" x14ac:dyDescent="0.3">
      <c r="B32" s="1">
        <v>2</v>
      </c>
      <c r="C32" s="2">
        <v>272</v>
      </c>
      <c r="D32" s="2">
        <v>272</v>
      </c>
      <c r="E32" s="2"/>
      <c r="F32" s="176">
        <f t="shared" si="9"/>
        <v>27.2</v>
      </c>
      <c r="G32" s="9">
        <f t="shared" si="10"/>
        <v>0</v>
      </c>
      <c r="H32" s="6">
        <f t="shared" si="11"/>
        <v>5.8106897720796809E-2</v>
      </c>
      <c r="I32" s="23">
        <v>11</v>
      </c>
      <c r="J32" s="6" t="str">
        <f t="shared" si="5"/>
        <v/>
      </c>
      <c r="K32" s="6" t="str">
        <f t="shared" si="6"/>
        <v/>
      </c>
      <c r="L32" s="166">
        <f t="shared" si="7"/>
        <v>23.158765392926803</v>
      </c>
      <c r="M32" s="17">
        <f t="shared" si="12"/>
        <v>23.158765392926803</v>
      </c>
      <c r="N32" s="144">
        <f t="shared" si="13"/>
        <v>0.56928703011126913</v>
      </c>
      <c r="O32" s="144">
        <f t="shared" si="14"/>
        <v>0.46112808395851723</v>
      </c>
      <c r="P32" s="143">
        <f t="shared" si="15"/>
        <v>0.1206919750136347</v>
      </c>
      <c r="Q32" s="143">
        <f t="shared" si="15"/>
        <v>0.44294180126794164</v>
      </c>
      <c r="R32" s="143">
        <f t="shared" si="15"/>
        <v>0.46045168427122313</v>
      </c>
      <c r="S32" s="183">
        <f t="shared" si="16"/>
        <v>0.1206919750136347</v>
      </c>
      <c r="T32" s="183">
        <f t="shared" si="17"/>
        <v>0.32224982625430693</v>
      </c>
      <c r="U32" s="183">
        <f t="shared" si="18"/>
        <v>1.750988300328149E-2</v>
      </c>
      <c r="V32" s="185">
        <f t="shared" si="19"/>
        <v>6.7639968729410471E-4</v>
      </c>
      <c r="W32" s="184">
        <f t="shared" si="8"/>
        <v>23.314552713576962</v>
      </c>
      <c r="X32" s="203">
        <f t="shared" si="20"/>
        <v>0</v>
      </c>
      <c r="Y32" s="185">
        <f t="shared" si="21"/>
        <v>0.44294180126794164</v>
      </c>
      <c r="Z32" s="185">
        <f t="shared" si="22"/>
        <v>1.750988300328149E-2</v>
      </c>
      <c r="AA32" s="173">
        <f t="shared" si="23"/>
        <v>6.7639968729410471E-4</v>
      </c>
      <c r="AB32" s="6">
        <f t="shared" si="24"/>
        <v>264.09709022344077</v>
      </c>
      <c r="AC32" s="6">
        <f t="shared" si="24"/>
        <v>46.559373064346879</v>
      </c>
      <c r="AD32" s="6">
        <f t="shared" si="25"/>
        <v>27.688734576018366</v>
      </c>
      <c r="AE32" s="6">
        <f t="shared" si="25"/>
        <v>18.163549969563057</v>
      </c>
      <c r="AF32" s="6">
        <f t="shared" si="26"/>
        <v>356.50874783336906</v>
      </c>
      <c r="AG32" s="6">
        <f t="shared" si="27"/>
        <v>88.66372558615889</v>
      </c>
      <c r="AH32" s="6">
        <f t="shared" si="28"/>
        <v>445.17247341952793</v>
      </c>
    </row>
    <row r="33" spans="2:34" x14ac:dyDescent="0.3">
      <c r="B33" s="3">
        <v>67</v>
      </c>
      <c r="C33" s="2">
        <v>270</v>
      </c>
      <c r="D33" s="2">
        <v>274</v>
      </c>
      <c r="E33" s="2"/>
      <c r="F33" s="176">
        <f t="shared" si="9"/>
        <v>27.2</v>
      </c>
      <c r="G33" s="9">
        <f t="shared" si="10"/>
        <v>0</v>
      </c>
      <c r="H33" s="6">
        <f t="shared" si="11"/>
        <v>5.8106897720796809E-2</v>
      </c>
      <c r="I33" s="23">
        <v>12</v>
      </c>
      <c r="J33" s="6" t="str">
        <f t="shared" si="5"/>
        <v/>
      </c>
      <c r="K33" s="6" t="str">
        <f t="shared" si="6"/>
        <v/>
      </c>
      <c r="L33" s="166">
        <f t="shared" si="7"/>
        <v>23.158765392926803</v>
      </c>
      <c r="M33" s="17">
        <f t="shared" si="12"/>
        <v>23.158765392926803</v>
      </c>
      <c r="N33" s="144">
        <f t="shared" si="13"/>
        <v>0.56928703011126913</v>
      </c>
      <c r="O33" s="144">
        <f t="shared" si="14"/>
        <v>0.46112808395851723</v>
      </c>
      <c r="P33" s="143">
        <f t="shared" si="15"/>
        <v>0.1206919750136347</v>
      </c>
      <c r="Q33" s="143">
        <f t="shared" si="15"/>
        <v>0.44294180126794164</v>
      </c>
      <c r="R33" s="143">
        <f t="shared" si="15"/>
        <v>0.46045168427122313</v>
      </c>
      <c r="S33" s="183">
        <f t="shared" si="16"/>
        <v>0.1206919750136347</v>
      </c>
      <c r="T33" s="183">
        <f t="shared" si="17"/>
        <v>0.32224982625430693</v>
      </c>
      <c r="U33" s="183">
        <f t="shared" si="18"/>
        <v>1.750988300328149E-2</v>
      </c>
      <c r="V33" s="185">
        <f t="shared" si="19"/>
        <v>6.7639968729410471E-4</v>
      </c>
      <c r="W33" s="184">
        <f t="shared" si="8"/>
        <v>23.314552713576962</v>
      </c>
      <c r="X33" s="203">
        <f t="shared" si="20"/>
        <v>0</v>
      </c>
      <c r="Y33" s="185">
        <f t="shared" si="21"/>
        <v>0.44294180126794164</v>
      </c>
      <c r="Z33" s="185">
        <f t="shared" si="22"/>
        <v>1.750988300328149E-2</v>
      </c>
      <c r="AA33" s="173">
        <f t="shared" si="23"/>
        <v>6.7639968729410471E-4</v>
      </c>
      <c r="AB33" s="6">
        <f t="shared" si="24"/>
        <v>264.09709022344077</v>
      </c>
      <c r="AC33" s="6">
        <f t="shared" si="24"/>
        <v>46.559373064346879</v>
      </c>
      <c r="AD33" s="6">
        <f t="shared" si="25"/>
        <v>27.688734576018366</v>
      </c>
      <c r="AE33" s="6">
        <f t="shared" si="25"/>
        <v>18.163549969563057</v>
      </c>
      <c r="AF33" s="6">
        <f t="shared" si="26"/>
        <v>356.50874783336906</v>
      </c>
      <c r="AG33" s="6">
        <f t="shared" si="27"/>
        <v>88.66372558615889</v>
      </c>
      <c r="AH33" s="6">
        <f t="shared" si="28"/>
        <v>445.17247341952793</v>
      </c>
    </row>
    <row r="34" spans="2:34" x14ac:dyDescent="0.3">
      <c r="B34" s="3">
        <v>73</v>
      </c>
      <c r="C34" s="2">
        <v>269</v>
      </c>
      <c r="D34" s="2">
        <v>273</v>
      </c>
      <c r="E34" s="2">
        <v>22.5</v>
      </c>
      <c r="F34" s="176">
        <f t="shared" si="9"/>
        <v>27.1</v>
      </c>
      <c r="G34" s="9">
        <f t="shared" si="10"/>
        <v>0</v>
      </c>
      <c r="H34" s="6">
        <f t="shared" si="11"/>
        <v>5.7680426518072002E-2</v>
      </c>
      <c r="I34" s="23">
        <v>13</v>
      </c>
      <c r="J34" s="6">
        <f t="shared" si="5"/>
        <v>22.5</v>
      </c>
      <c r="K34" s="6">
        <f t="shared" si="6"/>
        <v>27.1</v>
      </c>
      <c r="L34" s="166">
        <f t="shared" si="7"/>
        <v>23.132864607381176</v>
      </c>
      <c r="M34" s="17">
        <f t="shared" si="12"/>
        <v>22.5</v>
      </c>
      <c r="N34" s="144">
        <f t="shared" si="13"/>
        <v>0.54828641615977003</v>
      </c>
      <c r="O34" s="144">
        <f t="shared" si="14"/>
        <v>0.44307433480730629</v>
      </c>
      <c r="P34" s="143">
        <f t="shared" si="15"/>
        <v>0.11344750181038626</v>
      </c>
      <c r="Q34" s="143">
        <f t="shared" si="15"/>
        <v>0.42531956459733566</v>
      </c>
      <c r="R34" s="143">
        <f t="shared" si="15"/>
        <v>0.44241377599443465</v>
      </c>
      <c r="S34" s="183">
        <f t="shared" si="16"/>
        <v>0.11344750181038626</v>
      </c>
      <c r="T34" s="183">
        <f t="shared" si="17"/>
        <v>0.3118720627869494</v>
      </c>
      <c r="U34" s="183">
        <f t="shared" si="18"/>
        <v>1.7094211397098991E-2</v>
      </c>
      <c r="V34" s="185">
        <f t="shared" si="19"/>
        <v>6.6055881287163665E-4</v>
      </c>
      <c r="W34" s="184">
        <f t="shared" si="8"/>
        <v>23.135735512494055</v>
      </c>
      <c r="X34" s="203">
        <f t="shared" si="20"/>
        <v>0</v>
      </c>
      <c r="Y34" s="185">
        <f t="shared" si="21"/>
        <v>0.42531956459733566</v>
      </c>
      <c r="Z34" s="185">
        <f t="shared" si="22"/>
        <v>1.7094211397098991E-2</v>
      </c>
      <c r="AA34" s="173">
        <f t="shared" si="23"/>
        <v>6.6055881287163665E-4</v>
      </c>
      <c r="AB34" s="6">
        <f t="shared" si="24"/>
        <v>252.20303329690478</v>
      </c>
      <c r="AC34" s="6">
        <f t="shared" si="24"/>
        <v>44.730407466385991</v>
      </c>
      <c r="AD34" s="6">
        <f t="shared" si="25"/>
        <v>28.114189875594949</v>
      </c>
      <c r="AE34" s="6">
        <f t="shared" si="25"/>
        <v>18.406209130123067</v>
      </c>
      <c r="AF34" s="6">
        <f t="shared" si="26"/>
        <v>343.45383976900877</v>
      </c>
      <c r="AG34" s="6">
        <f t="shared" si="27"/>
        <v>85.416969950552485</v>
      </c>
      <c r="AH34" s="6">
        <f t="shared" si="28"/>
        <v>428.87080971956124</v>
      </c>
    </row>
    <row r="35" spans="2:34" x14ac:dyDescent="0.3">
      <c r="B35" s="1">
        <v>31</v>
      </c>
      <c r="C35" s="2">
        <v>260</v>
      </c>
      <c r="D35" s="2">
        <v>278</v>
      </c>
      <c r="E35" s="2">
        <v>23</v>
      </c>
      <c r="F35" s="176">
        <f t="shared" si="9"/>
        <v>26.9</v>
      </c>
      <c r="G35" s="9">
        <f t="shared" si="10"/>
        <v>0</v>
      </c>
      <c r="H35" s="6">
        <f t="shared" si="11"/>
        <v>5.6832196501602747E-2</v>
      </c>
      <c r="I35" s="23">
        <v>14</v>
      </c>
      <c r="J35" s="6">
        <f t="shared" si="5"/>
        <v>23</v>
      </c>
      <c r="K35" s="6">
        <f t="shared" si="6"/>
        <v>26.9</v>
      </c>
      <c r="L35" s="166">
        <f t="shared" si="7"/>
        <v>23.080573814745566</v>
      </c>
      <c r="M35" s="17">
        <f t="shared" si="12"/>
        <v>23</v>
      </c>
      <c r="N35" s="144">
        <f t="shared" si="13"/>
        <v>0.55382400461120296</v>
      </c>
      <c r="O35" s="144">
        <f t="shared" si="14"/>
        <v>0.44851729171578875</v>
      </c>
      <c r="P35" s="143">
        <f t="shared" si="15"/>
        <v>0.10975863392766272</v>
      </c>
      <c r="Q35" s="143">
        <f t="shared" si="15"/>
        <v>0.42995978202429069</v>
      </c>
      <c r="R35" s="143">
        <f t="shared" si="15"/>
        <v>0.44782641845069465</v>
      </c>
      <c r="S35" s="183">
        <f t="shared" si="16"/>
        <v>0.10975863392766272</v>
      </c>
      <c r="T35" s="183">
        <f t="shared" si="17"/>
        <v>0.32020114809662797</v>
      </c>
      <c r="U35" s="183">
        <f t="shared" si="18"/>
        <v>1.7866636426403959E-2</v>
      </c>
      <c r="V35" s="185">
        <f t="shared" si="19"/>
        <v>6.9087326509409408E-4</v>
      </c>
      <c r="W35" s="184">
        <f t="shared" si="8"/>
        <v>23.035536390250137</v>
      </c>
      <c r="X35" s="203">
        <f t="shared" si="20"/>
        <v>0</v>
      </c>
      <c r="Y35" s="185">
        <f t="shared" si="21"/>
        <v>0.42995978202429069</v>
      </c>
      <c r="Z35" s="185">
        <f t="shared" si="22"/>
        <v>1.7866636426403959E-2</v>
      </c>
      <c r="AA35" s="173">
        <f t="shared" si="23"/>
        <v>6.9087326509409408E-4</v>
      </c>
      <c r="AB35" s="6">
        <f t="shared" si="24"/>
        <v>256.50509079751464</v>
      </c>
      <c r="AC35" s="6">
        <f t="shared" si="24"/>
        <v>45.009543973239367</v>
      </c>
      <c r="AD35" s="6">
        <f t="shared" si="25"/>
        <v>27.082010413312705</v>
      </c>
      <c r="AE35" s="6">
        <f t="shared" si="25"/>
        <v>17.857057206249731</v>
      </c>
      <c r="AF35" s="6">
        <f t="shared" si="26"/>
        <v>346.45370239031649</v>
      </c>
      <c r="AG35" s="6">
        <f t="shared" si="27"/>
        <v>86.163035784471717</v>
      </c>
      <c r="AH35" s="6">
        <f t="shared" si="28"/>
        <v>432.61673817478822</v>
      </c>
    </row>
    <row r="36" spans="2:34" x14ac:dyDescent="0.3">
      <c r="B36" s="3">
        <v>52</v>
      </c>
      <c r="C36" s="2">
        <v>266</v>
      </c>
      <c r="D36" s="2">
        <v>272</v>
      </c>
      <c r="E36" s="2">
        <v>22</v>
      </c>
      <c r="F36" s="176">
        <f t="shared" si="9"/>
        <v>26.9</v>
      </c>
      <c r="G36" s="9">
        <f t="shared" si="10"/>
        <v>0</v>
      </c>
      <c r="H36" s="6">
        <f t="shared" si="11"/>
        <v>5.6832196501602747E-2</v>
      </c>
      <c r="I36" s="23">
        <v>15</v>
      </c>
      <c r="J36" s="6">
        <f t="shared" si="5"/>
        <v>22</v>
      </c>
      <c r="K36" s="6">
        <f t="shared" si="6"/>
        <v>26.9</v>
      </c>
      <c r="L36" s="166">
        <f t="shared" si="7"/>
        <v>23.080573814745566</v>
      </c>
      <c r="M36" s="17">
        <f t="shared" si="12"/>
        <v>22</v>
      </c>
      <c r="N36" s="144">
        <f t="shared" si="13"/>
        <v>0.52809185352688404</v>
      </c>
      <c r="O36" s="144">
        <f t="shared" si="14"/>
        <v>0.42604425125880291</v>
      </c>
      <c r="P36" s="143">
        <f t="shared" si="15"/>
        <v>0.1042591576168968</v>
      </c>
      <c r="Q36" s="143">
        <f t="shared" si="15"/>
        <v>0.40841656896477835</v>
      </c>
      <c r="R36" s="143">
        <f t="shared" si="15"/>
        <v>0.42538799432428037</v>
      </c>
      <c r="S36" s="183">
        <f t="shared" si="16"/>
        <v>0.1042591576168968</v>
      </c>
      <c r="T36" s="183">
        <f t="shared" si="17"/>
        <v>0.30415741134788155</v>
      </c>
      <c r="U36" s="183">
        <f t="shared" si="18"/>
        <v>1.6971425359502024E-2</v>
      </c>
      <c r="V36" s="185">
        <f t="shared" si="19"/>
        <v>6.5625693452253664E-4</v>
      </c>
      <c r="W36" s="184">
        <f t="shared" si="8"/>
        <v>22.891793138196181</v>
      </c>
      <c r="X36" s="203">
        <f t="shared" si="20"/>
        <v>0</v>
      </c>
      <c r="Y36" s="185">
        <f t="shared" si="21"/>
        <v>0.40841656896477835</v>
      </c>
      <c r="Z36" s="185">
        <f t="shared" si="22"/>
        <v>1.6971425359502024E-2</v>
      </c>
      <c r="AA36" s="173">
        <f t="shared" si="23"/>
        <v>6.5625693452253664E-4</v>
      </c>
      <c r="AB36" s="6">
        <f t="shared" si="24"/>
        <v>241.35444457899251</v>
      </c>
      <c r="AC36" s="6">
        <f t="shared" si="24"/>
        <v>42.890267123182717</v>
      </c>
      <c r="AD36" s="6">
        <f t="shared" si="25"/>
        <v>28.125767050037833</v>
      </c>
      <c r="AE36" s="6">
        <f t="shared" si="25"/>
        <v>18.431347655116625</v>
      </c>
      <c r="AF36" s="6">
        <f t="shared" si="26"/>
        <v>330.80182640732966</v>
      </c>
      <c r="AG36" s="6">
        <f t="shared" si="27"/>
        <v>82.270414227502883</v>
      </c>
      <c r="AH36" s="6">
        <f t="shared" si="28"/>
        <v>413.07224063483255</v>
      </c>
    </row>
    <row r="37" spans="2:34" x14ac:dyDescent="0.3">
      <c r="B37" s="1">
        <v>6</v>
      </c>
      <c r="C37" s="2">
        <v>272</v>
      </c>
      <c r="D37" s="2">
        <v>265</v>
      </c>
      <c r="E37" s="2"/>
      <c r="F37" s="176">
        <f t="shared" si="9"/>
        <v>26.85</v>
      </c>
      <c r="G37" s="9">
        <f t="shared" si="10"/>
        <v>0</v>
      </c>
      <c r="H37" s="6">
        <f t="shared" si="11"/>
        <v>5.6621120745189699E-2</v>
      </c>
      <c r="I37" s="23">
        <v>16</v>
      </c>
      <c r="J37" s="6" t="str">
        <f t="shared" si="5"/>
        <v/>
      </c>
      <c r="K37" s="6" t="str">
        <f t="shared" si="6"/>
        <v/>
      </c>
      <c r="L37" s="166">
        <f t="shared" si="7"/>
        <v>23.067398082973941</v>
      </c>
      <c r="M37" s="17">
        <f t="shared" si="12"/>
        <v>23.067398082973941</v>
      </c>
      <c r="N37" s="144">
        <f t="shared" si="13"/>
        <v>0.55368412396324018</v>
      </c>
      <c r="O37" s="144">
        <f t="shared" si="14"/>
        <v>0.44854719934509774</v>
      </c>
      <c r="P37" s="143">
        <f t="shared" si="15"/>
        <v>0.10849964432814553</v>
      </c>
      <c r="Q37" s="143">
        <f t="shared" si="15"/>
        <v>0.42983870620995396</v>
      </c>
      <c r="R37" s="143">
        <f t="shared" si="15"/>
        <v>0.44785058912398745</v>
      </c>
      <c r="S37" s="183">
        <f t="shared" si="16"/>
        <v>0.10849964432814553</v>
      </c>
      <c r="T37" s="183">
        <f t="shared" si="17"/>
        <v>0.32133906188180844</v>
      </c>
      <c r="U37" s="183">
        <f t="shared" si="18"/>
        <v>1.8011882914033495E-2</v>
      </c>
      <c r="V37" s="185">
        <f t="shared" si="19"/>
        <v>6.9661022111028315E-4</v>
      </c>
      <c r="W37" s="184">
        <f t="shared" si="8"/>
        <v>23.002016893277997</v>
      </c>
      <c r="X37" s="203">
        <f t="shared" si="20"/>
        <v>0</v>
      </c>
      <c r="Y37" s="185">
        <f t="shared" si="21"/>
        <v>0.42983870620995396</v>
      </c>
      <c r="Z37" s="185">
        <f t="shared" si="22"/>
        <v>1.8011882914033495E-2</v>
      </c>
      <c r="AA37" s="173">
        <f t="shared" si="23"/>
        <v>6.9661022111028315E-4</v>
      </c>
      <c r="AB37" s="6">
        <f t="shared" si="24"/>
        <v>256.68345210861588</v>
      </c>
      <c r="AC37" s="6">
        <f t="shared" si="24"/>
        <v>44.953218984648394</v>
      </c>
      <c r="AD37" s="6">
        <f t="shared" si="25"/>
        <v>26.888051461347697</v>
      </c>
      <c r="AE37" s="6">
        <f t="shared" si="25"/>
        <v>17.754493030784072</v>
      </c>
      <c r="AF37" s="6">
        <f t="shared" si="26"/>
        <v>346.27921558539606</v>
      </c>
      <c r="AG37" s="6">
        <f t="shared" si="27"/>
        <v>86.119640916088002</v>
      </c>
      <c r="AH37" s="6">
        <f t="shared" si="28"/>
        <v>432.39885650148403</v>
      </c>
    </row>
    <row r="38" spans="2:34" x14ac:dyDescent="0.3">
      <c r="B38" s="3">
        <v>55</v>
      </c>
      <c r="C38" s="2">
        <v>273</v>
      </c>
      <c r="D38" s="2">
        <v>257</v>
      </c>
      <c r="E38" s="2"/>
      <c r="F38" s="176">
        <f t="shared" si="9"/>
        <v>26.5</v>
      </c>
      <c r="G38" s="9">
        <f t="shared" si="10"/>
        <v>0</v>
      </c>
      <c r="H38" s="6">
        <f t="shared" si="11"/>
        <v>5.5154586024585804E-2</v>
      </c>
      <c r="I38" s="7">
        <v>17</v>
      </c>
      <c r="J38" s="6" t="str">
        <f t="shared" si="5"/>
        <v/>
      </c>
      <c r="K38" s="6" t="str">
        <f t="shared" si="6"/>
        <v/>
      </c>
      <c r="L38" s="166">
        <f t="shared" si="7"/>
        <v>22.97399215994561</v>
      </c>
      <c r="M38" s="17">
        <f t="shared" si="12"/>
        <v>22.97399215994561</v>
      </c>
      <c r="N38" s="144">
        <f t="shared" si="13"/>
        <v>0.5382822532676208</v>
      </c>
      <c r="O38" s="144">
        <f t="shared" si="14"/>
        <v>0.43612471870620773</v>
      </c>
      <c r="P38" s="143">
        <f t="shared" si="15"/>
        <v>9.6937352274161406E-2</v>
      </c>
      <c r="Q38" s="143">
        <f t="shared" si="15"/>
        <v>0.41687438668221438</v>
      </c>
      <c r="R38" s="143">
        <f t="shared" si="15"/>
        <v>0.43540706233478388</v>
      </c>
      <c r="S38" s="183">
        <f t="shared" si="16"/>
        <v>9.6937352274161406E-2</v>
      </c>
      <c r="T38" s="183">
        <f t="shared" si="17"/>
        <v>0.31993703440805299</v>
      </c>
      <c r="U38" s="183">
        <f t="shared" si="18"/>
        <v>1.8532675652569497E-2</v>
      </c>
      <c r="V38" s="185">
        <f t="shared" si="19"/>
        <v>7.1765637142384708E-4</v>
      </c>
      <c r="W38" s="184">
        <f t="shared" si="8"/>
        <v>22.68944762332741</v>
      </c>
      <c r="X38" s="203">
        <f t="shared" si="20"/>
        <v>0</v>
      </c>
      <c r="Y38" s="185">
        <f t="shared" si="21"/>
        <v>0.41687438668221438</v>
      </c>
      <c r="Z38" s="185">
        <f t="shared" si="22"/>
        <v>1.8532675652569497E-2</v>
      </c>
      <c r="AA38" s="173">
        <f t="shared" si="23"/>
        <v>7.1765637142384708E-4</v>
      </c>
      <c r="AB38" s="6">
        <f t="shared" si="24"/>
        <v>249.36678945832492</v>
      </c>
      <c r="AC38" s="6">
        <f t="shared" si="24"/>
        <v>43.380010657930008</v>
      </c>
      <c r="AD38" s="6">
        <f t="shared" si="25"/>
        <v>26.101637539407857</v>
      </c>
      <c r="AE38" s="6">
        <f t="shared" si="25"/>
        <v>17.35011145421117</v>
      </c>
      <c r="AF38" s="6">
        <f t="shared" si="26"/>
        <v>336.19854910987397</v>
      </c>
      <c r="AG38" s="6">
        <f t="shared" si="27"/>
        <v>83.612579163625654</v>
      </c>
      <c r="AH38" s="6">
        <f t="shared" si="28"/>
        <v>419.81112827349961</v>
      </c>
    </row>
    <row r="39" spans="2:34" x14ac:dyDescent="0.3">
      <c r="B39" s="1">
        <v>8</v>
      </c>
      <c r="C39" s="2">
        <v>262</v>
      </c>
      <c r="D39" s="2">
        <v>267</v>
      </c>
      <c r="E39" s="2">
        <v>23</v>
      </c>
      <c r="F39" s="176">
        <f t="shared" si="9"/>
        <v>26.45</v>
      </c>
      <c r="G39" s="9">
        <f t="shared" si="10"/>
        <v>0</v>
      </c>
      <c r="H39" s="6">
        <f t="shared" si="11"/>
        <v>5.4946651860826326E-2</v>
      </c>
      <c r="I39" s="7">
        <v>18</v>
      </c>
      <c r="J39" s="6" t="str">
        <f t="shared" si="5"/>
        <v/>
      </c>
      <c r="K39" s="6" t="str">
        <f t="shared" si="6"/>
        <v/>
      </c>
      <c r="L39" s="166">
        <f t="shared" si="7"/>
        <v>22.960478099511711</v>
      </c>
      <c r="M39" s="17">
        <f t="shared" si="12"/>
        <v>23</v>
      </c>
      <c r="N39" s="144">
        <f t="shared" si="13"/>
        <v>0.53708614716677139</v>
      </c>
      <c r="O39" s="144">
        <f t="shared" si="14"/>
        <v>0.43522776142818442</v>
      </c>
      <c r="P39" s="143">
        <f t="shared" si="15"/>
        <v>9.5528208895455075E-2</v>
      </c>
      <c r="Q39" s="143">
        <f t="shared" si="15"/>
        <v>0.41585989317419525</v>
      </c>
      <c r="R39" s="143">
        <f t="shared" si="15"/>
        <v>0.43450559289349572</v>
      </c>
      <c r="S39" s="183">
        <f t="shared" si="16"/>
        <v>9.5528208895455075E-2</v>
      </c>
      <c r="T39" s="183">
        <f t="shared" si="17"/>
        <v>0.32033168427874015</v>
      </c>
      <c r="U39" s="183">
        <f t="shared" si="18"/>
        <v>1.8645699719300468E-2</v>
      </c>
      <c r="V39" s="185">
        <f t="shared" si="19"/>
        <v>7.2216853468870523E-4</v>
      </c>
      <c r="W39" s="184">
        <f t="shared" si="8"/>
        <v>22.650183551008034</v>
      </c>
      <c r="X39" s="203">
        <f t="shared" si="20"/>
        <v>0</v>
      </c>
      <c r="Y39" s="185">
        <f t="shared" si="21"/>
        <v>0.41585989317419525</v>
      </c>
      <c r="Z39" s="185">
        <f t="shared" si="22"/>
        <v>1.8645699719300468E-2</v>
      </c>
      <c r="AA39" s="173">
        <f t="shared" si="23"/>
        <v>7.2216853468870523E-4</v>
      </c>
      <c r="AB39" s="6">
        <f t="shared" si="24"/>
        <v>248.91511626428345</v>
      </c>
      <c r="AC39" s="6">
        <f t="shared" si="24"/>
        <v>43.238552100889621</v>
      </c>
      <c r="AD39" s="6">
        <f t="shared" si="25"/>
        <v>25.95245343503678</v>
      </c>
      <c r="AE39" s="6">
        <f t="shared" si="25"/>
        <v>17.271559246951927</v>
      </c>
      <c r="AF39" s="6">
        <f t="shared" si="26"/>
        <v>335.37768104716179</v>
      </c>
      <c r="AG39" s="6">
        <f t="shared" si="27"/>
        <v>83.408429276429132</v>
      </c>
      <c r="AH39" s="6">
        <f t="shared" si="28"/>
        <v>418.78611032359095</v>
      </c>
    </row>
    <row r="40" spans="2:34" x14ac:dyDescent="0.3">
      <c r="B40" s="3">
        <v>45</v>
      </c>
      <c r="C40" s="2">
        <v>258</v>
      </c>
      <c r="D40" s="2">
        <v>259</v>
      </c>
      <c r="E40" s="2"/>
      <c r="F40" s="176">
        <f t="shared" si="9"/>
        <v>25.85</v>
      </c>
      <c r="G40" s="9">
        <f t="shared" si="10"/>
        <v>0</v>
      </c>
      <c r="H40" s="6">
        <f t="shared" si="11"/>
        <v>5.2482072424085147E-2</v>
      </c>
      <c r="I40" s="7">
        <v>19</v>
      </c>
      <c r="J40" s="6" t="str">
        <f t="shared" si="5"/>
        <v/>
      </c>
      <c r="K40" s="6" t="str">
        <f t="shared" si="6"/>
        <v/>
      </c>
      <c r="L40" s="166">
        <f t="shared" si="7"/>
        <v>22.794880591270513</v>
      </c>
      <c r="M40" s="17">
        <f t="shared" si="12"/>
        <v>22.794880591270513</v>
      </c>
      <c r="N40" s="144">
        <f t="shared" si="13"/>
        <v>0.51021399529426614</v>
      </c>
      <c r="O40" s="144">
        <f t="shared" si="14"/>
        <v>0.41347644167473313</v>
      </c>
      <c r="P40" s="143">
        <f t="shared" si="15"/>
        <v>7.7213535660359378E-2</v>
      </c>
      <c r="Q40" s="143">
        <f t="shared" si="15"/>
        <v>0.39316492632802214</v>
      </c>
      <c r="R40" s="143">
        <f t="shared" si="15"/>
        <v>0.41271733036415842</v>
      </c>
      <c r="S40" s="183">
        <f t="shared" si="16"/>
        <v>7.7213535660359378E-2</v>
      </c>
      <c r="T40" s="183">
        <f t="shared" si="17"/>
        <v>0.31595139066766276</v>
      </c>
      <c r="U40" s="183">
        <f t="shared" si="18"/>
        <v>1.9552404036136284E-2</v>
      </c>
      <c r="V40" s="185">
        <f t="shared" si="19"/>
        <v>7.591113105747116E-4</v>
      </c>
      <c r="W40" s="184">
        <f t="shared" si="8"/>
        <v>22.108867981272642</v>
      </c>
      <c r="X40" s="203">
        <f t="shared" si="20"/>
        <v>0</v>
      </c>
      <c r="Y40" s="185">
        <f t="shared" si="21"/>
        <v>0.39316492632802214</v>
      </c>
      <c r="Z40" s="185">
        <f t="shared" si="22"/>
        <v>1.9552404036136284E-2</v>
      </c>
      <c r="AA40" s="173">
        <f t="shared" si="23"/>
        <v>7.591113105747116E-4</v>
      </c>
      <c r="AB40" s="6">
        <f t="shared" si="24"/>
        <v>236.03708867269194</v>
      </c>
      <c r="AC40" s="6">
        <f t="shared" si="24"/>
        <v>40.545084129047503</v>
      </c>
      <c r="AD40" s="6">
        <f t="shared" si="25"/>
        <v>24.678708638489358</v>
      </c>
      <c r="AE40" s="6">
        <f t="shared" si="25"/>
        <v>16.611527210062238</v>
      </c>
      <c r="AF40" s="6">
        <f t="shared" si="26"/>
        <v>317.87240865029105</v>
      </c>
      <c r="AG40" s="6">
        <f t="shared" si="27"/>
        <v>79.054868031327388</v>
      </c>
      <c r="AH40" s="6">
        <f t="shared" si="28"/>
        <v>396.92727668161842</v>
      </c>
    </row>
    <row r="41" spans="2:34" x14ac:dyDescent="0.3">
      <c r="B41" s="1">
        <v>5</v>
      </c>
      <c r="C41" s="2">
        <v>267</v>
      </c>
      <c r="D41" s="2">
        <v>249</v>
      </c>
      <c r="E41" s="2"/>
      <c r="F41" s="176">
        <f t="shared" si="9"/>
        <v>25.8</v>
      </c>
      <c r="G41" s="9">
        <f t="shared" si="10"/>
        <v>0</v>
      </c>
      <c r="H41" s="6">
        <f t="shared" si="11"/>
        <v>5.2279243348387745E-2</v>
      </c>
      <c r="I41" s="7">
        <v>20</v>
      </c>
      <c r="J41" s="6" t="str">
        <f t="shared" si="5"/>
        <v/>
      </c>
      <c r="K41" s="6" t="str">
        <f t="shared" si="6"/>
        <v/>
      </c>
      <c r="L41" s="166">
        <f t="shared" si="7"/>
        <v>22.780788628260581</v>
      </c>
      <c r="M41" s="17">
        <f t="shared" si="12"/>
        <v>22.780788628260581</v>
      </c>
      <c r="N41" s="144">
        <f t="shared" si="13"/>
        <v>0.50808379687261873</v>
      </c>
      <c r="O41" s="144">
        <f t="shared" si="14"/>
        <v>0.41175706814547053</v>
      </c>
      <c r="P41" s="143">
        <f t="shared" si="15"/>
        <v>7.5793372104217063E-2</v>
      </c>
      <c r="Q41" s="143">
        <f t="shared" si="15"/>
        <v>0.39136084392053222</v>
      </c>
      <c r="R41" s="143">
        <f t="shared" si="15"/>
        <v>0.41099463363529753</v>
      </c>
      <c r="S41" s="183">
        <f t="shared" si="16"/>
        <v>7.5793372104217063E-2</v>
      </c>
      <c r="T41" s="183">
        <f t="shared" si="17"/>
        <v>0.31556747181631517</v>
      </c>
      <c r="U41" s="183">
        <f t="shared" si="18"/>
        <v>1.9633789714765315E-2</v>
      </c>
      <c r="V41" s="185">
        <f t="shared" si="19"/>
        <v>7.6243451017299346E-4</v>
      </c>
      <c r="W41" s="184">
        <f t="shared" si="8"/>
        <v>22.064202728203998</v>
      </c>
      <c r="X41" s="203">
        <f t="shared" si="20"/>
        <v>0</v>
      </c>
      <c r="Y41" s="185">
        <f t="shared" si="21"/>
        <v>0.39136084392053222</v>
      </c>
      <c r="Z41" s="185">
        <f t="shared" si="22"/>
        <v>1.9633789714765315E-2</v>
      </c>
      <c r="AA41" s="173">
        <f t="shared" si="23"/>
        <v>7.6243451017299346E-4</v>
      </c>
      <c r="AB41" s="6">
        <f t="shared" si="24"/>
        <v>235.02568723862845</v>
      </c>
      <c r="AC41" s="6">
        <f t="shared" si="24"/>
        <v>40.331655840676483</v>
      </c>
      <c r="AD41" s="6">
        <f t="shared" si="25"/>
        <v>24.571261954607881</v>
      </c>
      <c r="AE41" s="6">
        <f t="shared" si="25"/>
        <v>16.555381535420583</v>
      </c>
      <c r="AF41" s="6">
        <f t="shared" si="26"/>
        <v>316.48398656933341</v>
      </c>
      <c r="AG41" s="6">
        <f t="shared" si="27"/>
        <v>78.70956745979322</v>
      </c>
      <c r="AH41" s="6">
        <f t="shared" si="28"/>
        <v>395.19355402912663</v>
      </c>
    </row>
    <row r="42" spans="2:34" x14ac:dyDescent="0.3">
      <c r="B42" s="3">
        <v>60</v>
      </c>
      <c r="C42" s="2">
        <v>257</v>
      </c>
      <c r="D42" s="2">
        <v>254</v>
      </c>
      <c r="E42" s="2"/>
      <c r="F42" s="176">
        <f t="shared" si="9"/>
        <v>25.55</v>
      </c>
      <c r="G42" s="9">
        <f t="shared" si="10"/>
        <v>0</v>
      </c>
      <c r="H42" s="6">
        <f t="shared" si="11"/>
        <v>5.1270988456126272E-2</v>
      </c>
      <c r="I42" s="7">
        <v>21</v>
      </c>
      <c r="J42" s="6" t="str">
        <f t="shared" si="5"/>
        <v/>
      </c>
      <c r="K42" s="6" t="str">
        <f t="shared" si="6"/>
        <v/>
      </c>
      <c r="L42" s="166">
        <f t="shared" si="7"/>
        <v>22.709634889129287</v>
      </c>
      <c r="M42" s="17">
        <f t="shared" si="12"/>
        <v>22.709634889129287</v>
      </c>
      <c r="N42" s="144">
        <f t="shared" si="13"/>
        <v>0.49749488528238761</v>
      </c>
      <c r="O42" s="144">
        <f t="shared" si="14"/>
        <v>0.40320921113661146</v>
      </c>
      <c r="P42" s="143">
        <f t="shared" si="15"/>
        <v>6.8905273762531249E-2</v>
      </c>
      <c r="Q42" s="143">
        <f t="shared" si="15"/>
        <v>0.38238259940661534</v>
      </c>
      <c r="R42" s="143">
        <f t="shared" si="15"/>
        <v>0.40242985878320153</v>
      </c>
      <c r="S42" s="183">
        <f t="shared" si="16"/>
        <v>6.8905273762531249E-2</v>
      </c>
      <c r="T42" s="183">
        <f t="shared" si="17"/>
        <v>0.31347732564408409</v>
      </c>
      <c r="U42" s="183">
        <f t="shared" si="18"/>
        <v>2.0047259376586191E-2</v>
      </c>
      <c r="V42" s="185">
        <f t="shared" si="19"/>
        <v>7.7935235340992337E-4</v>
      </c>
      <c r="W42" s="184">
        <f t="shared" si="8"/>
        <v>21.840864682701316</v>
      </c>
      <c r="X42" s="203">
        <f t="shared" si="20"/>
        <v>0</v>
      </c>
      <c r="Y42" s="185">
        <f t="shared" si="21"/>
        <v>0.38238259940661534</v>
      </c>
      <c r="Z42" s="185">
        <f t="shared" si="22"/>
        <v>2.0047259376586191E-2</v>
      </c>
      <c r="AA42" s="173">
        <f t="shared" si="23"/>
        <v>7.7935235340992337E-4</v>
      </c>
      <c r="AB42" s="6">
        <f t="shared" si="24"/>
        <v>229.9986872180294</v>
      </c>
      <c r="AC42" s="6">
        <f t="shared" si="24"/>
        <v>39.274408932095099</v>
      </c>
      <c r="AD42" s="6">
        <f t="shared" si="25"/>
        <v>24.038309496217817</v>
      </c>
      <c r="AE42" s="6">
        <f t="shared" si="25"/>
        <v>16.276086175796792</v>
      </c>
      <c r="AF42" s="6">
        <f t="shared" si="26"/>
        <v>309.5874918221391</v>
      </c>
      <c r="AG42" s="6">
        <f t="shared" si="27"/>
        <v>76.994409216165991</v>
      </c>
      <c r="AH42" s="6">
        <f t="shared" si="28"/>
        <v>386.58190103830509</v>
      </c>
    </row>
    <row r="43" spans="2:34" x14ac:dyDescent="0.3">
      <c r="B43" s="1">
        <v>19</v>
      </c>
      <c r="C43" s="2">
        <v>253</v>
      </c>
      <c r="D43" s="2">
        <v>251</v>
      </c>
      <c r="E43" s="2"/>
      <c r="F43" s="176">
        <f t="shared" si="9"/>
        <v>25.2</v>
      </c>
      <c r="G43" s="9">
        <f t="shared" si="10"/>
        <v>0</v>
      </c>
      <c r="H43" s="6">
        <f t="shared" si="11"/>
        <v>4.987592496839155E-2</v>
      </c>
      <c r="I43" s="7">
        <v>22</v>
      </c>
      <c r="J43" s="6" t="str">
        <f t="shared" si="5"/>
        <v/>
      </c>
      <c r="K43" s="6" t="str">
        <f t="shared" si="6"/>
        <v/>
      </c>
      <c r="L43" s="166">
        <f t="shared" si="7"/>
        <v>22.608035253966829</v>
      </c>
      <c r="M43" s="17">
        <f t="shared" si="12"/>
        <v>22.608035253966829</v>
      </c>
      <c r="N43" s="144">
        <f t="shared" si="13"/>
        <v>0.48284453691664148</v>
      </c>
      <c r="O43" s="144">
        <f t="shared" si="14"/>
        <v>0.39137973306372159</v>
      </c>
      <c r="P43" s="143">
        <f t="shared" si="15"/>
        <v>5.986473880367172E-2</v>
      </c>
      <c r="Q43" s="143">
        <f t="shared" si="15"/>
        <v>0.36993093806384186</v>
      </c>
      <c r="R43" s="143">
        <f t="shared" si="15"/>
        <v>0.39057582226325016</v>
      </c>
      <c r="S43" s="183">
        <f t="shared" si="16"/>
        <v>5.986473880367172E-2</v>
      </c>
      <c r="T43" s="183">
        <f t="shared" si="17"/>
        <v>0.31006619926017015</v>
      </c>
      <c r="U43" s="183">
        <f t="shared" si="18"/>
        <v>2.0644884199408298E-2</v>
      </c>
      <c r="V43" s="185">
        <f t="shared" si="19"/>
        <v>8.0391080047143015E-4</v>
      </c>
      <c r="W43" s="184">
        <f t="shared" si="8"/>
        <v>21.528157493701571</v>
      </c>
      <c r="X43" s="203">
        <f t="shared" si="20"/>
        <v>0</v>
      </c>
      <c r="Y43" s="185">
        <f t="shared" si="21"/>
        <v>0.36993093806384186</v>
      </c>
      <c r="Z43" s="185">
        <f t="shared" si="22"/>
        <v>2.0644884199408298E-2</v>
      </c>
      <c r="AA43" s="173">
        <f t="shared" si="23"/>
        <v>8.0391080047143015E-4</v>
      </c>
      <c r="AB43" s="6">
        <f t="shared" si="24"/>
        <v>223.04508708351906</v>
      </c>
      <c r="AC43" s="6">
        <f t="shared" si="24"/>
        <v>37.821862128937305</v>
      </c>
      <c r="AD43" s="6">
        <f t="shared" si="25"/>
        <v>23.304114857535925</v>
      </c>
      <c r="AE43" s="6">
        <f t="shared" si="25"/>
        <v>15.889086125850145</v>
      </c>
      <c r="AF43" s="6">
        <f t="shared" si="26"/>
        <v>300.06015019584243</v>
      </c>
      <c r="AG43" s="6">
        <f t="shared" si="27"/>
        <v>74.624959353706018</v>
      </c>
      <c r="AH43" s="6">
        <f t="shared" si="28"/>
        <v>374.68510954954843</v>
      </c>
    </row>
    <row r="44" spans="2:34" x14ac:dyDescent="0.3">
      <c r="B44" s="3">
        <v>46</v>
      </c>
      <c r="C44" s="2">
        <v>246</v>
      </c>
      <c r="D44" s="2">
        <v>258</v>
      </c>
      <c r="E44" s="2"/>
      <c r="F44" s="176">
        <f t="shared" si="9"/>
        <v>25.2</v>
      </c>
      <c r="G44" s="9">
        <f t="shared" si="10"/>
        <v>0</v>
      </c>
      <c r="H44" s="6">
        <f t="shared" si="11"/>
        <v>4.987592496839155E-2</v>
      </c>
      <c r="I44" s="7">
        <v>23</v>
      </c>
      <c r="J44" s="6" t="str">
        <f t="shared" si="5"/>
        <v/>
      </c>
      <c r="K44" s="6" t="str">
        <f t="shared" si="6"/>
        <v/>
      </c>
      <c r="L44" s="166">
        <f t="shared" si="7"/>
        <v>22.608035253966829</v>
      </c>
      <c r="M44" s="17">
        <f t="shared" si="12"/>
        <v>22.608035253966829</v>
      </c>
      <c r="N44" s="144">
        <f t="shared" si="13"/>
        <v>0.48284453691664148</v>
      </c>
      <c r="O44" s="144">
        <f t="shared" si="14"/>
        <v>0.39137973306372159</v>
      </c>
      <c r="P44" s="143">
        <f t="shared" si="15"/>
        <v>5.986473880367172E-2</v>
      </c>
      <c r="Q44" s="143">
        <f t="shared" si="15"/>
        <v>0.36993093806384186</v>
      </c>
      <c r="R44" s="143">
        <f t="shared" si="15"/>
        <v>0.39057582226325016</v>
      </c>
      <c r="S44" s="183">
        <f t="shared" si="16"/>
        <v>5.986473880367172E-2</v>
      </c>
      <c r="T44" s="183">
        <f t="shared" si="17"/>
        <v>0.31006619926017015</v>
      </c>
      <c r="U44" s="183">
        <f t="shared" si="18"/>
        <v>2.0644884199408298E-2</v>
      </c>
      <c r="V44" s="185">
        <f t="shared" si="19"/>
        <v>8.0391080047143015E-4</v>
      </c>
      <c r="W44" s="184">
        <f t="shared" si="8"/>
        <v>21.528157493701571</v>
      </c>
      <c r="X44" s="203">
        <f t="shared" si="20"/>
        <v>0</v>
      </c>
      <c r="Y44" s="185">
        <f t="shared" si="21"/>
        <v>0.36993093806384186</v>
      </c>
      <c r="Z44" s="185">
        <f t="shared" si="22"/>
        <v>2.0644884199408298E-2</v>
      </c>
      <c r="AA44" s="173">
        <f t="shared" si="23"/>
        <v>8.0391080047143015E-4</v>
      </c>
      <c r="AB44" s="6">
        <f t="shared" si="24"/>
        <v>223.04508708351906</v>
      </c>
      <c r="AC44" s="6">
        <f t="shared" si="24"/>
        <v>37.821862128937305</v>
      </c>
      <c r="AD44" s="6">
        <f t="shared" si="25"/>
        <v>23.304114857535925</v>
      </c>
      <c r="AE44" s="6">
        <f t="shared" si="25"/>
        <v>15.889086125850145</v>
      </c>
      <c r="AF44" s="6">
        <f t="shared" si="26"/>
        <v>300.06015019584243</v>
      </c>
      <c r="AG44" s="6">
        <f t="shared" si="27"/>
        <v>74.624959353706018</v>
      </c>
      <c r="AH44" s="6">
        <f t="shared" si="28"/>
        <v>374.68510954954843</v>
      </c>
    </row>
    <row r="45" spans="2:34" x14ac:dyDescent="0.3">
      <c r="B45" s="1">
        <v>15</v>
      </c>
      <c r="C45" s="2">
        <v>246</v>
      </c>
      <c r="D45" s="2">
        <v>254</v>
      </c>
      <c r="E45" s="2"/>
      <c r="F45" s="176">
        <f t="shared" si="9"/>
        <v>25</v>
      </c>
      <c r="G45" s="9">
        <f t="shared" si="10"/>
        <v>0</v>
      </c>
      <c r="H45" s="6">
        <f t="shared" si="11"/>
        <v>4.9087385212340517E-2</v>
      </c>
      <c r="I45" s="7">
        <v>24</v>
      </c>
      <c r="J45" s="6" t="str">
        <f t="shared" si="5"/>
        <v/>
      </c>
      <c r="K45" s="6" t="str">
        <f t="shared" si="6"/>
        <v/>
      </c>
      <c r="L45" s="166">
        <f t="shared" si="7"/>
        <v>22.548911436128936</v>
      </c>
      <c r="M45" s="17">
        <f t="shared" si="12"/>
        <v>22.548911436128936</v>
      </c>
      <c r="N45" s="144">
        <f t="shared" si="13"/>
        <v>0.47456431601900417</v>
      </c>
      <c r="O45" s="144">
        <f t="shared" si="14"/>
        <v>0.3846922566955846</v>
      </c>
      <c r="P45" s="143">
        <f t="shared" si="15"/>
        <v>5.5018174691592807E-2</v>
      </c>
      <c r="Q45" s="143">
        <f t="shared" si="15"/>
        <v>0.36287732640760573</v>
      </c>
      <c r="R45" s="143">
        <f t="shared" si="15"/>
        <v>0.38387383600306829</v>
      </c>
      <c r="S45" s="183">
        <f t="shared" si="16"/>
        <v>5.5018174691592807E-2</v>
      </c>
      <c r="T45" s="183">
        <f t="shared" si="17"/>
        <v>0.30785915171601291</v>
      </c>
      <c r="U45" s="183">
        <f t="shared" si="18"/>
        <v>2.0996509595462565E-2</v>
      </c>
      <c r="V45" s="185">
        <f t="shared" si="19"/>
        <v>8.1842069251630845E-4</v>
      </c>
      <c r="W45" s="184">
        <f t="shared" si="8"/>
        <v>21.34944927162649</v>
      </c>
      <c r="X45" s="203">
        <f t="shared" si="20"/>
        <v>0</v>
      </c>
      <c r="Y45" s="185">
        <f t="shared" si="21"/>
        <v>0.36287732640760573</v>
      </c>
      <c r="Z45" s="185">
        <f t="shared" si="22"/>
        <v>2.0996509595462565E-2</v>
      </c>
      <c r="AA45" s="173">
        <f t="shared" si="23"/>
        <v>8.1842069251630845E-4</v>
      </c>
      <c r="AB45" s="6">
        <f t="shared" si="24"/>
        <v>219.1158230981072</v>
      </c>
      <c r="AC45" s="6">
        <f t="shared" si="24"/>
        <v>37.006223279675453</v>
      </c>
      <c r="AD45" s="6">
        <f t="shared" si="25"/>
        <v>22.890797742348543</v>
      </c>
      <c r="AE45" s="6">
        <f t="shared" si="25"/>
        <v>15.670046190317706</v>
      </c>
      <c r="AF45" s="6">
        <f t="shared" si="26"/>
        <v>294.6828903104489</v>
      </c>
      <c r="AG45" s="6">
        <f t="shared" si="27"/>
        <v>73.287634820208638</v>
      </c>
      <c r="AH45" s="6">
        <f t="shared" si="28"/>
        <v>367.97052513065751</v>
      </c>
    </row>
    <row r="46" spans="2:34" x14ac:dyDescent="0.3">
      <c r="B46" s="1">
        <v>39</v>
      </c>
      <c r="C46" s="2">
        <v>247</v>
      </c>
      <c r="D46" s="2">
        <v>251</v>
      </c>
      <c r="E46" s="2">
        <v>22</v>
      </c>
      <c r="F46" s="176">
        <f t="shared" si="9"/>
        <v>24.9</v>
      </c>
      <c r="G46" s="9">
        <f t="shared" si="10"/>
        <v>0</v>
      </c>
      <c r="H46" s="6">
        <f t="shared" si="11"/>
        <v>4.8695471528805177E-2</v>
      </c>
      <c r="I46" s="7">
        <v>25</v>
      </c>
      <c r="J46" s="6" t="str">
        <f t="shared" si="5"/>
        <v/>
      </c>
      <c r="K46" s="6" t="str">
        <f t="shared" si="6"/>
        <v/>
      </c>
      <c r="L46" s="166">
        <f t="shared" si="7"/>
        <v>22.519052301297126</v>
      </c>
      <c r="M46" s="17">
        <f t="shared" si="12"/>
        <v>22</v>
      </c>
      <c r="N46" s="144">
        <f t="shared" si="13"/>
        <v>0.45885273826408113</v>
      </c>
      <c r="O46" s="144">
        <f t="shared" si="14"/>
        <v>0.37122155493723757</v>
      </c>
      <c r="P46" s="143">
        <f t="shared" si="15"/>
        <v>5.1280923637985781E-2</v>
      </c>
      <c r="Q46" s="143">
        <f t="shared" si="15"/>
        <v>0.34980595371454243</v>
      </c>
      <c r="R46" s="143">
        <f t="shared" si="15"/>
        <v>0.37041771651177879</v>
      </c>
      <c r="S46" s="183">
        <f t="shared" si="16"/>
        <v>5.1280923637985781E-2</v>
      </c>
      <c r="T46" s="183">
        <f t="shared" si="17"/>
        <v>0.29852503007655662</v>
      </c>
      <c r="U46" s="183">
        <f t="shared" si="18"/>
        <v>2.0611762797236366E-2</v>
      </c>
      <c r="V46" s="185">
        <f t="shared" si="19"/>
        <v>8.0383842545878048E-4</v>
      </c>
      <c r="W46" s="184">
        <f t="shared" si="8"/>
        <v>21.189801083311707</v>
      </c>
      <c r="X46" s="203">
        <f t="shared" si="20"/>
        <v>0</v>
      </c>
      <c r="Y46" s="185">
        <f t="shared" si="21"/>
        <v>0.34980595371454243</v>
      </c>
      <c r="Z46" s="185">
        <f t="shared" si="22"/>
        <v>2.0611762797236366E-2</v>
      </c>
      <c r="AA46" s="173">
        <f t="shared" si="23"/>
        <v>8.0383842545878048E-4</v>
      </c>
      <c r="AB46" s="6">
        <f t="shared" si="24"/>
        <v>210.33700198417816</v>
      </c>
      <c r="AC46" s="6">
        <f t="shared" si="24"/>
        <v>35.687850097156691</v>
      </c>
      <c r="AD46" s="6">
        <f t="shared" si="25"/>
        <v>23.140373745421314</v>
      </c>
      <c r="AE46" s="6">
        <f t="shared" si="25"/>
        <v>15.8216594708047</v>
      </c>
      <c r="AF46" s="6">
        <f t="shared" si="26"/>
        <v>284.98688529756089</v>
      </c>
      <c r="AG46" s="6">
        <f t="shared" si="27"/>
        <v>70.876238373503398</v>
      </c>
      <c r="AH46" s="6">
        <f t="shared" si="28"/>
        <v>355.86312367106427</v>
      </c>
    </row>
    <row r="47" spans="2:34" x14ac:dyDescent="0.3">
      <c r="B47" s="1">
        <v>7</v>
      </c>
      <c r="C47" s="2">
        <v>254</v>
      </c>
      <c r="D47" s="2">
        <v>241</v>
      </c>
      <c r="E47" s="2"/>
      <c r="F47" s="176">
        <f t="shared" si="9"/>
        <v>24.75</v>
      </c>
      <c r="G47" s="9">
        <f t="shared" si="10"/>
        <v>0</v>
      </c>
      <c r="H47" s="6">
        <f t="shared" si="11"/>
        <v>4.8110546246614941E-2</v>
      </c>
      <c r="I47" s="7">
        <v>26</v>
      </c>
      <c r="J47" s="6" t="str">
        <f t="shared" si="5"/>
        <v/>
      </c>
      <c r="K47" s="6" t="str">
        <f t="shared" si="6"/>
        <v/>
      </c>
      <c r="L47" s="166">
        <f t="shared" si="7"/>
        <v>22.473886509648008</v>
      </c>
      <c r="M47" s="17">
        <f t="shared" si="12"/>
        <v>22.473886509648008</v>
      </c>
      <c r="N47" s="144">
        <f t="shared" si="13"/>
        <v>0.46430772794706537</v>
      </c>
      <c r="O47" s="144">
        <f t="shared" si="14"/>
        <v>0.37640697515511529</v>
      </c>
      <c r="P47" s="143">
        <f t="shared" si="15"/>
        <v>4.9289176528587456E-2</v>
      </c>
      <c r="Q47" s="143">
        <f t="shared" si="15"/>
        <v>0.35412320659040736</v>
      </c>
      <c r="R47" s="143">
        <f t="shared" si="15"/>
        <v>0.3755699094285852</v>
      </c>
      <c r="S47" s="183">
        <f t="shared" si="16"/>
        <v>4.9289176528587456E-2</v>
      </c>
      <c r="T47" s="183">
        <f t="shared" si="17"/>
        <v>0.30483403006181992</v>
      </c>
      <c r="U47" s="183">
        <f t="shared" si="18"/>
        <v>2.1446702838177845E-2</v>
      </c>
      <c r="V47" s="185">
        <f t="shared" si="19"/>
        <v>8.3706572653008404E-4</v>
      </c>
      <c r="W47" s="184">
        <f t="shared" si="8"/>
        <v>21.126044502085055</v>
      </c>
      <c r="X47" s="203">
        <f t="shared" si="20"/>
        <v>0</v>
      </c>
      <c r="Y47" s="185">
        <f t="shared" si="21"/>
        <v>0.35412320659040736</v>
      </c>
      <c r="Z47" s="185">
        <f t="shared" si="22"/>
        <v>2.1446702838177845E-2</v>
      </c>
      <c r="AA47" s="173">
        <f t="shared" si="23"/>
        <v>8.3706572653008404E-4</v>
      </c>
      <c r="AB47" s="6">
        <f t="shared" si="24"/>
        <v>214.24959117838924</v>
      </c>
      <c r="AC47" s="6">
        <f t="shared" si="24"/>
        <v>36.001318841564704</v>
      </c>
      <c r="AD47" s="6">
        <f t="shared" si="25"/>
        <v>22.380483629236672</v>
      </c>
      <c r="AE47" s="6">
        <f t="shared" si="25"/>
        <v>15.398397708935262</v>
      </c>
      <c r="AF47" s="6">
        <f t="shared" si="26"/>
        <v>288.02979135812586</v>
      </c>
      <c r="AG47" s="6">
        <f t="shared" si="27"/>
        <v>71.633009110765897</v>
      </c>
      <c r="AH47" s="6">
        <f t="shared" si="28"/>
        <v>359.66280046889176</v>
      </c>
    </row>
    <row r="48" spans="2:34" x14ac:dyDescent="0.3">
      <c r="B48" s="3">
        <v>44</v>
      </c>
      <c r="C48" s="2">
        <v>248</v>
      </c>
      <c r="D48" s="2">
        <v>247</v>
      </c>
      <c r="E48" s="2"/>
      <c r="F48" s="176">
        <f t="shared" si="9"/>
        <v>24.75</v>
      </c>
      <c r="G48" s="9">
        <f t="shared" si="10"/>
        <v>0</v>
      </c>
      <c r="H48" s="6">
        <f t="shared" si="11"/>
        <v>4.8110546246614941E-2</v>
      </c>
      <c r="I48" s="7">
        <v>27</v>
      </c>
      <c r="J48" s="6" t="str">
        <f t="shared" si="5"/>
        <v/>
      </c>
      <c r="K48" s="6" t="str">
        <f t="shared" si="6"/>
        <v/>
      </c>
      <c r="L48" s="166">
        <f t="shared" si="7"/>
        <v>22.473886509648008</v>
      </c>
      <c r="M48" s="17">
        <f t="shared" si="12"/>
        <v>22.473886509648008</v>
      </c>
      <c r="N48" s="144">
        <f t="shared" si="13"/>
        <v>0.46430772794706537</v>
      </c>
      <c r="O48" s="144">
        <f t="shared" si="14"/>
        <v>0.37640697515511529</v>
      </c>
      <c r="P48" s="143">
        <f t="shared" si="15"/>
        <v>4.9289176528587456E-2</v>
      </c>
      <c r="Q48" s="143">
        <f t="shared" si="15"/>
        <v>0.35412320659040736</v>
      </c>
      <c r="R48" s="143">
        <f t="shared" si="15"/>
        <v>0.3755699094285852</v>
      </c>
      <c r="S48" s="183">
        <f t="shared" si="16"/>
        <v>4.9289176528587456E-2</v>
      </c>
      <c r="T48" s="183">
        <f t="shared" si="17"/>
        <v>0.30483403006181992</v>
      </c>
      <c r="U48" s="183">
        <f t="shared" si="18"/>
        <v>2.1446702838177845E-2</v>
      </c>
      <c r="V48" s="185">
        <f t="shared" si="19"/>
        <v>8.3706572653008404E-4</v>
      </c>
      <c r="W48" s="184">
        <f t="shared" si="8"/>
        <v>21.126044502085055</v>
      </c>
      <c r="X48" s="203">
        <f t="shared" si="20"/>
        <v>0</v>
      </c>
      <c r="Y48" s="185">
        <f t="shared" si="21"/>
        <v>0.35412320659040736</v>
      </c>
      <c r="Z48" s="185">
        <f t="shared" si="22"/>
        <v>2.1446702838177845E-2</v>
      </c>
      <c r="AA48" s="173">
        <f t="shared" si="23"/>
        <v>8.3706572653008404E-4</v>
      </c>
      <c r="AB48" s="6">
        <f t="shared" si="24"/>
        <v>214.24959117838924</v>
      </c>
      <c r="AC48" s="6">
        <f t="shared" si="24"/>
        <v>36.001318841564704</v>
      </c>
      <c r="AD48" s="6">
        <f t="shared" si="25"/>
        <v>22.380483629236672</v>
      </c>
      <c r="AE48" s="6">
        <f t="shared" si="25"/>
        <v>15.398397708935262</v>
      </c>
      <c r="AF48" s="6">
        <f t="shared" si="26"/>
        <v>288.02979135812586</v>
      </c>
      <c r="AG48" s="6">
        <f t="shared" si="27"/>
        <v>71.633009110765897</v>
      </c>
      <c r="AH48" s="6">
        <f t="shared" si="28"/>
        <v>359.66280046889176</v>
      </c>
    </row>
    <row r="49" spans="2:34" x14ac:dyDescent="0.3">
      <c r="B49" s="1">
        <v>18</v>
      </c>
      <c r="C49" s="2">
        <v>249</v>
      </c>
      <c r="D49" s="2">
        <v>245</v>
      </c>
      <c r="E49" s="2"/>
      <c r="F49" s="176">
        <f t="shared" si="9"/>
        <v>24.7</v>
      </c>
      <c r="G49" s="9">
        <f t="shared" si="10"/>
        <v>0</v>
      </c>
      <c r="H49" s="6">
        <f t="shared" si="11"/>
        <v>4.7916356550714918E-2</v>
      </c>
      <c r="I49" s="7">
        <v>28</v>
      </c>
      <c r="J49" s="6" t="str">
        <f t="shared" si="5"/>
        <v/>
      </c>
      <c r="K49" s="6" t="str">
        <f t="shared" si="6"/>
        <v/>
      </c>
      <c r="L49" s="166">
        <f t="shared" si="7"/>
        <v>22.458729684505155</v>
      </c>
      <c r="M49" s="17">
        <f t="shared" si="12"/>
        <v>22.458729684505155</v>
      </c>
      <c r="N49" s="144">
        <f t="shared" si="13"/>
        <v>0.46226891923450308</v>
      </c>
      <c r="O49" s="144">
        <f t="shared" si="14"/>
        <v>0.3747598106305271</v>
      </c>
      <c r="P49" s="143">
        <f t="shared" si="15"/>
        <v>4.8187383533265758E-2</v>
      </c>
      <c r="Q49" s="143">
        <f t="shared" si="15"/>
        <v>0.35238075770250643</v>
      </c>
      <c r="R49" s="143">
        <f t="shared" si="15"/>
        <v>0.37391894644532969</v>
      </c>
      <c r="S49" s="183">
        <f t="shared" si="16"/>
        <v>4.8187383533265758E-2</v>
      </c>
      <c r="T49" s="183">
        <f t="shared" si="17"/>
        <v>0.30419337416924069</v>
      </c>
      <c r="U49" s="183">
        <f t="shared" si="18"/>
        <v>2.1538188742823261E-2</v>
      </c>
      <c r="V49" s="185">
        <f t="shared" si="19"/>
        <v>8.4086418519740969E-4</v>
      </c>
      <c r="W49" s="184">
        <f t="shared" si="8"/>
        <v>21.081360890941657</v>
      </c>
      <c r="X49" s="203">
        <f t="shared" si="20"/>
        <v>0</v>
      </c>
      <c r="Y49" s="185">
        <f t="shared" si="21"/>
        <v>0.35238075770250643</v>
      </c>
      <c r="Z49" s="185">
        <f t="shared" si="22"/>
        <v>2.1538188742823261E-2</v>
      </c>
      <c r="AA49" s="173">
        <f t="shared" si="23"/>
        <v>8.4086418519740969E-4</v>
      </c>
      <c r="AB49" s="6">
        <f t="shared" si="24"/>
        <v>213.28240140347719</v>
      </c>
      <c r="AC49" s="6">
        <f t="shared" si="24"/>
        <v>35.802284568229901</v>
      </c>
      <c r="AD49" s="6">
        <f t="shared" si="25"/>
        <v>22.27926244952743</v>
      </c>
      <c r="AE49" s="6">
        <f t="shared" si="25"/>
        <v>15.344354929802062</v>
      </c>
      <c r="AF49" s="6">
        <f t="shared" si="26"/>
        <v>286.70830335103659</v>
      </c>
      <c r="AG49" s="6">
        <f t="shared" si="27"/>
        <v>71.304355043402808</v>
      </c>
      <c r="AH49" s="6">
        <f t="shared" si="28"/>
        <v>358.01265839443943</v>
      </c>
    </row>
    <row r="50" spans="2:34" x14ac:dyDescent="0.3">
      <c r="B50" s="1">
        <v>30</v>
      </c>
      <c r="C50" s="2">
        <v>239</v>
      </c>
      <c r="D50" s="2">
        <v>251</v>
      </c>
      <c r="E50" s="2"/>
      <c r="F50" s="176">
        <f t="shared" si="9"/>
        <v>24.5</v>
      </c>
      <c r="G50" s="9">
        <f t="shared" si="10"/>
        <v>0</v>
      </c>
      <c r="H50" s="6">
        <f t="shared" si="11"/>
        <v>4.7143524757931835E-2</v>
      </c>
      <c r="I50" s="7">
        <v>29</v>
      </c>
      <c r="J50" s="6" t="str">
        <f t="shared" si="5"/>
        <v/>
      </c>
      <c r="K50" s="6" t="str">
        <f t="shared" si="6"/>
        <v/>
      </c>
      <c r="L50" s="166">
        <f t="shared" si="7"/>
        <v>22.397587773472537</v>
      </c>
      <c r="M50" s="17">
        <f t="shared" si="12"/>
        <v>22.397587773472537</v>
      </c>
      <c r="N50" s="144">
        <f t="shared" si="13"/>
        <v>0.45415543840768141</v>
      </c>
      <c r="O50" s="144">
        <f t="shared" si="14"/>
        <v>0.36820418094251295</v>
      </c>
      <c r="P50" s="143">
        <f t="shared" si="15"/>
        <v>4.3926993970870978E-2</v>
      </c>
      <c r="Q50" s="143">
        <f t="shared" si="15"/>
        <v>0.34543884256011437</v>
      </c>
      <c r="R50" s="143">
        <f t="shared" si="15"/>
        <v>0.36734788534812807</v>
      </c>
      <c r="S50" s="183">
        <f t="shared" si="16"/>
        <v>4.3926993970870978E-2</v>
      </c>
      <c r="T50" s="183">
        <f t="shared" si="17"/>
        <v>0.3015118485892434</v>
      </c>
      <c r="U50" s="183">
        <f t="shared" si="18"/>
        <v>2.19090427880137E-2</v>
      </c>
      <c r="V50" s="185">
        <f t="shared" si="19"/>
        <v>8.5629559438488156E-4</v>
      </c>
      <c r="W50" s="184">
        <f t="shared" si="8"/>
        <v>20.9026173883904</v>
      </c>
      <c r="X50" s="203">
        <f t="shared" si="20"/>
        <v>0</v>
      </c>
      <c r="Y50" s="185">
        <f t="shared" si="21"/>
        <v>0.34543884256011437</v>
      </c>
      <c r="Z50" s="185">
        <f t="shared" si="22"/>
        <v>2.19090427880137E-2</v>
      </c>
      <c r="AA50" s="173">
        <f t="shared" si="23"/>
        <v>8.5629559438488156E-4</v>
      </c>
      <c r="AB50" s="6">
        <f t="shared" si="24"/>
        <v>209.43386527978291</v>
      </c>
      <c r="AC50" s="6">
        <f t="shared" si="24"/>
        <v>35.012616297954352</v>
      </c>
      <c r="AD50" s="6">
        <f t="shared" si="25"/>
        <v>21.877174310406676</v>
      </c>
      <c r="AE50" s="6">
        <f t="shared" si="25"/>
        <v>15.129140402220726</v>
      </c>
      <c r="AF50" s="6">
        <f t="shared" si="26"/>
        <v>281.45279629036469</v>
      </c>
      <c r="AG50" s="6">
        <f t="shared" si="27"/>
        <v>69.997310437413702</v>
      </c>
      <c r="AH50" s="6">
        <f t="shared" si="28"/>
        <v>351.4501067277784</v>
      </c>
    </row>
    <row r="51" spans="2:34" x14ac:dyDescent="0.3">
      <c r="B51" s="3">
        <v>80</v>
      </c>
      <c r="C51" s="2">
        <v>245</v>
      </c>
      <c r="D51" s="2">
        <v>242</v>
      </c>
      <c r="E51" s="2">
        <v>22</v>
      </c>
      <c r="F51" s="176">
        <f t="shared" si="9"/>
        <v>24.35</v>
      </c>
      <c r="G51" s="9">
        <f t="shared" si="10"/>
        <v>0</v>
      </c>
      <c r="H51" s="6">
        <f t="shared" si="11"/>
        <v>4.656802425370235E-2</v>
      </c>
      <c r="I51" s="7">
        <v>30</v>
      </c>
      <c r="J51" s="6" t="str">
        <f t="shared" si="5"/>
        <v/>
      </c>
      <c r="K51" s="6" t="str">
        <f t="shared" si="6"/>
        <v/>
      </c>
      <c r="L51" s="166">
        <f t="shared" si="7"/>
        <v>22.351183724819276</v>
      </c>
      <c r="M51" s="17">
        <f t="shared" si="12"/>
        <v>22</v>
      </c>
      <c r="N51" s="144">
        <f t="shared" si="13"/>
        <v>0.44058262251919517</v>
      </c>
      <c r="O51" s="144">
        <f t="shared" si="14"/>
        <v>0.35672896622752814</v>
      </c>
      <c r="P51" s="143">
        <f t="shared" si="15"/>
        <v>4.0143717530261296E-2</v>
      </c>
      <c r="Q51" s="143">
        <f t="shared" si="15"/>
        <v>0.33408691067183871</v>
      </c>
      <c r="R51" s="143">
        <f t="shared" si="15"/>
        <v>0.35587659624171747</v>
      </c>
      <c r="S51" s="183">
        <f t="shared" si="16"/>
        <v>4.0143717530261296E-2</v>
      </c>
      <c r="T51" s="183">
        <f t="shared" si="17"/>
        <v>0.29394319314157741</v>
      </c>
      <c r="U51" s="183">
        <f t="shared" si="18"/>
        <v>2.1789685569878758E-2</v>
      </c>
      <c r="V51" s="185">
        <f t="shared" si="19"/>
        <v>8.523699858106748E-4</v>
      </c>
      <c r="W51" s="184">
        <f t="shared" si="8"/>
        <v>20.721753268218478</v>
      </c>
      <c r="X51" s="203">
        <f t="shared" si="20"/>
        <v>0</v>
      </c>
      <c r="Y51" s="185">
        <f t="shared" si="21"/>
        <v>0.33408691067183871</v>
      </c>
      <c r="Z51" s="185">
        <f t="shared" si="22"/>
        <v>2.1789685569878758E-2</v>
      </c>
      <c r="AA51" s="173">
        <f t="shared" si="23"/>
        <v>8.523699858106748E-4</v>
      </c>
      <c r="AB51" s="6">
        <f t="shared" si="24"/>
        <v>202.13640981016945</v>
      </c>
      <c r="AC51" s="6">
        <f t="shared" si="24"/>
        <v>33.840640214922985</v>
      </c>
      <c r="AD51" s="6">
        <f t="shared" si="25"/>
        <v>21.871229129847745</v>
      </c>
      <c r="AE51" s="6">
        <f t="shared" si="25"/>
        <v>15.138498037743904</v>
      </c>
      <c r="AF51" s="6">
        <f t="shared" si="26"/>
        <v>272.98677719268409</v>
      </c>
      <c r="AG51" s="6">
        <f t="shared" si="27"/>
        <v>67.891811487820533</v>
      </c>
      <c r="AH51" s="6">
        <f t="shared" si="28"/>
        <v>340.87858868050461</v>
      </c>
    </row>
    <row r="52" spans="2:34" x14ac:dyDescent="0.3">
      <c r="B52" s="1">
        <v>35</v>
      </c>
      <c r="C52" s="2">
        <v>241</v>
      </c>
      <c r="D52" s="2">
        <v>244</v>
      </c>
      <c r="E52" s="2"/>
      <c r="F52" s="176">
        <f t="shared" si="9"/>
        <v>24.25</v>
      </c>
      <c r="G52" s="9">
        <f t="shared" si="10"/>
        <v>0</v>
      </c>
      <c r="H52" s="6">
        <f t="shared" si="11"/>
        <v>4.6186320746291191E-2</v>
      </c>
      <c r="I52" s="7">
        <v>31</v>
      </c>
      <c r="J52" s="6" t="str">
        <f t="shared" si="5"/>
        <v/>
      </c>
      <c r="K52" s="6" t="str">
        <f t="shared" si="6"/>
        <v/>
      </c>
      <c r="L52" s="166">
        <f t="shared" si="7"/>
        <v>22.319982961499139</v>
      </c>
      <c r="M52" s="17">
        <f t="shared" si="12"/>
        <v>22.319982961499139</v>
      </c>
      <c r="N52" s="144">
        <f t="shared" si="13"/>
        <v>0.44410766488435149</v>
      </c>
      <c r="O52" s="144">
        <f t="shared" si="14"/>
        <v>0.36008408448810486</v>
      </c>
      <c r="P52" s="143">
        <f t="shared" si="15"/>
        <v>3.8931260652442373E-2</v>
      </c>
      <c r="Q52" s="143">
        <f t="shared" si="15"/>
        <v>0.3368240972806264</v>
      </c>
      <c r="R52" s="143">
        <f t="shared" si="15"/>
        <v>0.35920795095221053</v>
      </c>
      <c r="S52" s="183">
        <f t="shared" si="16"/>
        <v>3.8931260652442373E-2</v>
      </c>
      <c r="T52" s="183">
        <f t="shared" si="17"/>
        <v>0.297892836628184</v>
      </c>
      <c r="U52" s="183">
        <f t="shared" si="18"/>
        <v>2.2383853671584131E-2</v>
      </c>
      <c r="V52" s="185">
        <f t="shared" si="19"/>
        <v>8.7613353589433007E-4</v>
      </c>
      <c r="W52" s="184">
        <f t="shared" si="8"/>
        <v>20.679167163056029</v>
      </c>
      <c r="X52" s="203">
        <f t="shared" si="20"/>
        <v>0</v>
      </c>
      <c r="Y52" s="185">
        <f t="shared" si="21"/>
        <v>0.3368240972806264</v>
      </c>
      <c r="Z52" s="185">
        <f t="shared" si="22"/>
        <v>2.2383853671584131E-2</v>
      </c>
      <c r="AA52" s="173">
        <f t="shared" si="23"/>
        <v>8.7613353589433007E-4</v>
      </c>
      <c r="AB52" s="6">
        <f t="shared" si="24"/>
        <v>204.66877462393427</v>
      </c>
      <c r="AC52" s="6">
        <f t="shared" si="24"/>
        <v>34.040040796768459</v>
      </c>
      <c r="AD52" s="6">
        <f t="shared" si="25"/>
        <v>21.380836360170864</v>
      </c>
      <c r="AE52" s="6">
        <f t="shared" si="25"/>
        <v>14.862275021114705</v>
      </c>
      <c r="AF52" s="6">
        <f t="shared" si="26"/>
        <v>274.95192680198835</v>
      </c>
      <c r="AG52" s="6">
        <f t="shared" si="27"/>
        <v>68.380544195654508</v>
      </c>
      <c r="AH52" s="6">
        <f t="shared" si="28"/>
        <v>343.33247099764287</v>
      </c>
    </row>
    <row r="53" spans="2:34" x14ac:dyDescent="0.3">
      <c r="B53" s="3">
        <v>49</v>
      </c>
      <c r="C53" s="2">
        <v>249</v>
      </c>
      <c r="D53" s="2">
        <v>236</v>
      </c>
      <c r="E53" s="2"/>
      <c r="F53" s="176">
        <f t="shared" si="9"/>
        <v>24.25</v>
      </c>
      <c r="G53" s="9">
        <f t="shared" si="10"/>
        <v>0</v>
      </c>
      <c r="H53" s="6">
        <f t="shared" si="11"/>
        <v>4.6186320746291191E-2</v>
      </c>
      <c r="I53" s="7">
        <v>32</v>
      </c>
      <c r="J53" s="6" t="str">
        <f t="shared" si="5"/>
        <v/>
      </c>
      <c r="K53" s="6" t="str">
        <f t="shared" si="6"/>
        <v/>
      </c>
      <c r="L53" s="166">
        <f t="shared" si="7"/>
        <v>22.319982961499139</v>
      </c>
      <c r="M53" s="17">
        <f t="shared" si="12"/>
        <v>22.319982961499139</v>
      </c>
      <c r="N53" s="144">
        <f t="shared" si="13"/>
        <v>0.44410766488435149</v>
      </c>
      <c r="O53" s="144">
        <f t="shared" si="14"/>
        <v>0.36008408448810486</v>
      </c>
      <c r="P53" s="143">
        <f t="shared" si="15"/>
        <v>3.8931260652442373E-2</v>
      </c>
      <c r="Q53" s="143">
        <f t="shared" si="15"/>
        <v>0.3368240972806264</v>
      </c>
      <c r="R53" s="143">
        <f t="shared" si="15"/>
        <v>0.35920795095221053</v>
      </c>
      <c r="S53" s="183">
        <f t="shared" si="16"/>
        <v>3.8931260652442373E-2</v>
      </c>
      <c r="T53" s="183">
        <f t="shared" si="17"/>
        <v>0.297892836628184</v>
      </c>
      <c r="U53" s="183">
        <f t="shared" si="18"/>
        <v>2.2383853671584131E-2</v>
      </c>
      <c r="V53" s="185">
        <f t="shared" si="19"/>
        <v>8.7613353589433007E-4</v>
      </c>
      <c r="W53" s="184">
        <f t="shared" si="8"/>
        <v>20.679167163056029</v>
      </c>
      <c r="X53" s="203">
        <f t="shared" si="20"/>
        <v>0</v>
      </c>
      <c r="Y53" s="185">
        <f t="shared" si="21"/>
        <v>0.3368240972806264</v>
      </c>
      <c r="Z53" s="185">
        <f t="shared" si="22"/>
        <v>2.2383853671584131E-2</v>
      </c>
      <c r="AA53" s="173">
        <f t="shared" si="23"/>
        <v>8.7613353589433007E-4</v>
      </c>
      <c r="AB53" s="6">
        <f t="shared" si="24"/>
        <v>204.66877462393427</v>
      </c>
      <c r="AC53" s="6">
        <f t="shared" si="24"/>
        <v>34.040040796768459</v>
      </c>
      <c r="AD53" s="6">
        <f t="shared" si="25"/>
        <v>21.380836360170864</v>
      </c>
      <c r="AE53" s="6">
        <f t="shared" si="25"/>
        <v>14.862275021114705</v>
      </c>
      <c r="AF53" s="6">
        <f t="shared" si="26"/>
        <v>274.95192680198835</v>
      </c>
      <c r="AG53" s="6">
        <f t="shared" si="27"/>
        <v>68.380544195654508</v>
      </c>
      <c r="AH53" s="6">
        <f t="shared" si="28"/>
        <v>343.33247099764287</v>
      </c>
    </row>
    <row r="54" spans="2:34" x14ac:dyDescent="0.3">
      <c r="B54" s="3">
        <v>74</v>
      </c>
      <c r="C54" s="2">
        <v>244</v>
      </c>
      <c r="D54" s="2">
        <v>236</v>
      </c>
      <c r="E54" s="2"/>
      <c r="F54" s="176">
        <f t="shared" si="9"/>
        <v>24</v>
      </c>
      <c r="G54" s="9">
        <f t="shared" si="10"/>
        <v>0</v>
      </c>
      <c r="H54" s="6">
        <f t="shared" si="11"/>
        <v>4.5238934211693019E-2</v>
      </c>
      <c r="I54" s="7">
        <v>33</v>
      </c>
      <c r="J54" s="6" t="str">
        <f t="shared" ref="J54:J85" si="29">IF(AND($I54&lt;=$C$13,$E54&lt;&gt;""),E54,"")</f>
        <v/>
      </c>
      <c r="K54" s="6" t="str">
        <f t="shared" ref="K54:K85" si="30">IF(AND($I54&lt;=$C$13,$E54&lt;&gt;""),F54,"")</f>
        <v/>
      </c>
      <c r="L54" s="166">
        <f t="shared" ref="L54:L85" si="31">$L$9*EXP($L$11*(1/F54-1/$L$10))</f>
        <v>22.241038727992205</v>
      </c>
      <c r="M54" s="17">
        <f t="shared" si="12"/>
        <v>22.241038727992205</v>
      </c>
      <c r="N54" s="144">
        <f t="shared" ref="N54:N85" si="32">$X$7*(F54/100)^$Y$7*M54^$Z$7</f>
        <v>0.43416462748409212</v>
      </c>
      <c r="O54" s="144">
        <f t="shared" si="14"/>
        <v>0.352046898884881</v>
      </c>
      <c r="P54" s="143">
        <f t="shared" si="15"/>
        <v>3.429995569641394E-2</v>
      </c>
      <c r="Q54" s="143">
        <f t="shared" si="15"/>
        <v>0.32827883412047348</v>
      </c>
      <c r="R54" s="143">
        <f t="shared" si="15"/>
        <v>0.35115029498649225</v>
      </c>
      <c r="S54" s="183">
        <f t="shared" si="16"/>
        <v>3.429995569641394E-2</v>
      </c>
      <c r="T54" s="183">
        <f t="shared" si="17"/>
        <v>0.29397887842405956</v>
      </c>
      <c r="U54" s="183">
        <f t="shared" si="18"/>
        <v>2.2871460866018767E-2</v>
      </c>
      <c r="V54" s="185">
        <f t="shared" si="19"/>
        <v>8.966038983887481E-4</v>
      </c>
      <c r="W54" s="184">
        <f t="shared" ref="W54:W85" si="33">F54*($AC$6+$AD$6*LN(1-(($W$21/M54)^(1/$AE$6))*$AB$5))</f>
        <v>20.455693023011477</v>
      </c>
      <c r="X54" s="203">
        <f t="shared" si="20"/>
        <v>0</v>
      </c>
      <c r="Y54" s="185">
        <f t="shared" si="21"/>
        <v>0.32827883412047348</v>
      </c>
      <c r="Z54" s="185">
        <f t="shared" si="22"/>
        <v>2.2871460866018767E-2</v>
      </c>
      <c r="AA54" s="173">
        <f t="shared" si="23"/>
        <v>8.966038983887481E-4</v>
      </c>
      <c r="AB54" s="6">
        <f t="shared" si="24"/>
        <v>199.95444994463563</v>
      </c>
      <c r="AC54" s="6">
        <f t="shared" si="24"/>
        <v>33.08351690157177</v>
      </c>
      <c r="AD54" s="6">
        <f t="shared" si="25"/>
        <v>20.891436211430932</v>
      </c>
      <c r="AE54" s="6">
        <f t="shared" si="25"/>
        <v>14.597802331725138</v>
      </c>
      <c r="AF54" s="6">
        <f t="shared" si="26"/>
        <v>268.52720538936347</v>
      </c>
      <c r="AG54" s="6">
        <f t="shared" si="27"/>
        <v>66.7827159803347</v>
      </c>
      <c r="AH54" s="6">
        <f t="shared" si="28"/>
        <v>335.30992136969815</v>
      </c>
    </row>
    <row r="55" spans="2:34" x14ac:dyDescent="0.3">
      <c r="B55" s="3">
        <v>75</v>
      </c>
      <c r="C55" s="2">
        <v>236</v>
      </c>
      <c r="D55" s="2">
        <v>240</v>
      </c>
      <c r="E55" s="2"/>
      <c r="F55" s="176">
        <f t="shared" si="9"/>
        <v>23.8</v>
      </c>
      <c r="G55" s="9">
        <f t="shared" si="10"/>
        <v>0</v>
      </c>
      <c r="H55" s="6">
        <f t="shared" si="11"/>
        <v>4.4488093567485065E-2</v>
      </c>
      <c r="I55" s="7">
        <v>34</v>
      </c>
      <c r="J55" s="6" t="str">
        <f t="shared" si="29"/>
        <v/>
      </c>
      <c r="K55" s="6" t="str">
        <f t="shared" si="30"/>
        <v/>
      </c>
      <c r="L55" s="166">
        <f t="shared" si="31"/>
        <v>22.176895832897774</v>
      </c>
      <c r="M55" s="17">
        <f t="shared" si="12"/>
        <v>22.176895832897774</v>
      </c>
      <c r="N55" s="144">
        <f t="shared" si="32"/>
        <v>0.42628575718905337</v>
      </c>
      <c r="O55" s="144">
        <f t="shared" si="14"/>
        <v>0.34567699114502304</v>
      </c>
      <c r="P55" s="143">
        <f t="shared" si="15"/>
        <v>3.0854826017183944E-2</v>
      </c>
      <c r="Q55" s="143">
        <f t="shared" si="15"/>
        <v>0.32149255998988152</v>
      </c>
      <c r="R55" s="143">
        <f t="shared" si="15"/>
        <v>0.34476353850804753</v>
      </c>
      <c r="S55" s="183">
        <f t="shared" si="16"/>
        <v>3.0854826017183944E-2</v>
      </c>
      <c r="T55" s="183">
        <f t="shared" si="17"/>
        <v>0.2906377339726976</v>
      </c>
      <c r="U55" s="183">
        <f t="shared" si="18"/>
        <v>2.3270978518166008E-2</v>
      </c>
      <c r="V55" s="185">
        <f t="shared" si="19"/>
        <v>9.1345263697550916E-4</v>
      </c>
      <c r="W55" s="184">
        <f t="shared" si="33"/>
        <v>20.276895928727622</v>
      </c>
      <c r="X55" s="203">
        <f t="shared" si="20"/>
        <v>0</v>
      </c>
      <c r="Y55" s="185">
        <f t="shared" si="21"/>
        <v>0.32149255998988152</v>
      </c>
      <c r="Z55" s="185">
        <f t="shared" si="22"/>
        <v>2.3270978518166008E-2</v>
      </c>
      <c r="AA55" s="173">
        <f t="shared" si="23"/>
        <v>9.1345263697550916E-4</v>
      </c>
      <c r="AB55" s="6">
        <f t="shared" si="24"/>
        <v>196.21963053677834</v>
      </c>
      <c r="AC55" s="6">
        <f t="shared" si="24"/>
        <v>32.329803867971577</v>
      </c>
      <c r="AD55" s="6">
        <f t="shared" si="25"/>
        <v>20.504888661105557</v>
      </c>
      <c r="AE55" s="6">
        <f t="shared" si="25"/>
        <v>14.38794744316395</v>
      </c>
      <c r="AF55" s="6">
        <f t="shared" si="26"/>
        <v>263.44227050901941</v>
      </c>
      <c r="AG55" s="6">
        <f t="shared" si="27"/>
        <v>65.518092675593124</v>
      </c>
      <c r="AH55" s="6">
        <f t="shared" si="28"/>
        <v>328.96036318461256</v>
      </c>
    </row>
    <row r="56" spans="2:34" x14ac:dyDescent="0.3">
      <c r="B56" s="3">
        <v>65</v>
      </c>
      <c r="C56" s="2">
        <v>240</v>
      </c>
      <c r="D56" s="2">
        <v>235</v>
      </c>
      <c r="E56" s="2"/>
      <c r="F56" s="176">
        <f t="shared" si="9"/>
        <v>23.75</v>
      </c>
      <c r="G56" s="9">
        <f t="shared" si="10"/>
        <v>0</v>
      </c>
      <c r="H56" s="6">
        <f t="shared" si="11"/>
        <v>4.4301365154137316E-2</v>
      </c>
      <c r="I56" s="7">
        <v>35</v>
      </c>
      <c r="J56" s="6" t="str">
        <f t="shared" si="29"/>
        <v/>
      </c>
      <c r="K56" s="6" t="str">
        <f t="shared" si="30"/>
        <v/>
      </c>
      <c r="L56" s="166">
        <f t="shared" si="31"/>
        <v>22.160720603109738</v>
      </c>
      <c r="M56" s="17">
        <f t="shared" si="12"/>
        <v>22.160720603109738</v>
      </c>
      <c r="N56" s="144">
        <f t="shared" si="32"/>
        <v>0.42432654898607253</v>
      </c>
      <c r="O56" s="144">
        <f t="shared" si="14"/>
        <v>0.34409283993998285</v>
      </c>
      <c r="P56" s="143">
        <f t="shared" si="15"/>
        <v>3.002930665472494E-2</v>
      </c>
      <c r="Q56" s="143">
        <f t="shared" si="15"/>
        <v>0.31980291821427365</v>
      </c>
      <c r="R56" s="143">
        <f t="shared" si="15"/>
        <v>0.34317510774271476</v>
      </c>
      <c r="S56" s="183">
        <f t="shared" si="16"/>
        <v>3.002930665472494E-2</v>
      </c>
      <c r="T56" s="183">
        <f t="shared" si="17"/>
        <v>0.28977361155954873</v>
      </c>
      <c r="U56" s="183">
        <f t="shared" si="18"/>
        <v>2.3372189528441112E-2</v>
      </c>
      <c r="V56" s="185">
        <f t="shared" si="19"/>
        <v>9.1773219726809518E-4</v>
      </c>
      <c r="W56" s="184">
        <f t="shared" si="33"/>
        <v>20.232194127514198</v>
      </c>
      <c r="X56" s="203">
        <f t="shared" si="20"/>
        <v>0</v>
      </c>
      <c r="Y56" s="185">
        <f t="shared" si="21"/>
        <v>0.31980291821427365</v>
      </c>
      <c r="Z56" s="185">
        <f t="shared" si="22"/>
        <v>2.3372189528441112E-2</v>
      </c>
      <c r="AA56" s="173">
        <f t="shared" si="23"/>
        <v>9.1773219726809518E-4</v>
      </c>
      <c r="AB56" s="6">
        <f t="shared" si="24"/>
        <v>195.29102351067507</v>
      </c>
      <c r="AC56" s="6">
        <f t="shared" si="24"/>
        <v>32.142968579456415</v>
      </c>
      <c r="AD56" s="6">
        <f t="shared" si="25"/>
        <v>20.408940153973862</v>
      </c>
      <c r="AE56" s="6">
        <f t="shared" si="25"/>
        <v>14.335723115993183</v>
      </c>
      <c r="AF56" s="6">
        <f t="shared" si="26"/>
        <v>262.17865536009856</v>
      </c>
      <c r="AG56" s="6">
        <f t="shared" si="27"/>
        <v>65.203831588056516</v>
      </c>
      <c r="AH56" s="6">
        <f t="shared" si="28"/>
        <v>327.38248694815508</v>
      </c>
    </row>
    <row r="57" spans="2:34" x14ac:dyDescent="0.3">
      <c r="B57" s="3">
        <v>70</v>
      </c>
      <c r="C57" s="2">
        <v>235</v>
      </c>
      <c r="D57" s="2">
        <v>239</v>
      </c>
      <c r="E57" s="2"/>
      <c r="F57" s="176">
        <f t="shared" si="9"/>
        <v>23.7</v>
      </c>
      <c r="G57" s="9">
        <f t="shared" si="10"/>
        <v>0</v>
      </c>
      <c r="H57" s="6">
        <f t="shared" si="11"/>
        <v>4.4115029439871264E-2</v>
      </c>
      <c r="I57" s="7">
        <v>36</v>
      </c>
      <c r="J57" s="6" t="str">
        <f t="shared" si="29"/>
        <v/>
      </c>
      <c r="K57" s="6" t="str">
        <f t="shared" si="30"/>
        <v/>
      </c>
      <c r="L57" s="166">
        <f t="shared" si="31"/>
        <v>22.144488995945714</v>
      </c>
      <c r="M57" s="17">
        <f t="shared" si="12"/>
        <v>22.144488995945714</v>
      </c>
      <c r="N57" s="144">
        <f t="shared" si="32"/>
        <v>0.42237154815034395</v>
      </c>
      <c r="O57" s="144">
        <f t="shared" si="14"/>
        <v>0.34251202253520341</v>
      </c>
      <c r="P57" s="143">
        <f t="shared" si="15"/>
        <v>2.9217995501516113E-2</v>
      </c>
      <c r="Q57" s="143">
        <f t="shared" si="15"/>
        <v>0.31811604505220381</v>
      </c>
      <c r="R57" s="143">
        <f t="shared" si="15"/>
        <v>0.34158998339444063</v>
      </c>
      <c r="S57" s="183">
        <f t="shared" si="16"/>
        <v>2.9217995501516113E-2</v>
      </c>
      <c r="T57" s="183">
        <f t="shared" si="17"/>
        <v>0.28889804955068771</v>
      </c>
      <c r="U57" s="183">
        <f t="shared" si="18"/>
        <v>2.3473938342236822E-2</v>
      </c>
      <c r="V57" s="185">
        <f t="shared" si="19"/>
        <v>9.2203914076277593E-4</v>
      </c>
      <c r="W57" s="184">
        <f t="shared" si="33"/>
        <v>20.187491300991912</v>
      </c>
      <c r="X57" s="203">
        <f t="shared" si="20"/>
        <v>0</v>
      </c>
      <c r="Y57" s="185">
        <f t="shared" si="21"/>
        <v>0.31811604505220381</v>
      </c>
      <c r="Z57" s="185">
        <f t="shared" si="22"/>
        <v>2.3473938342236822E-2</v>
      </c>
      <c r="AA57" s="173">
        <f t="shared" si="23"/>
        <v>9.2203914076277593E-4</v>
      </c>
      <c r="AB57" s="6">
        <f t="shared" si="24"/>
        <v>194.36445776239319</v>
      </c>
      <c r="AC57" s="6">
        <f t="shared" si="24"/>
        <v>31.956769250178453</v>
      </c>
      <c r="AD57" s="6">
        <f t="shared" si="25"/>
        <v>20.313266456760285</v>
      </c>
      <c r="AE57" s="6">
        <f t="shared" si="25"/>
        <v>14.283594559652643</v>
      </c>
      <c r="AF57" s="6">
        <f t="shared" si="26"/>
        <v>260.91808802898458</v>
      </c>
      <c r="AG57" s="6">
        <f t="shared" si="27"/>
        <v>64.890328492808464</v>
      </c>
      <c r="AH57" s="6">
        <f t="shared" si="28"/>
        <v>325.80841652179305</v>
      </c>
    </row>
    <row r="58" spans="2:34" x14ac:dyDescent="0.3">
      <c r="B58" s="3">
        <v>54</v>
      </c>
      <c r="C58" s="2">
        <v>242</v>
      </c>
      <c r="D58" s="2">
        <v>230</v>
      </c>
      <c r="E58" s="2"/>
      <c r="F58" s="176">
        <f t="shared" si="9"/>
        <v>23.6</v>
      </c>
      <c r="G58" s="9">
        <f t="shared" si="10"/>
        <v>0</v>
      </c>
      <c r="H58" s="6">
        <f t="shared" si="11"/>
        <v>4.374353610858428E-2</v>
      </c>
      <c r="I58" s="7">
        <v>37</v>
      </c>
      <c r="J58" s="6" t="str">
        <f t="shared" si="29"/>
        <v/>
      </c>
      <c r="K58" s="6" t="str">
        <f t="shared" si="30"/>
        <v/>
      </c>
      <c r="L58" s="166">
        <f t="shared" si="31"/>
        <v>22.111855483993811</v>
      </c>
      <c r="M58" s="17">
        <f t="shared" si="12"/>
        <v>22.111855483993811</v>
      </c>
      <c r="N58" s="144">
        <f t="shared" si="32"/>
        <v>0.41847417585395241</v>
      </c>
      <c r="O58" s="144">
        <f t="shared" si="14"/>
        <v>0.33936039617904618</v>
      </c>
      <c r="P58" s="143">
        <f t="shared" si="15"/>
        <v>2.7637779689689147E-2</v>
      </c>
      <c r="Q58" s="143">
        <f t="shared" si="15"/>
        <v>0.31475060045453596</v>
      </c>
      <c r="R58" s="143">
        <f t="shared" si="15"/>
        <v>0.33842966011923553</v>
      </c>
      <c r="S58" s="183">
        <f t="shared" si="16"/>
        <v>2.7637779689689147E-2</v>
      </c>
      <c r="T58" s="183">
        <f t="shared" si="17"/>
        <v>0.28711282076484679</v>
      </c>
      <c r="U58" s="183">
        <f t="shared" si="18"/>
        <v>2.3679059664699575E-2</v>
      </c>
      <c r="V58" s="185">
        <f t="shared" si="19"/>
        <v>9.30736059810644E-4</v>
      </c>
      <c r="W58" s="184">
        <f t="shared" si="33"/>
        <v>20.098082542978293</v>
      </c>
      <c r="X58" s="203">
        <f t="shared" si="20"/>
        <v>0</v>
      </c>
      <c r="Y58" s="185">
        <f t="shared" si="21"/>
        <v>0.31475060045453596</v>
      </c>
      <c r="Z58" s="185">
        <f t="shared" si="22"/>
        <v>2.3679059664699575E-2</v>
      </c>
      <c r="AA58" s="173">
        <f t="shared" si="23"/>
        <v>9.30736059810644E-4</v>
      </c>
      <c r="AB58" s="6">
        <f t="shared" si="24"/>
        <v>192.51745441445743</v>
      </c>
      <c r="AC58" s="6">
        <f t="shared" si="24"/>
        <v>31.586276003954364</v>
      </c>
      <c r="AD58" s="6">
        <f t="shared" si="25"/>
        <v>20.122742405689507</v>
      </c>
      <c r="AE58" s="6">
        <f t="shared" si="25"/>
        <v>14.179624785367698</v>
      </c>
      <c r="AF58" s="6">
        <f t="shared" si="26"/>
        <v>258.40609760946899</v>
      </c>
      <c r="AG58" s="6">
        <f t="shared" si="27"/>
        <v>64.265596475474936</v>
      </c>
      <c r="AH58" s="6">
        <f t="shared" si="28"/>
        <v>322.67169408494391</v>
      </c>
    </row>
    <row r="59" spans="2:34" x14ac:dyDescent="0.3">
      <c r="B59" s="15">
        <v>38</v>
      </c>
      <c r="C59" s="2">
        <v>237</v>
      </c>
      <c r="D59" s="2">
        <v>229</v>
      </c>
      <c r="E59" s="2"/>
      <c r="F59" s="176">
        <f t="shared" si="9"/>
        <v>23.3</v>
      </c>
      <c r="G59" s="9">
        <f t="shared" si="10"/>
        <v>0</v>
      </c>
      <c r="H59" s="6">
        <f t="shared" si="11"/>
        <v>4.2638480892684065E-2</v>
      </c>
      <c r="I59" s="7">
        <v>38</v>
      </c>
      <c r="J59" s="6" t="str">
        <f t="shared" si="29"/>
        <v/>
      </c>
      <c r="K59" s="6" t="str">
        <f t="shared" si="30"/>
        <v/>
      </c>
      <c r="L59" s="166">
        <f t="shared" si="31"/>
        <v>22.012571230063937</v>
      </c>
      <c r="M59" s="17">
        <f t="shared" si="12"/>
        <v>22.012571230063937</v>
      </c>
      <c r="N59" s="144">
        <f t="shared" si="32"/>
        <v>0.4068832256902104</v>
      </c>
      <c r="O59" s="144">
        <f t="shared" si="14"/>
        <v>0.32998571250462805</v>
      </c>
      <c r="P59" s="143">
        <f t="shared" si="15"/>
        <v>2.3231910100471299E-2</v>
      </c>
      <c r="Q59" s="143">
        <f t="shared" si="15"/>
        <v>0.30472060820499269</v>
      </c>
      <c r="R59" s="143">
        <f t="shared" si="15"/>
        <v>0.32902820516292325</v>
      </c>
      <c r="S59" s="183">
        <f t="shared" si="16"/>
        <v>2.3231910100471299E-2</v>
      </c>
      <c r="T59" s="183">
        <f t="shared" si="17"/>
        <v>0.28148869810452137</v>
      </c>
      <c r="U59" s="183">
        <f t="shared" si="18"/>
        <v>2.4307596957930555E-2</v>
      </c>
      <c r="V59" s="185">
        <f t="shared" si="19"/>
        <v>9.5750734170479967E-4</v>
      </c>
      <c r="W59" s="184">
        <f t="shared" si="33"/>
        <v>19.829830893893675</v>
      </c>
      <c r="X59" s="203">
        <f t="shared" si="20"/>
        <v>0</v>
      </c>
      <c r="Y59" s="185">
        <f t="shared" si="21"/>
        <v>0.30472060820499269</v>
      </c>
      <c r="Z59" s="185">
        <f t="shared" si="22"/>
        <v>2.4307596957930555E-2</v>
      </c>
      <c r="AA59" s="173">
        <f t="shared" si="23"/>
        <v>9.5750734170479967E-4</v>
      </c>
      <c r="AB59" s="6">
        <f t="shared" si="24"/>
        <v>187.02554769101695</v>
      </c>
      <c r="AC59" s="6">
        <f t="shared" si="24"/>
        <v>30.489995006161038</v>
      </c>
      <c r="AD59" s="6">
        <f t="shared" si="25"/>
        <v>19.557737401698535</v>
      </c>
      <c r="AE59" s="6">
        <f t="shared" si="25"/>
        <v>13.870014641065223</v>
      </c>
      <c r="AF59" s="6">
        <f t="shared" si="26"/>
        <v>250.94329473994173</v>
      </c>
      <c r="AG59" s="6">
        <f t="shared" si="27"/>
        <v>62.409597401823511</v>
      </c>
      <c r="AH59" s="6">
        <f t="shared" si="28"/>
        <v>313.35289214176527</v>
      </c>
    </row>
    <row r="60" spans="2:34" x14ac:dyDescent="0.3">
      <c r="B60" s="15">
        <v>34</v>
      </c>
      <c r="C60" s="2">
        <v>225</v>
      </c>
      <c r="D60" s="2">
        <v>234</v>
      </c>
      <c r="E60" s="2"/>
      <c r="F60" s="176">
        <f t="shared" si="9"/>
        <v>22.95</v>
      </c>
      <c r="G60" s="9">
        <f t="shared" si="10"/>
        <v>0</v>
      </c>
      <c r="H60" s="6">
        <f t="shared" si="11"/>
        <v>4.136711761568445E-2</v>
      </c>
      <c r="I60" s="7">
        <v>39</v>
      </c>
      <c r="J60" s="6" t="str">
        <f t="shared" si="29"/>
        <v/>
      </c>
      <c r="K60" s="6" t="str">
        <f t="shared" si="30"/>
        <v/>
      </c>
      <c r="L60" s="166">
        <f t="shared" si="31"/>
        <v>21.894047019885281</v>
      </c>
      <c r="M60" s="17">
        <f t="shared" si="12"/>
        <v>21.894047019885281</v>
      </c>
      <c r="N60" s="144">
        <f t="shared" si="32"/>
        <v>0.39355266608604966</v>
      </c>
      <c r="O60" s="144">
        <f t="shared" si="14"/>
        <v>0.31920102655817534</v>
      </c>
      <c r="P60" s="143">
        <f t="shared" si="15"/>
        <v>1.8709495668443883E-2</v>
      </c>
      <c r="Q60" s="143">
        <f t="shared" si="15"/>
        <v>0.29314450607451187</v>
      </c>
      <c r="R60" s="143">
        <f t="shared" si="15"/>
        <v>0.31821094247424542</v>
      </c>
      <c r="S60" s="183">
        <f t="shared" si="16"/>
        <v>1.8709495668443883E-2</v>
      </c>
      <c r="T60" s="183">
        <f t="shared" si="17"/>
        <v>0.27443501040606799</v>
      </c>
      <c r="U60" s="183">
        <f t="shared" si="18"/>
        <v>2.5066436399733549E-2</v>
      </c>
      <c r="V60" s="185">
        <f t="shared" si="19"/>
        <v>9.9008408392992076E-4</v>
      </c>
      <c r="W60" s="184">
        <f t="shared" si="33"/>
        <v>19.516820772443506</v>
      </c>
      <c r="X60" s="203">
        <f t="shared" si="20"/>
        <v>0</v>
      </c>
      <c r="Y60" s="185">
        <f t="shared" si="21"/>
        <v>0.29314450607451187</v>
      </c>
      <c r="Z60" s="185">
        <f t="shared" si="22"/>
        <v>2.5066436399733549E-2</v>
      </c>
      <c r="AA60" s="173">
        <f t="shared" si="23"/>
        <v>9.9008408392992076E-4</v>
      </c>
      <c r="AB60" s="6">
        <f t="shared" si="24"/>
        <v>180.71166410512609</v>
      </c>
      <c r="AC60" s="6">
        <f t="shared" si="24"/>
        <v>29.239673069934366</v>
      </c>
      <c r="AD60" s="6">
        <f t="shared" si="25"/>
        <v>18.910952977922278</v>
      </c>
      <c r="AE60" s="6">
        <f t="shared" si="25"/>
        <v>13.513163181358022</v>
      </c>
      <c r="AF60" s="6">
        <f t="shared" si="26"/>
        <v>242.37545333434073</v>
      </c>
      <c r="AG60" s="6">
        <f t="shared" si="27"/>
        <v>60.278775244250539</v>
      </c>
      <c r="AH60" s="6">
        <f t="shared" si="28"/>
        <v>302.6542285785913</v>
      </c>
    </row>
    <row r="61" spans="2:34" x14ac:dyDescent="0.3">
      <c r="B61" s="3">
        <v>57</v>
      </c>
      <c r="C61" s="2">
        <v>231</v>
      </c>
      <c r="D61" s="2">
        <v>225</v>
      </c>
      <c r="E61" s="2"/>
      <c r="F61" s="176">
        <f t="shared" si="9"/>
        <v>22.8</v>
      </c>
      <c r="G61" s="9">
        <f t="shared" si="10"/>
        <v>0</v>
      </c>
      <c r="H61" s="6">
        <f t="shared" si="11"/>
        <v>4.0828138126052953E-2</v>
      </c>
      <c r="I61" s="7">
        <v>40</v>
      </c>
      <c r="J61" s="6" t="str">
        <f t="shared" si="29"/>
        <v/>
      </c>
      <c r="K61" s="6" t="str">
        <f t="shared" si="30"/>
        <v/>
      </c>
      <c r="L61" s="166">
        <f t="shared" si="31"/>
        <v>21.842338142605822</v>
      </c>
      <c r="M61" s="17">
        <f t="shared" si="12"/>
        <v>21.842338142605822</v>
      </c>
      <c r="N61" s="144">
        <f t="shared" si="32"/>
        <v>0.38790308635303156</v>
      </c>
      <c r="O61" s="144">
        <f t="shared" si="14"/>
        <v>0.31462942001562649</v>
      </c>
      <c r="P61" s="143">
        <f t="shared" si="15"/>
        <v>1.696793516420082E-2</v>
      </c>
      <c r="Q61" s="143">
        <f t="shared" si="15"/>
        <v>0.28822464066401926</v>
      </c>
      <c r="R61" s="143">
        <f t="shared" si="15"/>
        <v>0.31362491191685521</v>
      </c>
      <c r="S61" s="183">
        <f t="shared" si="16"/>
        <v>1.696793516420082E-2</v>
      </c>
      <c r="T61" s="183">
        <f t="shared" si="17"/>
        <v>0.27125670549981845</v>
      </c>
      <c r="U61" s="183">
        <f t="shared" si="18"/>
        <v>2.5400271252835949E-2</v>
      </c>
      <c r="V61" s="185">
        <f t="shared" si="19"/>
        <v>1.004508098771284E-3</v>
      </c>
      <c r="W61" s="184">
        <f t="shared" si="33"/>
        <v>19.382656493519566</v>
      </c>
      <c r="X61" s="203">
        <f t="shared" si="20"/>
        <v>0</v>
      </c>
      <c r="Y61" s="185">
        <f t="shared" si="21"/>
        <v>0.28822464066401926</v>
      </c>
      <c r="Z61" s="185">
        <f t="shared" si="22"/>
        <v>2.5400271252835949E-2</v>
      </c>
      <c r="AA61" s="173">
        <f t="shared" si="23"/>
        <v>1.004508098771284E-3</v>
      </c>
      <c r="AB61" s="6">
        <f t="shared" si="24"/>
        <v>178.03657430133862</v>
      </c>
      <c r="AC61" s="6">
        <f t="shared" si="24"/>
        <v>28.713223095935174</v>
      </c>
      <c r="AD61" s="6">
        <f t="shared" si="25"/>
        <v>18.637821698474443</v>
      </c>
      <c r="AE61" s="6">
        <f t="shared" si="25"/>
        <v>13.361664871811366</v>
      </c>
      <c r="AF61" s="6">
        <f t="shared" si="26"/>
        <v>238.74928396755962</v>
      </c>
      <c r="AG61" s="6">
        <f t="shared" si="27"/>
        <v>59.376946922732081</v>
      </c>
      <c r="AH61" s="6">
        <f t="shared" si="28"/>
        <v>298.12623089029171</v>
      </c>
    </row>
    <row r="62" spans="2:34" x14ac:dyDescent="0.3">
      <c r="B62" s="15">
        <v>23</v>
      </c>
      <c r="C62" s="2">
        <v>227</v>
      </c>
      <c r="D62" s="2">
        <v>228</v>
      </c>
      <c r="E62" s="2"/>
      <c r="F62" s="176">
        <f t="shared" si="9"/>
        <v>22.75</v>
      </c>
      <c r="G62" s="9">
        <f t="shared" si="10"/>
        <v>0</v>
      </c>
      <c r="H62" s="6">
        <f t="shared" si="11"/>
        <v>4.0649263694339181E-2</v>
      </c>
      <c r="I62" s="7">
        <v>41</v>
      </c>
      <c r="J62" s="6" t="str">
        <f t="shared" si="29"/>
        <v/>
      </c>
      <c r="K62" s="6" t="str">
        <f t="shared" si="30"/>
        <v/>
      </c>
      <c r="L62" s="166">
        <f t="shared" si="31"/>
        <v>21.824977774302095</v>
      </c>
      <c r="M62" s="17">
        <f t="shared" si="12"/>
        <v>21.824977774302095</v>
      </c>
      <c r="N62" s="144">
        <f t="shared" si="32"/>
        <v>0.38602837592009887</v>
      </c>
      <c r="O62" s="144">
        <f t="shared" si="14"/>
        <v>0.31311228484856224</v>
      </c>
      <c r="P62" s="143">
        <f t="shared" si="15"/>
        <v>1.6412891850268133E-2</v>
      </c>
      <c r="Q62" s="143">
        <f t="shared" si="15"/>
        <v>0.28659018913470719</v>
      </c>
      <c r="R62" s="143">
        <f t="shared" si="15"/>
        <v>0.31210290519795003</v>
      </c>
      <c r="S62" s="183">
        <f t="shared" si="16"/>
        <v>1.6412891850268133E-2</v>
      </c>
      <c r="T62" s="183">
        <f t="shared" si="17"/>
        <v>0.27017729728443907</v>
      </c>
      <c r="U62" s="183">
        <f t="shared" si="18"/>
        <v>2.5512716063242846E-2</v>
      </c>
      <c r="V62" s="185">
        <f t="shared" si="19"/>
        <v>1.0093796506122077E-3</v>
      </c>
      <c r="W62" s="184">
        <f t="shared" si="33"/>
        <v>19.337932727717348</v>
      </c>
      <c r="X62" s="203">
        <f t="shared" si="20"/>
        <v>0</v>
      </c>
      <c r="Y62" s="185">
        <f t="shared" si="21"/>
        <v>0.28659018913470719</v>
      </c>
      <c r="Z62" s="185">
        <f t="shared" si="22"/>
        <v>2.5512716063242846E-2</v>
      </c>
      <c r="AA62" s="173">
        <f t="shared" si="23"/>
        <v>1.0093796506122077E-3</v>
      </c>
      <c r="AB62" s="6">
        <f t="shared" si="24"/>
        <v>177.14900060819207</v>
      </c>
      <c r="AC62" s="6">
        <f t="shared" si="24"/>
        <v>28.538988773901384</v>
      </c>
      <c r="AD62" s="6">
        <f t="shared" si="25"/>
        <v>18.547317526157343</v>
      </c>
      <c r="AE62" s="6">
        <f t="shared" si="25"/>
        <v>13.311357223511058</v>
      </c>
      <c r="AF62" s="6">
        <f t="shared" si="26"/>
        <v>237.54666413176187</v>
      </c>
      <c r="AG62" s="6">
        <f t="shared" si="27"/>
        <v>59.077855369569178</v>
      </c>
      <c r="AH62" s="6">
        <f t="shared" si="28"/>
        <v>296.62451950133106</v>
      </c>
    </row>
    <row r="63" spans="2:34" x14ac:dyDescent="0.3">
      <c r="B63" s="3">
        <v>61</v>
      </c>
      <c r="C63" s="2">
        <v>227</v>
      </c>
      <c r="D63" s="2">
        <v>227</v>
      </c>
      <c r="E63" s="2"/>
      <c r="F63" s="176">
        <f t="shared" si="9"/>
        <v>22.7</v>
      </c>
      <c r="G63" s="9">
        <f t="shared" si="10"/>
        <v>0</v>
      </c>
      <c r="H63" s="6">
        <f t="shared" si="11"/>
        <v>4.0470781961707107E-2</v>
      </c>
      <c r="I63" s="7">
        <v>42</v>
      </c>
      <c r="J63" s="6" t="str">
        <f t="shared" si="29"/>
        <v/>
      </c>
      <c r="K63" s="6" t="str">
        <f t="shared" si="30"/>
        <v/>
      </c>
      <c r="L63" s="166">
        <f t="shared" si="31"/>
        <v>21.807554817982066</v>
      </c>
      <c r="M63" s="17">
        <f t="shared" si="12"/>
        <v>21.807554817982066</v>
      </c>
      <c r="N63" s="144">
        <f t="shared" si="32"/>
        <v>0.38415791006329064</v>
      </c>
      <c r="O63" s="144">
        <f t="shared" si="14"/>
        <v>0.31159851960286195</v>
      </c>
      <c r="P63" s="143">
        <f t="shared" si="15"/>
        <v>1.5870404486147387E-2</v>
      </c>
      <c r="Q63" s="143">
        <f t="shared" si="15"/>
        <v>0.28495848818412889</v>
      </c>
      <c r="R63" s="143">
        <f t="shared" si="15"/>
        <v>0.31058423618876618</v>
      </c>
      <c r="S63" s="183">
        <f t="shared" si="16"/>
        <v>1.5870404486147387E-2</v>
      </c>
      <c r="T63" s="183">
        <f t="shared" si="17"/>
        <v>0.26908808369798148</v>
      </c>
      <c r="U63" s="183">
        <f t="shared" si="18"/>
        <v>2.5625748004637294E-2</v>
      </c>
      <c r="V63" s="185">
        <f t="shared" si="19"/>
        <v>1.0142834140957624E-3</v>
      </c>
      <c r="W63" s="184">
        <f t="shared" si="33"/>
        <v>19.293207777747501</v>
      </c>
      <c r="X63" s="203">
        <f t="shared" si="20"/>
        <v>0</v>
      </c>
      <c r="Y63" s="185">
        <f t="shared" si="21"/>
        <v>0.28495848818412889</v>
      </c>
      <c r="Z63" s="185">
        <f t="shared" si="22"/>
        <v>2.5625748004637294E-2</v>
      </c>
      <c r="AA63" s="173">
        <f t="shared" si="23"/>
        <v>1.0142834140957624E-3</v>
      </c>
      <c r="AB63" s="6">
        <f t="shared" si="24"/>
        <v>176.26349024619299</v>
      </c>
      <c r="AC63" s="6">
        <f t="shared" si="24"/>
        <v>28.365377894355095</v>
      </c>
      <c r="AD63" s="6">
        <f t="shared" si="25"/>
        <v>18.457082687616676</v>
      </c>
      <c r="AE63" s="6">
        <f t="shared" si="25"/>
        <v>13.261145481034333</v>
      </c>
      <c r="AF63" s="6">
        <f t="shared" si="26"/>
        <v>236.34709630919909</v>
      </c>
      <c r="AG63" s="6">
        <f t="shared" si="27"/>
        <v>58.779522852097813</v>
      </c>
      <c r="AH63" s="6">
        <f t="shared" si="28"/>
        <v>295.1266191612969</v>
      </c>
    </row>
    <row r="64" spans="2:34" x14ac:dyDescent="0.3">
      <c r="B64" s="15">
        <v>1</v>
      </c>
      <c r="C64" s="2">
        <v>235</v>
      </c>
      <c r="D64" s="2">
        <v>217</v>
      </c>
      <c r="E64" s="2">
        <v>18.5</v>
      </c>
      <c r="F64" s="176">
        <f t="shared" si="9"/>
        <v>22.6</v>
      </c>
      <c r="G64" s="9">
        <f t="shared" si="10"/>
        <v>0</v>
      </c>
      <c r="H64" s="6">
        <f t="shared" si="11"/>
        <v>4.0114996593688071E-2</v>
      </c>
      <c r="I64" s="7">
        <v>43</v>
      </c>
      <c r="J64" s="6" t="str">
        <f t="shared" si="29"/>
        <v/>
      </c>
      <c r="K64" s="6" t="str">
        <f t="shared" si="30"/>
        <v/>
      </c>
      <c r="L64" s="166">
        <f t="shared" si="31"/>
        <v>21.772519805007512</v>
      </c>
      <c r="M64" s="17">
        <f t="shared" si="12"/>
        <v>18.5</v>
      </c>
      <c r="N64" s="144">
        <f t="shared" si="32"/>
        <v>0.31956901403217203</v>
      </c>
      <c r="O64" s="144">
        <f t="shared" si="14"/>
        <v>0.25560485838739083</v>
      </c>
      <c r="P64" s="143">
        <f t="shared" si="15"/>
        <v>1.2277934976128E-2</v>
      </c>
      <c r="Q64" s="143">
        <f t="shared" si="15"/>
        <v>0.23334137977050259</v>
      </c>
      <c r="R64" s="143">
        <f t="shared" si="15"/>
        <v>0.25475649927401739</v>
      </c>
      <c r="S64" s="183">
        <f t="shared" si="16"/>
        <v>1.2277934976128E-2</v>
      </c>
      <c r="T64" s="183">
        <f t="shared" si="17"/>
        <v>0.22106344479437459</v>
      </c>
      <c r="U64" s="183">
        <f t="shared" si="18"/>
        <v>2.1415119503514796E-2</v>
      </c>
      <c r="V64" s="185">
        <f t="shared" si="19"/>
        <v>8.483591133734425E-4</v>
      </c>
      <c r="W64" s="184">
        <f t="shared" si="33"/>
        <v>18.725532921912404</v>
      </c>
      <c r="X64" s="203">
        <f t="shared" si="20"/>
        <v>0</v>
      </c>
      <c r="Y64" s="185">
        <f t="shared" si="21"/>
        <v>0.23334137977050259</v>
      </c>
      <c r="Z64" s="185">
        <f t="shared" si="22"/>
        <v>2.1415119503514796E-2</v>
      </c>
      <c r="AA64" s="173">
        <f t="shared" si="23"/>
        <v>8.483591133734425E-4</v>
      </c>
      <c r="AB64" s="6">
        <f t="shared" si="24"/>
        <v>139.60773612148412</v>
      </c>
      <c r="AC64" s="6">
        <f t="shared" si="24"/>
        <v>23.481170524610544</v>
      </c>
      <c r="AD64" s="6">
        <f t="shared" si="25"/>
        <v>20.993891502931202</v>
      </c>
      <c r="AE64" s="6">
        <f t="shared" si="25"/>
        <v>14.779542952143634</v>
      </c>
      <c r="AF64" s="6">
        <f t="shared" si="26"/>
        <v>198.86234110116951</v>
      </c>
      <c r="AG64" s="6">
        <f t="shared" si="27"/>
        <v>49.457064231860855</v>
      </c>
      <c r="AH64" s="6">
        <f t="shared" si="28"/>
        <v>248.31940533303037</v>
      </c>
    </row>
    <row r="65" spans="2:34" x14ac:dyDescent="0.3">
      <c r="B65" s="15">
        <v>27</v>
      </c>
      <c r="C65" s="2">
        <v>223</v>
      </c>
      <c r="D65" s="2">
        <v>229</v>
      </c>
      <c r="E65" s="2"/>
      <c r="F65" s="176">
        <f t="shared" si="9"/>
        <v>22.6</v>
      </c>
      <c r="G65" s="9">
        <f t="shared" si="10"/>
        <v>0</v>
      </c>
      <c r="H65" s="6">
        <f t="shared" si="11"/>
        <v>4.0114996593688071E-2</v>
      </c>
      <c r="I65" s="7">
        <v>44</v>
      </c>
      <c r="J65" s="6" t="str">
        <f t="shared" si="29"/>
        <v/>
      </c>
      <c r="K65" s="6" t="str">
        <f t="shared" si="30"/>
        <v/>
      </c>
      <c r="L65" s="166">
        <f t="shared" si="31"/>
        <v>21.772519805007512</v>
      </c>
      <c r="M65" s="17">
        <f t="shared" si="12"/>
        <v>21.772519805007512</v>
      </c>
      <c r="N65" s="144">
        <f t="shared" si="32"/>
        <v>0.38042971972042494</v>
      </c>
      <c r="O65" s="144">
        <f t="shared" si="14"/>
        <v>0.30858110630434482</v>
      </c>
      <c r="P65" s="143">
        <f t="shared" si="15"/>
        <v>1.4822639843270244E-2</v>
      </c>
      <c r="Q65" s="143">
        <f t="shared" si="15"/>
        <v>0.28170333525912356</v>
      </c>
      <c r="R65" s="143">
        <f t="shared" si="15"/>
        <v>0.30755691765863685</v>
      </c>
      <c r="S65" s="183">
        <f t="shared" si="16"/>
        <v>1.4822639843270244E-2</v>
      </c>
      <c r="T65" s="183">
        <f t="shared" si="17"/>
        <v>0.2668806954158533</v>
      </c>
      <c r="U65" s="183">
        <f t="shared" si="18"/>
        <v>2.5853582399513297E-2</v>
      </c>
      <c r="V65" s="185">
        <f t="shared" si="19"/>
        <v>1.0241886457079685E-3</v>
      </c>
      <c r="W65" s="184">
        <f t="shared" si="33"/>
        <v>19.203754290094931</v>
      </c>
      <c r="X65" s="203">
        <f t="shared" si="20"/>
        <v>0</v>
      </c>
      <c r="Y65" s="185">
        <f t="shared" si="21"/>
        <v>0.28170333525912356</v>
      </c>
      <c r="Z65" s="185">
        <f t="shared" si="22"/>
        <v>2.5853582399513297E-2</v>
      </c>
      <c r="AA65" s="173">
        <f t="shared" si="23"/>
        <v>1.0241886457079685E-3</v>
      </c>
      <c r="AB65" s="6">
        <f t="shared" si="24"/>
        <v>174.49866403935437</v>
      </c>
      <c r="AC65" s="6">
        <f t="shared" si="24"/>
        <v>28.020023913945614</v>
      </c>
      <c r="AD65" s="6">
        <f t="shared" si="25"/>
        <v>18.277419906206909</v>
      </c>
      <c r="AE65" s="6">
        <f t="shared" si="25"/>
        <v>13.161009741902507</v>
      </c>
      <c r="AF65" s="6">
        <f t="shared" si="26"/>
        <v>233.95711760140941</v>
      </c>
      <c r="AG65" s="6">
        <f t="shared" si="27"/>
        <v>58.185135147470518</v>
      </c>
      <c r="AH65" s="6">
        <f t="shared" si="28"/>
        <v>292.14225274887991</v>
      </c>
    </row>
    <row r="66" spans="2:34" x14ac:dyDescent="0.3">
      <c r="B66" s="15">
        <v>37</v>
      </c>
      <c r="C66" s="2">
        <v>230</v>
      </c>
      <c r="D66" s="2">
        <v>222</v>
      </c>
      <c r="E66" s="2"/>
      <c r="F66" s="176">
        <f t="shared" si="9"/>
        <v>22.6</v>
      </c>
      <c r="G66" s="9">
        <f t="shared" si="10"/>
        <v>0</v>
      </c>
      <c r="H66" s="6">
        <f t="shared" si="11"/>
        <v>4.0114996593688071E-2</v>
      </c>
      <c r="I66" s="7">
        <v>45</v>
      </c>
      <c r="J66" s="6" t="str">
        <f t="shared" si="29"/>
        <v/>
      </c>
      <c r="K66" s="6" t="str">
        <f t="shared" si="30"/>
        <v/>
      </c>
      <c r="L66" s="166">
        <f t="shared" si="31"/>
        <v>21.772519805007512</v>
      </c>
      <c r="M66" s="17">
        <f t="shared" si="12"/>
        <v>21.772519805007512</v>
      </c>
      <c r="N66" s="144">
        <f t="shared" si="32"/>
        <v>0.38042971972042494</v>
      </c>
      <c r="O66" s="144">
        <f t="shared" si="14"/>
        <v>0.30858110630434482</v>
      </c>
      <c r="P66" s="143">
        <f t="shared" si="15"/>
        <v>1.4822639843270244E-2</v>
      </c>
      <c r="Q66" s="143">
        <f t="shared" si="15"/>
        <v>0.28170333525912356</v>
      </c>
      <c r="R66" s="143">
        <f t="shared" si="15"/>
        <v>0.30755691765863685</v>
      </c>
      <c r="S66" s="183">
        <f t="shared" si="16"/>
        <v>1.4822639843270244E-2</v>
      </c>
      <c r="T66" s="183">
        <f t="shared" si="17"/>
        <v>0.2668806954158533</v>
      </c>
      <c r="U66" s="183">
        <f t="shared" si="18"/>
        <v>2.5853582399513297E-2</v>
      </c>
      <c r="V66" s="185">
        <f t="shared" si="19"/>
        <v>1.0241886457079685E-3</v>
      </c>
      <c r="W66" s="184">
        <f t="shared" si="33"/>
        <v>19.203754290094931</v>
      </c>
      <c r="X66" s="203">
        <f t="shared" si="20"/>
        <v>0</v>
      </c>
      <c r="Y66" s="185">
        <f t="shared" si="21"/>
        <v>0.28170333525912356</v>
      </c>
      <c r="Z66" s="185">
        <f t="shared" si="22"/>
        <v>2.5853582399513297E-2</v>
      </c>
      <c r="AA66" s="173">
        <f t="shared" si="23"/>
        <v>1.0241886457079685E-3</v>
      </c>
      <c r="AB66" s="6">
        <f t="shared" si="24"/>
        <v>174.49866403935437</v>
      </c>
      <c r="AC66" s="6">
        <f t="shared" si="24"/>
        <v>28.020023913945614</v>
      </c>
      <c r="AD66" s="6">
        <f t="shared" si="25"/>
        <v>18.277419906206909</v>
      </c>
      <c r="AE66" s="6">
        <f t="shared" si="25"/>
        <v>13.161009741902507</v>
      </c>
      <c r="AF66" s="6">
        <f t="shared" si="26"/>
        <v>233.95711760140941</v>
      </c>
      <c r="AG66" s="6">
        <f t="shared" si="27"/>
        <v>58.185135147470518</v>
      </c>
      <c r="AH66" s="6">
        <f t="shared" si="28"/>
        <v>292.14225274887991</v>
      </c>
    </row>
    <row r="67" spans="2:34" x14ac:dyDescent="0.3">
      <c r="B67" s="3">
        <v>76</v>
      </c>
      <c r="C67" s="2">
        <v>226</v>
      </c>
      <c r="D67" s="2">
        <v>218</v>
      </c>
      <c r="E67" s="2"/>
      <c r="F67" s="176">
        <f t="shared" si="9"/>
        <v>22.2</v>
      </c>
      <c r="G67" s="9">
        <f t="shared" si="10"/>
        <v>0</v>
      </c>
      <c r="H67" s="6">
        <f t="shared" si="11"/>
        <v>3.870756308487984E-2</v>
      </c>
      <c r="I67" s="7">
        <v>46</v>
      </c>
      <c r="J67" s="6" t="str">
        <f t="shared" si="29"/>
        <v/>
      </c>
      <c r="K67" s="6" t="str">
        <f t="shared" si="30"/>
        <v/>
      </c>
      <c r="L67" s="166">
        <f t="shared" si="31"/>
        <v>21.629808380189999</v>
      </c>
      <c r="M67" s="17">
        <f t="shared" si="12"/>
        <v>21.629808380189999</v>
      </c>
      <c r="N67" s="144">
        <f t="shared" si="32"/>
        <v>0.36568712563275424</v>
      </c>
      <c r="O67" s="144">
        <f t="shared" si="14"/>
        <v>0.29664662356982935</v>
      </c>
      <c r="P67" s="143">
        <f t="shared" si="15"/>
        <v>1.1109738819298746E-2</v>
      </c>
      <c r="Q67" s="143">
        <f t="shared" si="15"/>
        <v>0.26879262163485851</v>
      </c>
      <c r="R67" s="143">
        <f t="shared" si="15"/>
        <v>0.29558147087365527</v>
      </c>
      <c r="S67" s="183">
        <f t="shared" si="16"/>
        <v>1.1109738819298746E-2</v>
      </c>
      <c r="T67" s="183">
        <f t="shared" si="17"/>
        <v>0.25768288281555979</v>
      </c>
      <c r="U67" s="183">
        <f t="shared" si="18"/>
        <v>2.6788849238796764E-2</v>
      </c>
      <c r="V67" s="185">
        <f t="shared" si="19"/>
        <v>1.0651526961740765E-3</v>
      </c>
      <c r="W67" s="184">
        <f t="shared" si="33"/>
        <v>18.845891173078662</v>
      </c>
      <c r="X67" s="203">
        <f t="shared" si="20"/>
        <v>0</v>
      </c>
      <c r="Y67" s="185">
        <f t="shared" si="21"/>
        <v>0.26879262163485851</v>
      </c>
      <c r="Z67" s="185">
        <f t="shared" si="22"/>
        <v>2.6788849238796764E-2</v>
      </c>
      <c r="AA67" s="173">
        <f t="shared" si="23"/>
        <v>1.0651526961740765E-3</v>
      </c>
      <c r="AB67" s="6">
        <f t="shared" si="24"/>
        <v>167.52211982840313</v>
      </c>
      <c r="AC67" s="6">
        <f t="shared" si="24"/>
        <v>26.663417769262843</v>
      </c>
      <c r="AD67" s="6">
        <f t="shared" si="25"/>
        <v>17.569486739691364</v>
      </c>
      <c r="AE67" s="6">
        <f t="shared" si="25"/>
        <v>12.764304450919475</v>
      </c>
      <c r="AF67" s="6">
        <f t="shared" si="26"/>
        <v>224.51932878827682</v>
      </c>
      <c r="AG67" s="6">
        <f t="shared" si="27"/>
        <v>55.837957069644446</v>
      </c>
      <c r="AH67" s="6">
        <f t="shared" si="28"/>
        <v>280.35728585792128</v>
      </c>
    </row>
    <row r="68" spans="2:34" x14ac:dyDescent="0.3">
      <c r="B68" s="15">
        <v>12</v>
      </c>
      <c r="C68" s="2">
        <v>223</v>
      </c>
      <c r="D68" s="2">
        <v>220</v>
      </c>
      <c r="E68" s="2"/>
      <c r="F68" s="176">
        <f t="shared" si="9"/>
        <v>22.15</v>
      </c>
      <c r="G68" s="9">
        <f t="shared" si="10"/>
        <v>0</v>
      </c>
      <c r="H68" s="6">
        <f t="shared" si="11"/>
        <v>3.8533401042146455E-2</v>
      </c>
      <c r="I68" s="7">
        <v>47</v>
      </c>
      <c r="J68" s="6" t="str">
        <f t="shared" si="29"/>
        <v/>
      </c>
      <c r="K68" s="6" t="str">
        <f t="shared" si="30"/>
        <v/>
      </c>
      <c r="L68" s="166">
        <f t="shared" si="31"/>
        <v>21.611674424303686</v>
      </c>
      <c r="M68" s="17">
        <f t="shared" si="12"/>
        <v>21.611674424303686</v>
      </c>
      <c r="N68" s="144">
        <f t="shared" si="32"/>
        <v>0.36386347719526724</v>
      </c>
      <c r="O68" s="144">
        <f t="shared" si="14"/>
        <v>0.29517005103810656</v>
      </c>
      <c r="P68" s="143">
        <f t="shared" si="15"/>
        <v>1.0697268602225234E-2</v>
      </c>
      <c r="Q68" s="143">
        <f t="shared" si="15"/>
        <v>0.2671911376589261</v>
      </c>
      <c r="R68" s="143">
        <f t="shared" si="15"/>
        <v>0.29409962205396145</v>
      </c>
      <c r="S68" s="183">
        <f t="shared" si="16"/>
        <v>1.0697268602225234E-2</v>
      </c>
      <c r="T68" s="183">
        <f t="shared" si="17"/>
        <v>0.25649386905670085</v>
      </c>
      <c r="U68" s="183">
        <f t="shared" si="18"/>
        <v>2.6908484395035348E-2</v>
      </c>
      <c r="V68" s="185">
        <f t="shared" si="19"/>
        <v>1.0704289841451109E-3</v>
      </c>
      <c r="W68" s="184">
        <f t="shared" si="33"/>
        <v>18.801152598024032</v>
      </c>
      <c r="X68" s="203">
        <f t="shared" si="20"/>
        <v>0</v>
      </c>
      <c r="Y68" s="185">
        <f t="shared" si="21"/>
        <v>0.2671911376589261</v>
      </c>
      <c r="Z68" s="185">
        <f t="shared" si="22"/>
        <v>2.6908484395035348E-2</v>
      </c>
      <c r="AA68" s="173">
        <f t="shared" si="23"/>
        <v>1.0704289841451109E-3</v>
      </c>
      <c r="AB68" s="6">
        <f t="shared" si="24"/>
        <v>166.65938129915222</v>
      </c>
      <c r="AC68" s="6">
        <f t="shared" si="24"/>
        <v>26.496622477923683</v>
      </c>
      <c r="AD68" s="6">
        <f t="shared" si="25"/>
        <v>17.482196278826699</v>
      </c>
      <c r="AE68" s="6">
        <f t="shared" si="25"/>
        <v>12.715148147298946</v>
      </c>
      <c r="AF68" s="6">
        <f t="shared" si="26"/>
        <v>223.35334820320156</v>
      </c>
      <c r="AG68" s="6">
        <f t="shared" si="27"/>
        <v>55.547977698136229</v>
      </c>
      <c r="AH68" s="6">
        <f t="shared" si="28"/>
        <v>278.90132590133777</v>
      </c>
    </row>
    <row r="69" spans="2:34" x14ac:dyDescent="0.3">
      <c r="B69" s="15">
        <v>22</v>
      </c>
      <c r="C69" s="2">
        <v>222</v>
      </c>
      <c r="D69" s="2">
        <v>217</v>
      </c>
      <c r="E69" s="2"/>
      <c r="F69" s="176">
        <f t="shared" si="9"/>
        <v>21.95</v>
      </c>
      <c r="G69" s="9">
        <f t="shared" si="10"/>
        <v>0</v>
      </c>
      <c r="H69" s="6">
        <f t="shared" si="11"/>
        <v>3.7840679862029901E-2</v>
      </c>
      <c r="I69" s="7">
        <v>48</v>
      </c>
      <c r="J69" s="6" t="str">
        <f t="shared" si="29"/>
        <v/>
      </c>
      <c r="K69" s="6" t="str">
        <f t="shared" si="30"/>
        <v/>
      </c>
      <c r="L69" s="166">
        <f t="shared" si="31"/>
        <v>21.538467484109809</v>
      </c>
      <c r="M69" s="17">
        <f t="shared" si="12"/>
        <v>21.538467484109809</v>
      </c>
      <c r="N69" s="144">
        <f t="shared" si="32"/>
        <v>0.35661158123681147</v>
      </c>
      <c r="O69" s="144">
        <f t="shared" si="14"/>
        <v>0.28929770529331222</v>
      </c>
      <c r="P69" s="143">
        <f t="shared" si="15"/>
        <v>9.1561109015515368E-3</v>
      </c>
      <c r="Q69" s="143">
        <f t="shared" si="15"/>
        <v>0.26081264207616028</v>
      </c>
      <c r="R69" s="143">
        <f t="shared" si="15"/>
        <v>0.28820581222280772</v>
      </c>
      <c r="S69" s="183">
        <f t="shared" si="16"/>
        <v>9.1561109015515368E-3</v>
      </c>
      <c r="T69" s="183">
        <f t="shared" si="17"/>
        <v>0.25165653117460873</v>
      </c>
      <c r="U69" s="183">
        <f t="shared" si="18"/>
        <v>2.7393170146647439E-2</v>
      </c>
      <c r="V69" s="185">
        <f t="shared" si="19"/>
        <v>1.0918930705045016E-3</v>
      </c>
      <c r="W69" s="184">
        <f t="shared" si="33"/>
        <v>18.622185242965077</v>
      </c>
      <c r="X69" s="203">
        <f t="shared" si="20"/>
        <v>0</v>
      </c>
      <c r="Y69" s="185">
        <f t="shared" si="21"/>
        <v>0.26081264207616028</v>
      </c>
      <c r="Z69" s="185">
        <f t="shared" si="22"/>
        <v>2.7393170146647439E-2</v>
      </c>
      <c r="AA69" s="173">
        <f t="shared" si="23"/>
        <v>1.0918930705045016E-3</v>
      </c>
      <c r="AB69" s="6">
        <f t="shared" si="24"/>
        <v>163.22920955125275</v>
      </c>
      <c r="AC69" s="6">
        <f t="shared" si="24"/>
        <v>25.835592067220315</v>
      </c>
      <c r="AD69" s="6">
        <f t="shared" si="25"/>
        <v>17.135691651812824</v>
      </c>
      <c r="AE69" s="6">
        <f t="shared" si="25"/>
        <v>12.519482938743444</v>
      </c>
      <c r="AF69" s="6">
        <f t="shared" si="26"/>
        <v>218.71997620902934</v>
      </c>
      <c r="AG69" s="6">
        <f t="shared" si="27"/>
        <v>54.395658083185594</v>
      </c>
      <c r="AH69" s="6">
        <f t="shared" si="28"/>
        <v>273.11563429221496</v>
      </c>
    </row>
    <row r="70" spans="2:34" x14ac:dyDescent="0.3">
      <c r="B70" s="15">
        <v>36</v>
      </c>
      <c r="C70" s="2">
        <v>221</v>
      </c>
      <c r="D70" s="2">
        <v>218</v>
      </c>
      <c r="E70" s="2"/>
      <c r="F70" s="176">
        <f t="shared" si="9"/>
        <v>21.95</v>
      </c>
      <c r="G70" s="9">
        <f t="shared" si="10"/>
        <v>0</v>
      </c>
      <c r="H70" s="6">
        <f t="shared" si="11"/>
        <v>3.7840679862029901E-2</v>
      </c>
      <c r="I70" s="7">
        <v>49</v>
      </c>
      <c r="J70" s="6" t="str">
        <f t="shared" si="29"/>
        <v/>
      </c>
      <c r="K70" s="6" t="str">
        <f t="shared" si="30"/>
        <v/>
      </c>
      <c r="L70" s="166">
        <f t="shared" si="31"/>
        <v>21.538467484109809</v>
      </c>
      <c r="M70" s="17">
        <f t="shared" si="12"/>
        <v>21.538467484109809</v>
      </c>
      <c r="N70" s="144">
        <f t="shared" si="32"/>
        <v>0.35661158123681147</v>
      </c>
      <c r="O70" s="144">
        <f t="shared" si="14"/>
        <v>0.28929770529331222</v>
      </c>
      <c r="P70" s="143">
        <f t="shared" si="15"/>
        <v>9.1561109015515368E-3</v>
      </c>
      <c r="Q70" s="143">
        <f t="shared" si="15"/>
        <v>0.26081264207616028</v>
      </c>
      <c r="R70" s="143">
        <f t="shared" si="15"/>
        <v>0.28820581222280772</v>
      </c>
      <c r="S70" s="183">
        <f t="shared" si="16"/>
        <v>9.1561109015515368E-3</v>
      </c>
      <c r="T70" s="183">
        <f t="shared" si="17"/>
        <v>0.25165653117460873</v>
      </c>
      <c r="U70" s="183">
        <f t="shared" si="18"/>
        <v>2.7393170146647439E-2</v>
      </c>
      <c r="V70" s="185">
        <f t="shared" si="19"/>
        <v>1.0918930705045016E-3</v>
      </c>
      <c r="W70" s="184">
        <f t="shared" si="33"/>
        <v>18.622185242965077</v>
      </c>
      <c r="X70" s="203">
        <f t="shared" si="20"/>
        <v>0</v>
      </c>
      <c r="Y70" s="185">
        <f t="shared" si="21"/>
        <v>0.26081264207616028</v>
      </c>
      <c r="Z70" s="185">
        <f t="shared" si="22"/>
        <v>2.7393170146647439E-2</v>
      </c>
      <c r="AA70" s="173">
        <f t="shared" si="23"/>
        <v>1.0918930705045016E-3</v>
      </c>
      <c r="AB70" s="6">
        <f t="shared" si="24"/>
        <v>163.22920955125275</v>
      </c>
      <c r="AC70" s="6">
        <f t="shared" si="24"/>
        <v>25.835592067220315</v>
      </c>
      <c r="AD70" s="6">
        <f t="shared" si="25"/>
        <v>17.135691651812824</v>
      </c>
      <c r="AE70" s="6">
        <f t="shared" si="25"/>
        <v>12.519482938743444</v>
      </c>
      <c r="AF70" s="6">
        <f t="shared" si="26"/>
        <v>218.71997620902934</v>
      </c>
      <c r="AG70" s="6">
        <f t="shared" si="27"/>
        <v>54.395658083185594</v>
      </c>
      <c r="AH70" s="6">
        <f t="shared" si="28"/>
        <v>273.11563429221496</v>
      </c>
    </row>
    <row r="71" spans="2:34" x14ac:dyDescent="0.3">
      <c r="B71" s="15">
        <v>40</v>
      </c>
      <c r="C71" s="2">
        <v>214</v>
      </c>
      <c r="D71" s="2">
        <v>223</v>
      </c>
      <c r="E71" s="2"/>
      <c r="F71" s="176">
        <f t="shared" si="9"/>
        <v>21.85</v>
      </c>
      <c r="G71" s="9">
        <f t="shared" si="10"/>
        <v>0</v>
      </c>
      <c r="H71" s="6">
        <f t="shared" si="11"/>
        <v>3.7496675466461828E-2</v>
      </c>
      <c r="I71" s="7">
        <v>50</v>
      </c>
      <c r="J71" s="6" t="str">
        <f t="shared" si="29"/>
        <v/>
      </c>
      <c r="K71" s="6" t="str">
        <f t="shared" si="30"/>
        <v/>
      </c>
      <c r="L71" s="166">
        <f t="shared" si="31"/>
        <v>21.501456202604039</v>
      </c>
      <c r="M71" s="17">
        <f t="shared" si="12"/>
        <v>21.501456202604039</v>
      </c>
      <c r="N71" s="144">
        <f t="shared" si="32"/>
        <v>0.35301127960711892</v>
      </c>
      <c r="O71" s="144">
        <f t="shared" si="14"/>
        <v>0.28638192599795953</v>
      </c>
      <c r="P71" s="143">
        <f t="shared" si="15"/>
        <v>8.4487008150487732E-3</v>
      </c>
      <c r="Q71" s="143">
        <f t="shared" si="15"/>
        <v>0.25763985563276087</v>
      </c>
      <c r="R71" s="143">
        <f t="shared" si="15"/>
        <v>0.28527908124860135</v>
      </c>
      <c r="S71" s="183">
        <f t="shared" si="16"/>
        <v>8.4487008150487732E-3</v>
      </c>
      <c r="T71" s="183">
        <f t="shared" si="17"/>
        <v>0.24919115481771209</v>
      </c>
      <c r="U71" s="183">
        <f t="shared" si="18"/>
        <v>2.7639225615840479E-2</v>
      </c>
      <c r="V71" s="185">
        <f t="shared" si="19"/>
        <v>1.1028447493581783E-3</v>
      </c>
      <c r="W71" s="184">
        <f t="shared" si="33"/>
        <v>18.532693591408638</v>
      </c>
      <c r="X71" s="203">
        <f t="shared" si="20"/>
        <v>0</v>
      </c>
      <c r="Y71" s="185">
        <f t="shared" si="21"/>
        <v>0.25763985563276087</v>
      </c>
      <c r="Z71" s="185">
        <f t="shared" si="22"/>
        <v>2.7639225615840479E-2</v>
      </c>
      <c r="AA71" s="173">
        <f t="shared" si="23"/>
        <v>1.1028447493581783E-3</v>
      </c>
      <c r="AB71" s="6">
        <f t="shared" si="24"/>
        <v>161.52660944677291</v>
      </c>
      <c r="AC71" s="6">
        <f t="shared" si="24"/>
        <v>25.508758181667847</v>
      </c>
      <c r="AD71" s="6">
        <f t="shared" si="25"/>
        <v>16.964029750986498</v>
      </c>
      <c r="AE71" s="6">
        <f t="shared" si="25"/>
        <v>12.422226444030111</v>
      </c>
      <c r="AF71" s="6">
        <f t="shared" si="26"/>
        <v>216.42162382345737</v>
      </c>
      <c r="AG71" s="6">
        <f t="shared" si="27"/>
        <v>53.824057844893851</v>
      </c>
      <c r="AH71" s="6">
        <f t="shared" si="28"/>
        <v>270.24568166835121</v>
      </c>
    </row>
    <row r="72" spans="2:34" x14ac:dyDescent="0.3">
      <c r="B72" s="15">
        <v>4</v>
      </c>
      <c r="C72" s="2">
        <v>216</v>
      </c>
      <c r="D72" s="2">
        <v>218</v>
      </c>
      <c r="E72" s="2"/>
      <c r="F72" s="176">
        <f t="shared" si="9"/>
        <v>21.7</v>
      </c>
      <c r="G72" s="9">
        <f t="shared" si="10"/>
        <v>0</v>
      </c>
      <c r="H72" s="6">
        <f t="shared" si="11"/>
        <v>3.6983614116222439E-2</v>
      </c>
      <c r="I72" s="7">
        <v>51</v>
      </c>
      <c r="J72" s="6" t="str">
        <f t="shared" si="29"/>
        <v/>
      </c>
      <c r="K72" s="6" t="str">
        <f t="shared" si="30"/>
        <v/>
      </c>
      <c r="L72" s="166">
        <f t="shared" si="31"/>
        <v>21.445421105099523</v>
      </c>
      <c r="M72" s="17">
        <f t="shared" si="12"/>
        <v>21.445421105099523</v>
      </c>
      <c r="N72" s="144">
        <f t="shared" si="32"/>
        <v>0.34764292986028045</v>
      </c>
      <c r="O72" s="144">
        <f t="shared" si="14"/>
        <v>0.28203379262564648</v>
      </c>
      <c r="P72" s="143">
        <f t="shared" si="15"/>
        <v>7.4631201698805993E-3</v>
      </c>
      <c r="Q72" s="143">
        <f t="shared" si="15"/>
        <v>0.25290125082661974</v>
      </c>
      <c r="R72" s="143">
        <f t="shared" si="15"/>
        <v>0.28091423877036348</v>
      </c>
      <c r="S72" s="183">
        <f t="shared" si="16"/>
        <v>7.4631201698805993E-3</v>
      </c>
      <c r="T72" s="183">
        <f t="shared" si="17"/>
        <v>0.24543813065673914</v>
      </c>
      <c r="U72" s="183">
        <f t="shared" si="18"/>
        <v>2.8012987943743739E-2</v>
      </c>
      <c r="V72" s="185">
        <f t="shared" si="19"/>
        <v>1.1195538552830064E-3</v>
      </c>
      <c r="W72" s="184">
        <f t="shared" si="33"/>
        <v>18.398445913847258</v>
      </c>
      <c r="X72" s="203">
        <f t="shared" si="20"/>
        <v>0</v>
      </c>
      <c r="Y72" s="185">
        <f t="shared" si="21"/>
        <v>0.25290125082661974</v>
      </c>
      <c r="Z72" s="185">
        <f t="shared" si="22"/>
        <v>2.8012987943743739E-2</v>
      </c>
      <c r="AA72" s="173">
        <f t="shared" si="23"/>
        <v>1.1195538552830064E-3</v>
      </c>
      <c r="AB72" s="6">
        <f t="shared" si="24"/>
        <v>158.98834293177407</v>
      </c>
      <c r="AC72" s="6">
        <f t="shared" si="24"/>
        <v>25.023094259521159</v>
      </c>
      <c r="AD72" s="6">
        <f t="shared" si="25"/>
        <v>16.708518605741002</v>
      </c>
      <c r="AE72" s="6">
        <f t="shared" si="25"/>
        <v>12.277062011471845</v>
      </c>
      <c r="AF72" s="6">
        <f t="shared" si="26"/>
        <v>212.99701780850808</v>
      </c>
      <c r="AG72" s="6">
        <f t="shared" si="27"/>
        <v>52.972358328975957</v>
      </c>
      <c r="AH72" s="6">
        <f t="shared" si="28"/>
        <v>265.96937613748401</v>
      </c>
    </row>
    <row r="73" spans="2:34" x14ac:dyDescent="0.3">
      <c r="B73" s="15">
        <v>3</v>
      </c>
      <c r="C73" s="2">
        <v>212</v>
      </c>
      <c r="D73" s="2">
        <v>217</v>
      </c>
      <c r="E73" s="2">
        <v>22.5</v>
      </c>
      <c r="F73" s="176">
        <f t="shared" si="9"/>
        <v>21.45</v>
      </c>
      <c r="G73" s="9">
        <f t="shared" si="10"/>
        <v>0</v>
      </c>
      <c r="H73" s="6">
        <f t="shared" si="11"/>
        <v>3.6136365847457441E-2</v>
      </c>
      <c r="I73" s="7">
        <v>52</v>
      </c>
      <c r="J73" s="6" t="str">
        <f t="shared" si="29"/>
        <v/>
      </c>
      <c r="K73" s="6" t="str">
        <f t="shared" si="30"/>
        <v/>
      </c>
      <c r="L73" s="166">
        <f t="shared" si="31"/>
        <v>21.350621923854387</v>
      </c>
      <c r="M73" s="17">
        <f t="shared" si="12"/>
        <v>22.5</v>
      </c>
      <c r="N73" s="144">
        <f t="shared" si="32"/>
        <v>0.35833765261820488</v>
      </c>
      <c r="O73" s="144">
        <f t="shared" si="14"/>
        <v>0.29203665973355097</v>
      </c>
      <c r="P73" s="143">
        <f t="shared" si="15"/>
        <v>6.3871505013816509E-3</v>
      </c>
      <c r="Q73" s="143">
        <f t="shared" si="15"/>
        <v>0.26037735363289238</v>
      </c>
      <c r="R73" s="143">
        <f t="shared" si="15"/>
        <v>0.29081671104199275</v>
      </c>
      <c r="S73" s="183">
        <f t="shared" si="16"/>
        <v>6.3871505013816509E-3</v>
      </c>
      <c r="T73" s="183">
        <f t="shared" si="17"/>
        <v>0.25399020313151072</v>
      </c>
      <c r="U73" s="183">
        <f t="shared" si="18"/>
        <v>3.0439357409100365E-2</v>
      </c>
      <c r="V73" s="185">
        <f t="shared" si="19"/>
        <v>1.2199486915582258E-3</v>
      </c>
      <c r="W73" s="184">
        <f t="shared" si="33"/>
        <v>18.312233459151198</v>
      </c>
      <c r="X73" s="203">
        <f t="shared" si="20"/>
        <v>0</v>
      </c>
      <c r="Y73" s="185">
        <f t="shared" si="21"/>
        <v>0.26037735363289238</v>
      </c>
      <c r="Z73" s="185">
        <f t="shared" si="22"/>
        <v>3.0439357409100365E-2</v>
      </c>
      <c r="AA73" s="173">
        <f t="shared" si="23"/>
        <v>1.2199486915582258E-3</v>
      </c>
      <c r="AB73" s="6">
        <f t="shared" si="24"/>
        <v>166.32554221006052</v>
      </c>
      <c r="AC73" s="6">
        <f t="shared" si="24"/>
        <v>25.644026519352838</v>
      </c>
      <c r="AD73" s="6">
        <f t="shared" si="25"/>
        <v>15.577334552310354</v>
      </c>
      <c r="AE73" s="6">
        <f t="shared" si="25"/>
        <v>11.595884106726119</v>
      </c>
      <c r="AF73" s="6">
        <f t="shared" si="26"/>
        <v>219.14278738844985</v>
      </c>
      <c r="AG73" s="6">
        <f t="shared" si="27"/>
        <v>54.500811223507476</v>
      </c>
      <c r="AH73" s="6">
        <f t="shared" si="28"/>
        <v>273.64359861195732</v>
      </c>
    </row>
    <row r="74" spans="2:34" x14ac:dyDescent="0.3">
      <c r="B74" s="3">
        <v>42</v>
      </c>
      <c r="C74" s="2">
        <v>215</v>
      </c>
      <c r="D74" s="2">
        <v>213</v>
      </c>
      <c r="E74" s="2"/>
      <c r="F74" s="176">
        <f t="shared" si="9"/>
        <v>21.4</v>
      </c>
      <c r="G74" s="9">
        <f t="shared" si="10"/>
        <v>0</v>
      </c>
      <c r="H74" s="6">
        <f t="shared" si="11"/>
        <v>3.5968094290949534E-2</v>
      </c>
      <c r="I74" s="7">
        <v>53</v>
      </c>
      <c r="J74" s="6" t="str">
        <f t="shared" si="29"/>
        <v/>
      </c>
      <c r="K74" s="6" t="str">
        <f t="shared" si="30"/>
        <v/>
      </c>
      <c r="L74" s="166">
        <f t="shared" si="31"/>
        <v>21.331447466777714</v>
      </c>
      <c r="M74" s="17">
        <f t="shared" si="12"/>
        <v>21.331447466777714</v>
      </c>
      <c r="N74" s="144">
        <f t="shared" si="32"/>
        <v>0.33702199891927903</v>
      </c>
      <c r="O74" s="144">
        <f t="shared" si="14"/>
        <v>0.27342964771305089</v>
      </c>
      <c r="P74" s="143">
        <f t="shared" si="15"/>
        <v>5.7481987561566698E-3</v>
      </c>
      <c r="Q74" s="143">
        <f t="shared" si="15"/>
        <v>0.24349812305362031</v>
      </c>
      <c r="R74" s="143">
        <f t="shared" si="15"/>
        <v>0.27227562976116865</v>
      </c>
      <c r="S74" s="183">
        <f t="shared" si="16"/>
        <v>5.7481987561566698E-3</v>
      </c>
      <c r="T74" s="183">
        <f t="shared" si="17"/>
        <v>0.23774992429746364</v>
      </c>
      <c r="U74" s="183">
        <f t="shared" si="18"/>
        <v>2.8777506707548334E-2</v>
      </c>
      <c r="V74" s="185">
        <f t="shared" si="19"/>
        <v>1.1540179518822469E-3</v>
      </c>
      <c r="W74" s="184">
        <f t="shared" si="33"/>
        <v>18.129912773552213</v>
      </c>
      <c r="X74" s="203">
        <f t="shared" si="20"/>
        <v>0</v>
      </c>
      <c r="Y74" s="185">
        <f t="shared" si="21"/>
        <v>0.24349812305362031</v>
      </c>
      <c r="Z74" s="185">
        <f t="shared" si="22"/>
        <v>2.8777506707548334E-2</v>
      </c>
      <c r="AA74" s="173">
        <f t="shared" si="23"/>
        <v>1.1540179518822469E-3</v>
      </c>
      <c r="AB74" s="6">
        <f t="shared" si="24"/>
        <v>153.96820834262661</v>
      </c>
      <c r="AC74" s="6">
        <f t="shared" si="24"/>
        <v>24.068213966675287</v>
      </c>
      <c r="AD74" s="6">
        <f t="shared" si="25"/>
        <v>16.20460259782309</v>
      </c>
      <c r="AE74" s="6">
        <f t="shared" si="25"/>
        <v>11.989327034749834</v>
      </c>
      <c r="AF74" s="6">
        <f t="shared" si="26"/>
        <v>206.2303519418748</v>
      </c>
      <c r="AG74" s="6">
        <f t="shared" si="27"/>
        <v>51.289488527944265</v>
      </c>
      <c r="AH74" s="6">
        <f t="shared" si="28"/>
        <v>257.51984046981909</v>
      </c>
    </row>
    <row r="75" spans="2:34" x14ac:dyDescent="0.3">
      <c r="B75" s="3">
        <v>48</v>
      </c>
      <c r="C75" s="2">
        <v>215</v>
      </c>
      <c r="D75" s="2">
        <v>213</v>
      </c>
      <c r="E75" s="2"/>
      <c r="F75" s="176">
        <f t="shared" si="9"/>
        <v>21.4</v>
      </c>
      <c r="G75" s="9">
        <f t="shared" si="10"/>
        <v>0</v>
      </c>
      <c r="H75" s="6">
        <f t="shared" si="11"/>
        <v>3.5968094290949534E-2</v>
      </c>
      <c r="I75" s="7">
        <v>54</v>
      </c>
      <c r="J75" s="6" t="str">
        <f t="shared" si="29"/>
        <v/>
      </c>
      <c r="K75" s="6" t="str">
        <f t="shared" si="30"/>
        <v/>
      </c>
      <c r="L75" s="166">
        <f t="shared" si="31"/>
        <v>21.331447466777714</v>
      </c>
      <c r="M75" s="17">
        <f t="shared" si="12"/>
        <v>21.331447466777714</v>
      </c>
      <c r="N75" s="144">
        <f t="shared" si="32"/>
        <v>0.33702199891927903</v>
      </c>
      <c r="O75" s="144">
        <f t="shared" si="14"/>
        <v>0.27342964771305089</v>
      </c>
      <c r="P75" s="143">
        <f t="shared" si="15"/>
        <v>5.7481987561566698E-3</v>
      </c>
      <c r="Q75" s="143">
        <f t="shared" si="15"/>
        <v>0.24349812305362031</v>
      </c>
      <c r="R75" s="143">
        <f t="shared" si="15"/>
        <v>0.27227562976116865</v>
      </c>
      <c r="S75" s="183">
        <f t="shared" si="16"/>
        <v>5.7481987561566698E-3</v>
      </c>
      <c r="T75" s="183">
        <f t="shared" si="17"/>
        <v>0.23774992429746364</v>
      </c>
      <c r="U75" s="183">
        <f t="shared" si="18"/>
        <v>2.8777506707548334E-2</v>
      </c>
      <c r="V75" s="185">
        <f t="shared" si="19"/>
        <v>1.1540179518822469E-3</v>
      </c>
      <c r="W75" s="184">
        <f t="shared" si="33"/>
        <v>18.129912773552213</v>
      </c>
      <c r="X75" s="203">
        <f t="shared" si="20"/>
        <v>0</v>
      </c>
      <c r="Y75" s="185">
        <f t="shared" si="21"/>
        <v>0.24349812305362031</v>
      </c>
      <c r="Z75" s="185">
        <f t="shared" si="22"/>
        <v>2.8777506707548334E-2</v>
      </c>
      <c r="AA75" s="173">
        <f t="shared" si="23"/>
        <v>1.1540179518822469E-3</v>
      </c>
      <c r="AB75" s="6">
        <f t="shared" si="24"/>
        <v>153.96820834262661</v>
      </c>
      <c r="AC75" s="6">
        <f t="shared" si="24"/>
        <v>24.068213966675287</v>
      </c>
      <c r="AD75" s="6">
        <f t="shared" si="25"/>
        <v>16.20460259782309</v>
      </c>
      <c r="AE75" s="6">
        <f t="shared" si="25"/>
        <v>11.989327034749834</v>
      </c>
      <c r="AF75" s="6">
        <f t="shared" si="26"/>
        <v>206.2303519418748</v>
      </c>
      <c r="AG75" s="6">
        <f t="shared" si="27"/>
        <v>51.289488527944265</v>
      </c>
      <c r="AH75" s="6">
        <f t="shared" si="28"/>
        <v>257.51984046981909</v>
      </c>
    </row>
    <row r="76" spans="2:34" x14ac:dyDescent="0.3">
      <c r="B76" s="15">
        <v>21</v>
      </c>
      <c r="C76" s="2">
        <v>212</v>
      </c>
      <c r="D76" s="2">
        <v>213</v>
      </c>
      <c r="E76" s="2">
        <v>22.5</v>
      </c>
      <c r="F76" s="176">
        <f t="shared" si="9"/>
        <v>21.25</v>
      </c>
      <c r="G76" s="9">
        <f t="shared" si="10"/>
        <v>0</v>
      </c>
      <c r="H76" s="6">
        <f t="shared" si="11"/>
        <v>3.5465635815916025E-2</v>
      </c>
      <c r="I76" s="7">
        <v>55</v>
      </c>
      <c r="J76" s="6" t="str">
        <f t="shared" si="29"/>
        <v/>
      </c>
      <c r="K76" s="6" t="str">
        <f t="shared" si="30"/>
        <v/>
      </c>
      <c r="L76" s="166">
        <f t="shared" si="31"/>
        <v>21.273487664560552</v>
      </c>
      <c r="M76" s="17">
        <f t="shared" si="12"/>
        <v>22.5</v>
      </c>
      <c r="N76" s="144">
        <f t="shared" si="32"/>
        <v>0.35228300061772372</v>
      </c>
      <c r="O76" s="144">
        <f t="shared" si="14"/>
        <v>0.28719963892237343</v>
      </c>
      <c r="P76" s="143">
        <f t="shared" si="15"/>
        <v>5.3455680719343692E-3</v>
      </c>
      <c r="Q76" s="143">
        <f t="shared" si="15"/>
        <v>0.25482771200360183</v>
      </c>
      <c r="R76" s="143">
        <f t="shared" si="15"/>
        <v>0.28594937587157776</v>
      </c>
      <c r="S76" s="183">
        <f t="shared" si="16"/>
        <v>5.3455680719343692E-3</v>
      </c>
      <c r="T76" s="183">
        <f t="shared" si="17"/>
        <v>0.24948214393166745</v>
      </c>
      <c r="U76" s="183">
        <f t="shared" si="18"/>
        <v>3.1121663867975935E-2</v>
      </c>
      <c r="V76" s="185">
        <f t="shared" si="19"/>
        <v>1.2502630507956747E-3</v>
      </c>
      <c r="W76" s="184">
        <f t="shared" si="33"/>
        <v>18.141490023634635</v>
      </c>
      <c r="X76" s="203">
        <f t="shared" si="20"/>
        <v>0</v>
      </c>
      <c r="Y76" s="185">
        <f t="shared" si="21"/>
        <v>0.25482771200360183</v>
      </c>
      <c r="Z76" s="185">
        <f t="shared" si="22"/>
        <v>3.1121663867975935E-2</v>
      </c>
      <c r="AA76" s="173">
        <f t="shared" si="23"/>
        <v>1.2502630507956747E-3</v>
      </c>
      <c r="AB76" s="6">
        <f t="shared" si="24"/>
        <v>163.5744225823197</v>
      </c>
      <c r="AC76" s="6">
        <f t="shared" si="24"/>
        <v>25.078736440103764</v>
      </c>
      <c r="AD76" s="6">
        <f t="shared" si="25"/>
        <v>15.213143951437615</v>
      </c>
      <c r="AE76" s="6">
        <f t="shared" si="25"/>
        <v>11.383196728428869</v>
      </c>
      <c r="AF76" s="6">
        <f t="shared" si="26"/>
        <v>215.24949970228994</v>
      </c>
      <c r="AG76" s="6">
        <f t="shared" si="27"/>
        <v>53.532550575959512</v>
      </c>
      <c r="AH76" s="6">
        <f t="shared" si="28"/>
        <v>268.78205027824947</v>
      </c>
    </row>
    <row r="77" spans="2:34" x14ac:dyDescent="0.3">
      <c r="B77" s="3">
        <v>59</v>
      </c>
      <c r="C77" s="2">
        <v>212</v>
      </c>
      <c r="D77" s="2">
        <v>208</v>
      </c>
      <c r="E77" s="2"/>
      <c r="F77" s="176">
        <f t="shared" si="9"/>
        <v>21</v>
      </c>
      <c r="G77" s="9">
        <f t="shared" si="10"/>
        <v>0</v>
      </c>
      <c r="H77" s="6">
        <f t="shared" si="11"/>
        <v>3.4636059005827467E-2</v>
      </c>
      <c r="I77" s="7">
        <v>56</v>
      </c>
      <c r="J77" s="6" t="str">
        <f t="shared" si="29"/>
        <v/>
      </c>
      <c r="K77" s="6" t="str">
        <f t="shared" si="30"/>
        <v/>
      </c>
      <c r="L77" s="166">
        <f t="shared" si="31"/>
        <v>21.175408645722246</v>
      </c>
      <c r="M77" s="17">
        <f t="shared" si="12"/>
        <v>21.175408645722246</v>
      </c>
      <c r="N77" s="144">
        <f t="shared" si="32"/>
        <v>0.32310151539300513</v>
      </c>
      <c r="O77" s="144">
        <f t="shared" si="14"/>
        <v>0.26214915114353943</v>
      </c>
      <c r="P77" s="143">
        <f t="shared" si="15"/>
        <v>3.9410149370683236E-3</v>
      </c>
      <c r="Q77" s="143">
        <f t="shared" si="15"/>
        <v>0.23111440763726807</v>
      </c>
      <c r="R77" s="143">
        <f t="shared" si="15"/>
        <v>0.26094690366446149</v>
      </c>
      <c r="S77" s="183">
        <f t="shared" si="16"/>
        <v>3.9410149370683236E-3</v>
      </c>
      <c r="T77" s="183">
        <f t="shared" si="17"/>
        <v>0.22717339270019973</v>
      </c>
      <c r="U77" s="183">
        <f t="shared" si="18"/>
        <v>2.9832496027193428E-2</v>
      </c>
      <c r="V77" s="185">
        <f t="shared" si="19"/>
        <v>1.2022474790779336E-3</v>
      </c>
      <c r="W77" s="184">
        <f t="shared" si="33"/>
        <v>17.771786630905194</v>
      </c>
      <c r="X77" s="203">
        <f t="shared" si="20"/>
        <v>0</v>
      </c>
      <c r="Y77" s="185">
        <f t="shared" si="21"/>
        <v>0.23111440763726807</v>
      </c>
      <c r="Z77" s="185">
        <f t="shared" si="22"/>
        <v>2.9832496027193428E-2</v>
      </c>
      <c r="AA77" s="173">
        <f t="shared" si="23"/>
        <v>1.2022474790779336E-3</v>
      </c>
      <c r="AB77" s="6">
        <f t="shared" si="24"/>
        <v>147.39205045324323</v>
      </c>
      <c r="AC77" s="6">
        <f t="shared" si="24"/>
        <v>22.828942514365316</v>
      </c>
      <c r="AD77" s="6">
        <f t="shared" si="25"/>
        <v>15.547363852203729</v>
      </c>
      <c r="AE77" s="6">
        <f t="shared" si="25"/>
        <v>11.611062860735521</v>
      </c>
      <c r="AF77" s="6">
        <f t="shared" si="26"/>
        <v>197.37941968054778</v>
      </c>
      <c r="AG77" s="6">
        <f t="shared" si="27"/>
        <v>49.088261674552236</v>
      </c>
      <c r="AH77" s="6">
        <f t="shared" si="28"/>
        <v>246.46768135510001</v>
      </c>
    </row>
    <row r="78" spans="2:34" x14ac:dyDescent="0.3">
      <c r="B78" s="15">
        <v>17</v>
      </c>
      <c r="C78" s="2">
        <v>212</v>
      </c>
      <c r="D78" s="2">
        <v>203</v>
      </c>
      <c r="E78" s="2"/>
      <c r="F78" s="176">
        <f t="shared" si="9"/>
        <v>20.75</v>
      </c>
      <c r="G78" s="9">
        <f t="shared" si="10"/>
        <v>0</v>
      </c>
      <c r="H78" s="6">
        <f t="shared" si="11"/>
        <v>3.381629967278138E-2</v>
      </c>
      <c r="I78" s="7">
        <v>57</v>
      </c>
      <c r="J78" s="6" t="str">
        <f t="shared" si="29"/>
        <v/>
      </c>
      <c r="K78" s="6" t="str">
        <f t="shared" si="30"/>
        <v/>
      </c>
      <c r="L78" s="166">
        <f t="shared" si="31"/>
        <v>21.075434917141646</v>
      </c>
      <c r="M78" s="17">
        <f t="shared" si="12"/>
        <v>21.075434917141646</v>
      </c>
      <c r="N78" s="144">
        <f t="shared" si="32"/>
        <v>0.31454136310459896</v>
      </c>
      <c r="O78" s="144">
        <f t="shared" si="14"/>
        <v>0.25521050751470897</v>
      </c>
      <c r="P78" s="143">
        <f t="shared" si="15"/>
        <v>3.05516169472894E-3</v>
      </c>
      <c r="Q78" s="143">
        <f t="shared" si="15"/>
        <v>0.22346401284678577</v>
      </c>
      <c r="R78" s="143">
        <f t="shared" si="15"/>
        <v>0.25397672072960503</v>
      </c>
      <c r="S78" s="183">
        <f t="shared" si="16"/>
        <v>3.05516169472894E-3</v>
      </c>
      <c r="T78" s="183">
        <f t="shared" si="17"/>
        <v>0.22040885115205683</v>
      </c>
      <c r="U78" s="183">
        <f t="shared" si="18"/>
        <v>3.0512707882819262E-2</v>
      </c>
      <c r="V78" s="185">
        <f t="shared" si="19"/>
        <v>1.2337867851039408E-3</v>
      </c>
      <c r="W78" s="184">
        <f t="shared" si="33"/>
        <v>17.547907762223709</v>
      </c>
      <c r="X78" s="203">
        <f t="shared" si="20"/>
        <v>0</v>
      </c>
      <c r="Y78" s="185">
        <f t="shared" si="21"/>
        <v>0.22346401284678577</v>
      </c>
      <c r="Z78" s="185">
        <f t="shared" si="22"/>
        <v>3.0512707882819262E-2</v>
      </c>
      <c r="AA78" s="173">
        <f t="shared" si="23"/>
        <v>1.2337867851039408E-3</v>
      </c>
      <c r="AB78" s="6">
        <f t="shared" si="24"/>
        <v>143.35030946705211</v>
      </c>
      <c r="AC78" s="6">
        <f t="shared" si="24"/>
        <v>22.073934910501581</v>
      </c>
      <c r="AD78" s="6">
        <f t="shared" si="25"/>
        <v>15.145032966455073</v>
      </c>
      <c r="AE78" s="6">
        <f t="shared" si="25"/>
        <v>11.377773202928505</v>
      </c>
      <c r="AF78" s="6">
        <f t="shared" si="26"/>
        <v>191.94705054693725</v>
      </c>
      <c r="AG78" s="6">
        <f t="shared" si="27"/>
        <v>47.737231471023293</v>
      </c>
      <c r="AH78" s="6">
        <f t="shared" si="28"/>
        <v>239.68428201796053</v>
      </c>
    </row>
    <row r="79" spans="2:34" x14ac:dyDescent="0.3">
      <c r="B79" s="15">
        <v>13</v>
      </c>
      <c r="C79" s="2">
        <v>205</v>
      </c>
      <c r="D79" s="2">
        <v>205</v>
      </c>
      <c r="E79" s="2"/>
      <c r="F79" s="176">
        <f t="shared" si="9"/>
        <v>20.5</v>
      </c>
      <c r="G79" s="9">
        <f t="shared" si="10"/>
        <v>0</v>
      </c>
      <c r="H79" s="6">
        <f t="shared" si="11"/>
        <v>3.3006357816777764E-2</v>
      </c>
      <c r="I79" s="7">
        <v>58</v>
      </c>
      <c r="J79" s="6" t="str">
        <f t="shared" si="29"/>
        <v/>
      </c>
      <c r="K79" s="6" t="str">
        <f t="shared" si="30"/>
        <v/>
      </c>
      <c r="L79" s="166">
        <f t="shared" si="31"/>
        <v>20.973512192539754</v>
      </c>
      <c r="M79" s="17">
        <f t="shared" si="12"/>
        <v>20.973512192539754</v>
      </c>
      <c r="N79" s="144">
        <f t="shared" si="32"/>
        <v>0.30608933258856014</v>
      </c>
      <c r="O79" s="144">
        <f t="shared" si="14"/>
        <v>0.24835806818563116</v>
      </c>
      <c r="P79" s="143">
        <f t="shared" si="15"/>
        <v>2.3314356361110373E-3</v>
      </c>
      <c r="Q79" s="143">
        <f t="shared" si="15"/>
        <v>0.21588261797157443</v>
      </c>
      <c r="R79" s="143">
        <f t="shared" si="15"/>
        <v>0.24709161095781351</v>
      </c>
      <c r="S79" s="183">
        <f t="shared" si="16"/>
        <v>2.3314356361110373E-3</v>
      </c>
      <c r="T79" s="183">
        <f t="shared" si="17"/>
        <v>0.21355118233546339</v>
      </c>
      <c r="U79" s="183">
        <f t="shared" si="18"/>
        <v>3.1208992986239081E-2</v>
      </c>
      <c r="V79" s="185">
        <f t="shared" si="19"/>
        <v>1.2664572278176522E-3</v>
      </c>
      <c r="W79" s="184">
        <f t="shared" si="33"/>
        <v>17.323988492739851</v>
      </c>
      <c r="X79" s="203">
        <f t="shared" si="20"/>
        <v>0</v>
      </c>
      <c r="Y79" s="185">
        <f t="shared" si="21"/>
        <v>0.21588261797157443</v>
      </c>
      <c r="Z79" s="185">
        <f t="shared" si="22"/>
        <v>3.1208992986239081E-2</v>
      </c>
      <c r="AA79" s="173">
        <f t="shared" si="23"/>
        <v>1.2664572278176522E-3</v>
      </c>
      <c r="AB79" s="6">
        <f t="shared" si="24"/>
        <v>139.36133606426674</v>
      </c>
      <c r="AC79" s="6">
        <f t="shared" si="24"/>
        <v>21.333853829108619</v>
      </c>
      <c r="AD79" s="6">
        <f t="shared" si="25"/>
        <v>14.749154096380503</v>
      </c>
      <c r="AE79" s="6">
        <f t="shared" si="25"/>
        <v>11.146889019955864</v>
      </c>
      <c r="AF79" s="6">
        <f t="shared" si="26"/>
        <v>186.59123300971171</v>
      </c>
      <c r="AG79" s="6">
        <f t="shared" si="27"/>
        <v>46.405239649515302</v>
      </c>
      <c r="AH79" s="6">
        <f t="shared" si="28"/>
        <v>232.99647265922701</v>
      </c>
    </row>
    <row r="80" spans="2:34" x14ac:dyDescent="0.3">
      <c r="B80" s="3">
        <v>72</v>
      </c>
      <c r="C80" s="2">
        <v>198</v>
      </c>
      <c r="D80" s="2">
        <v>211</v>
      </c>
      <c r="E80" s="2"/>
      <c r="F80" s="176">
        <f t="shared" si="9"/>
        <v>20.45</v>
      </c>
      <c r="G80" s="9">
        <f t="shared" si="10"/>
        <v>0</v>
      </c>
      <c r="H80" s="6">
        <f t="shared" si="11"/>
        <v>3.2845547542822137E-2</v>
      </c>
      <c r="I80" s="7">
        <v>59</v>
      </c>
      <c r="J80" s="6" t="str">
        <f t="shared" si="29"/>
        <v/>
      </c>
      <c r="K80" s="6" t="str">
        <f t="shared" si="30"/>
        <v/>
      </c>
      <c r="L80" s="166">
        <f t="shared" si="31"/>
        <v>20.952888848673226</v>
      </c>
      <c r="M80" s="17">
        <f t="shared" si="12"/>
        <v>20.952888848673226</v>
      </c>
      <c r="N80" s="144">
        <f t="shared" si="32"/>
        <v>0.30441192442051945</v>
      </c>
      <c r="O80" s="144">
        <f t="shared" si="14"/>
        <v>0.24699794762916494</v>
      </c>
      <c r="P80" s="143">
        <f t="shared" si="15"/>
        <v>2.2043160285829463E-3</v>
      </c>
      <c r="Q80" s="143">
        <f t="shared" si="15"/>
        <v>0.21437463992947578</v>
      </c>
      <c r="R80" s="143">
        <f t="shared" si="15"/>
        <v>0.2457248161599791</v>
      </c>
      <c r="S80" s="183">
        <f t="shared" si="16"/>
        <v>2.2043160285829463E-3</v>
      </c>
      <c r="T80" s="183">
        <f t="shared" si="17"/>
        <v>0.21217032390089283</v>
      </c>
      <c r="U80" s="183">
        <f t="shared" si="18"/>
        <v>3.1350176230503318E-2</v>
      </c>
      <c r="V80" s="185">
        <f t="shared" si="19"/>
        <v>1.2731314691858397E-3</v>
      </c>
      <c r="W80" s="184">
        <f t="shared" si="33"/>
        <v>17.279199642782757</v>
      </c>
      <c r="X80" s="203">
        <f t="shared" si="20"/>
        <v>0</v>
      </c>
      <c r="Y80" s="185">
        <f t="shared" si="21"/>
        <v>0.21437463992947578</v>
      </c>
      <c r="Z80" s="185">
        <f t="shared" si="22"/>
        <v>3.1350176230503318E-2</v>
      </c>
      <c r="AA80" s="173">
        <f t="shared" si="23"/>
        <v>1.2731314691858397E-3</v>
      </c>
      <c r="AB80" s="6">
        <f t="shared" si="24"/>
        <v>138.56988719353649</v>
      </c>
      <c r="AC80" s="6">
        <f t="shared" si="24"/>
        <v>21.187621248958909</v>
      </c>
      <c r="AD80" s="6">
        <f t="shared" si="25"/>
        <v>14.670749407527262</v>
      </c>
      <c r="AE80" s="6">
        <f t="shared" si="25"/>
        <v>11.101000936930534</v>
      </c>
      <c r="AF80" s="6">
        <f t="shared" si="26"/>
        <v>185.52925878695322</v>
      </c>
      <c r="AG80" s="6">
        <f t="shared" si="27"/>
        <v>46.141126660315265</v>
      </c>
      <c r="AH80" s="6">
        <f t="shared" si="28"/>
        <v>231.67038544726847</v>
      </c>
    </row>
    <row r="81" spans="2:34" x14ac:dyDescent="0.3">
      <c r="B81" s="3">
        <v>47</v>
      </c>
      <c r="C81" s="2">
        <v>197</v>
      </c>
      <c r="D81" s="2">
        <v>211</v>
      </c>
      <c r="E81" s="2"/>
      <c r="F81" s="176">
        <f t="shared" si="9"/>
        <v>20.399999999999999</v>
      </c>
      <c r="G81" s="9">
        <f t="shared" si="10"/>
        <v>0</v>
      </c>
      <c r="H81" s="6">
        <f t="shared" si="11"/>
        <v>3.2685129967948208E-2</v>
      </c>
      <c r="I81" s="7">
        <v>60</v>
      </c>
      <c r="J81" s="6" t="str">
        <f t="shared" si="29"/>
        <v/>
      </c>
      <c r="K81" s="6" t="str">
        <f t="shared" si="30"/>
        <v/>
      </c>
      <c r="L81" s="166">
        <f t="shared" si="31"/>
        <v>20.93218483832695</v>
      </c>
      <c r="M81" s="17">
        <f t="shared" si="12"/>
        <v>20.93218483832695</v>
      </c>
      <c r="N81" s="144">
        <f t="shared" si="32"/>
        <v>0.30273885388344113</v>
      </c>
      <c r="O81" s="144">
        <f t="shared" si="14"/>
        <v>0.24564128771731289</v>
      </c>
      <c r="P81" s="143">
        <f t="shared" si="15"/>
        <v>2.0826900116406154E-3</v>
      </c>
      <c r="Q81" s="143">
        <f t="shared" si="15"/>
        <v>0.21286943415067122</v>
      </c>
      <c r="R81" s="143">
        <f t="shared" si="15"/>
        <v>0.24436143432339269</v>
      </c>
      <c r="S81" s="183">
        <f t="shared" si="16"/>
        <v>2.0826900116406154E-3</v>
      </c>
      <c r="T81" s="183">
        <f t="shared" si="17"/>
        <v>0.21078674413903062</v>
      </c>
      <c r="U81" s="183">
        <f t="shared" si="18"/>
        <v>3.1492000172721468E-2</v>
      </c>
      <c r="V81" s="185">
        <f t="shared" si="19"/>
        <v>1.2798533939201995E-3</v>
      </c>
      <c r="W81" s="184">
        <f t="shared" si="33"/>
        <v>17.234409095036831</v>
      </c>
      <c r="X81" s="203">
        <f t="shared" si="20"/>
        <v>0</v>
      </c>
      <c r="Y81" s="185">
        <f t="shared" si="21"/>
        <v>0.21286943415067122</v>
      </c>
      <c r="Z81" s="185">
        <f t="shared" si="22"/>
        <v>3.1492000172721468E-2</v>
      </c>
      <c r="AA81" s="173">
        <f t="shared" si="23"/>
        <v>1.2798533939201995E-3</v>
      </c>
      <c r="AB81" s="6">
        <f t="shared" si="24"/>
        <v>137.78055651928321</v>
      </c>
      <c r="AC81" s="6">
        <f t="shared" si="24"/>
        <v>21.041981604105697</v>
      </c>
      <c r="AD81" s="6">
        <f t="shared" si="25"/>
        <v>14.592601075545952</v>
      </c>
      <c r="AE81" s="6">
        <f t="shared" si="25"/>
        <v>11.05520912594625</v>
      </c>
      <c r="AF81" s="6">
        <f t="shared" si="26"/>
        <v>184.47034832488112</v>
      </c>
      <c r="AG81" s="6">
        <f t="shared" si="27"/>
        <v>45.877775628397934</v>
      </c>
      <c r="AH81" s="6">
        <f t="shared" si="28"/>
        <v>230.34812395327904</v>
      </c>
    </row>
    <row r="82" spans="2:34" x14ac:dyDescent="0.3">
      <c r="B82" s="15">
        <v>26</v>
      </c>
      <c r="C82" s="2">
        <v>207</v>
      </c>
      <c r="D82" s="2">
        <v>195</v>
      </c>
      <c r="E82" s="2"/>
      <c r="F82" s="176">
        <f t="shared" si="9"/>
        <v>20.100000000000001</v>
      </c>
      <c r="G82" s="9">
        <f t="shared" si="10"/>
        <v>0</v>
      </c>
      <c r="H82" s="6">
        <f t="shared" si="11"/>
        <v>3.1730871199420314E-2</v>
      </c>
      <c r="I82" s="7">
        <v>61</v>
      </c>
      <c r="J82" s="6" t="str">
        <f t="shared" si="29"/>
        <v/>
      </c>
      <c r="K82" s="6" t="str">
        <f t="shared" si="30"/>
        <v/>
      </c>
      <c r="L82" s="166">
        <f t="shared" si="31"/>
        <v>20.80624055027177</v>
      </c>
      <c r="M82" s="17">
        <f t="shared" si="12"/>
        <v>20.80624055027177</v>
      </c>
      <c r="N82" s="144">
        <f t="shared" si="32"/>
        <v>0.29279164159130461</v>
      </c>
      <c r="O82" s="144">
        <f t="shared" si="14"/>
        <v>0.23757411982877427</v>
      </c>
      <c r="P82" s="143">
        <f t="shared" si="15"/>
        <v>1.4593820346471764E-3</v>
      </c>
      <c r="Q82" s="143">
        <f t="shared" si="15"/>
        <v>0.20389656832419656</v>
      </c>
      <c r="R82" s="143">
        <f t="shared" si="15"/>
        <v>0.23625290957465497</v>
      </c>
      <c r="S82" s="183">
        <f t="shared" si="16"/>
        <v>1.4593820346471764E-3</v>
      </c>
      <c r="T82" s="183">
        <f t="shared" si="17"/>
        <v>0.20243718628954938</v>
      </c>
      <c r="U82" s="183">
        <f t="shared" si="18"/>
        <v>3.2356341250458415E-2</v>
      </c>
      <c r="V82" s="185">
        <f t="shared" si="19"/>
        <v>1.3212102541192983E-3</v>
      </c>
      <c r="W82" s="184">
        <f t="shared" si="33"/>
        <v>16.965629347878188</v>
      </c>
      <c r="X82" s="203">
        <f t="shared" si="20"/>
        <v>0</v>
      </c>
      <c r="Y82" s="185">
        <f t="shared" si="21"/>
        <v>0.20389656832419656</v>
      </c>
      <c r="Z82" s="185">
        <f t="shared" si="22"/>
        <v>3.2356341250458415E-2</v>
      </c>
      <c r="AA82" s="173">
        <f t="shared" si="23"/>
        <v>1.3212102541192983E-3</v>
      </c>
      <c r="AB82" s="6">
        <f t="shared" si="24"/>
        <v>133.08912537274483</v>
      </c>
      <c r="AC82" s="6">
        <f t="shared" si="24"/>
        <v>20.180556488260745</v>
      </c>
      <c r="AD82" s="6">
        <f t="shared" si="25"/>
        <v>14.129078411572525</v>
      </c>
      <c r="AE82" s="6">
        <f t="shared" si="25"/>
        <v>10.782480483155307</v>
      </c>
      <c r="AF82" s="6">
        <f t="shared" si="26"/>
        <v>178.1812407557334</v>
      </c>
      <c r="AG82" s="6">
        <f t="shared" si="27"/>
        <v>44.313674575950898</v>
      </c>
      <c r="AH82" s="6">
        <f t="shared" si="28"/>
        <v>222.4949153316843</v>
      </c>
    </row>
    <row r="83" spans="2:34" x14ac:dyDescent="0.3">
      <c r="B83" s="15">
        <v>25</v>
      </c>
      <c r="C83" s="2">
        <v>202</v>
      </c>
      <c r="D83" s="2">
        <v>199</v>
      </c>
      <c r="E83" s="2"/>
      <c r="F83" s="176">
        <f t="shared" si="9"/>
        <v>20.05</v>
      </c>
      <c r="G83" s="9">
        <f t="shared" si="10"/>
        <v>0</v>
      </c>
      <c r="H83" s="6">
        <f t="shared" si="11"/>
        <v>3.1573202518118272E-2</v>
      </c>
      <c r="I83" s="7">
        <v>62</v>
      </c>
      <c r="J83" s="6" t="str">
        <f t="shared" si="29"/>
        <v/>
      </c>
      <c r="K83" s="6" t="str">
        <f t="shared" si="30"/>
        <v/>
      </c>
      <c r="L83" s="166">
        <f t="shared" si="31"/>
        <v>20.78495868556325</v>
      </c>
      <c r="M83" s="17">
        <f t="shared" si="12"/>
        <v>20.78495868556325</v>
      </c>
      <c r="N83" s="144">
        <f t="shared" si="32"/>
        <v>0.29114899492958757</v>
      </c>
      <c r="O83" s="144">
        <f t="shared" si="14"/>
        <v>0.23624174357436081</v>
      </c>
      <c r="P83" s="143">
        <f t="shared" si="15"/>
        <v>1.3717865597943229E-3</v>
      </c>
      <c r="Q83" s="143">
        <f t="shared" si="15"/>
        <v>0.20241084711655494</v>
      </c>
      <c r="R83" s="143">
        <f t="shared" si="15"/>
        <v>0.2349134655382297</v>
      </c>
      <c r="S83" s="183">
        <f t="shared" si="16"/>
        <v>1.3717865597943229E-3</v>
      </c>
      <c r="T83" s="183">
        <f t="shared" si="17"/>
        <v>0.2010390605567606</v>
      </c>
      <c r="U83" s="183">
        <f t="shared" si="18"/>
        <v>3.2502618421674762E-2</v>
      </c>
      <c r="V83" s="185">
        <f t="shared" si="19"/>
        <v>1.3282780361311142E-3</v>
      </c>
      <c r="W83" s="184">
        <f t="shared" si="33"/>
        <v>16.920826508612006</v>
      </c>
      <c r="X83" s="203">
        <f t="shared" si="20"/>
        <v>0</v>
      </c>
      <c r="Y83" s="185">
        <f t="shared" si="21"/>
        <v>0.20241084711655494</v>
      </c>
      <c r="Z83" s="185">
        <f t="shared" si="22"/>
        <v>3.2502618421674762E-2</v>
      </c>
      <c r="AA83" s="173">
        <f t="shared" si="23"/>
        <v>1.3282780361311142E-3</v>
      </c>
      <c r="AB83" s="6">
        <f t="shared" si="24"/>
        <v>132.31465752240564</v>
      </c>
      <c r="AC83" s="6">
        <f t="shared" si="24"/>
        <v>20.039047917710711</v>
      </c>
      <c r="AD83" s="6">
        <f t="shared" si="25"/>
        <v>14.052716488686432</v>
      </c>
      <c r="AE83" s="6">
        <f t="shared" si="25"/>
        <v>10.737362832754576</v>
      </c>
      <c r="AF83" s="6">
        <f t="shared" si="26"/>
        <v>177.14378476155736</v>
      </c>
      <c r="AG83" s="6">
        <f t="shared" si="27"/>
        <v>44.055659270199314</v>
      </c>
      <c r="AH83" s="6">
        <f t="shared" si="28"/>
        <v>221.19944403175668</v>
      </c>
    </row>
    <row r="84" spans="2:34" x14ac:dyDescent="0.3">
      <c r="B84" s="15">
        <v>32</v>
      </c>
      <c r="C84" s="2">
        <v>195</v>
      </c>
      <c r="D84" s="2">
        <v>196</v>
      </c>
      <c r="E84" s="2">
        <v>20.5</v>
      </c>
      <c r="F84" s="176">
        <f t="shared" si="9"/>
        <v>19.55</v>
      </c>
      <c r="G84" s="9">
        <f t="shared" si="10"/>
        <v>0</v>
      </c>
      <c r="H84" s="6">
        <f t="shared" si="11"/>
        <v>3.0018114154591324E-2</v>
      </c>
      <c r="I84" s="7">
        <v>63</v>
      </c>
      <c r="J84" s="6" t="str">
        <f t="shared" si="29"/>
        <v/>
      </c>
      <c r="K84" s="6" t="str">
        <f t="shared" si="30"/>
        <v/>
      </c>
      <c r="L84" s="166">
        <f t="shared" si="31"/>
        <v>20.567411250906158</v>
      </c>
      <c r="M84" s="17">
        <f t="shared" si="12"/>
        <v>20.5</v>
      </c>
      <c r="N84" s="144">
        <f t="shared" si="32"/>
        <v>0.2739979616095311</v>
      </c>
      <c r="O84" s="144">
        <f t="shared" si="14"/>
        <v>0.2222641955017568</v>
      </c>
      <c r="P84" s="143">
        <f t="shared" si="15"/>
        <v>7.0342019240290997E-4</v>
      </c>
      <c r="Q84" s="143">
        <f t="shared" si="15"/>
        <v>0.18699685811412356</v>
      </c>
      <c r="R84" s="143">
        <f t="shared" si="15"/>
        <v>0.22086765903797606</v>
      </c>
      <c r="S84" s="183">
        <f t="shared" si="16"/>
        <v>7.0342019240290997E-4</v>
      </c>
      <c r="T84" s="183">
        <f t="shared" si="17"/>
        <v>0.18629343792172065</v>
      </c>
      <c r="U84" s="183">
        <f t="shared" si="18"/>
        <v>3.3870800923852501E-2</v>
      </c>
      <c r="V84" s="185">
        <f t="shared" si="19"/>
        <v>1.3965364637807398E-3</v>
      </c>
      <c r="W84" s="184">
        <f t="shared" si="33"/>
        <v>16.464493204761737</v>
      </c>
      <c r="X84" s="203">
        <f t="shared" si="20"/>
        <v>0</v>
      </c>
      <c r="Y84" s="185">
        <f t="shared" si="21"/>
        <v>0.18699685811412356</v>
      </c>
      <c r="Z84" s="185">
        <f t="shared" si="22"/>
        <v>3.3870800923852501E-2</v>
      </c>
      <c r="AA84" s="173">
        <f t="shared" si="23"/>
        <v>1.3965364637807398E-3</v>
      </c>
      <c r="AB84" s="6">
        <f t="shared" si="24"/>
        <v>124.1278664849948</v>
      </c>
      <c r="AC84" s="6">
        <f t="shared" si="24"/>
        <v>18.589815694342711</v>
      </c>
      <c r="AD84" s="6">
        <f t="shared" si="25"/>
        <v>13.340227652148608</v>
      </c>
      <c r="AE84" s="6">
        <f t="shared" si="25"/>
        <v>10.315574474544976</v>
      </c>
      <c r="AF84" s="6">
        <f t="shared" si="26"/>
        <v>166.37348430603109</v>
      </c>
      <c r="AG84" s="6">
        <f t="shared" si="27"/>
        <v>41.377085546909932</v>
      </c>
      <c r="AH84" s="6">
        <f t="shared" si="28"/>
        <v>207.75056985294103</v>
      </c>
    </row>
    <row r="85" spans="2:34" x14ac:dyDescent="0.3">
      <c r="B85" s="3">
        <v>68</v>
      </c>
      <c r="C85" s="2">
        <v>188</v>
      </c>
      <c r="D85" s="2">
        <v>198</v>
      </c>
      <c r="E85" s="2"/>
      <c r="F85" s="176">
        <f t="shared" si="9"/>
        <v>19.3</v>
      </c>
      <c r="G85" s="9">
        <f t="shared" si="10"/>
        <v>0</v>
      </c>
      <c r="H85" s="6">
        <f t="shared" si="11"/>
        <v>2.9255296188391552E-2</v>
      </c>
      <c r="I85" s="7">
        <v>64</v>
      </c>
      <c r="J85" s="6" t="str">
        <f t="shared" si="29"/>
        <v/>
      </c>
      <c r="K85" s="6" t="str">
        <f t="shared" si="30"/>
        <v/>
      </c>
      <c r="L85" s="166">
        <f t="shared" si="31"/>
        <v>20.455310626265135</v>
      </c>
      <c r="M85" s="17">
        <f t="shared" si="12"/>
        <v>20.455310626265135</v>
      </c>
      <c r="N85" s="144">
        <f t="shared" si="32"/>
        <v>0.26703313056692091</v>
      </c>
      <c r="O85" s="144">
        <f t="shared" si="14"/>
        <v>0.21667462688503145</v>
      </c>
      <c r="P85" s="143">
        <f t="shared" si="15"/>
        <v>4.8988091590367543E-4</v>
      </c>
      <c r="Q85" s="143">
        <f t="shared" si="15"/>
        <v>0.18046305754591371</v>
      </c>
      <c r="R85" s="143">
        <f t="shared" si="15"/>
        <v>0.21523392408971884</v>
      </c>
      <c r="S85" s="183">
        <f t="shared" si="16"/>
        <v>4.8988091590367543E-4</v>
      </c>
      <c r="T85" s="183">
        <f t="shared" si="17"/>
        <v>0.17997317663001003</v>
      </c>
      <c r="U85" s="183">
        <f t="shared" si="18"/>
        <v>3.4770866543805123E-2</v>
      </c>
      <c r="V85" s="185">
        <f t="shared" si="19"/>
        <v>1.4407027953126095E-3</v>
      </c>
      <c r="W85" s="184">
        <f t="shared" si="33"/>
        <v>16.248556947360768</v>
      </c>
      <c r="X85" s="203">
        <f t="shared" si="20"/>
        <v>0</v>
      </c>
      <c r="Y85" s="185">
        <f t="shared" si="21"/>
        <v>0.18046305754591371</v>
      </c>
      <c r="Z85" s="185">
        <f t="shared" si="22"/>
        <v>3.4770866543805123E-2</v>
      </c>
      <c r="AA85" s="173">
        <f t="shared" si="23"/>
        <v>1.4407027953126095E-3</v>
      </c>
      <c r="AB85" s="6">
        <f t="shared" si="24"/>
        <v>120.95376734904306</v>
      </c>
      <c r="AC85" s="6">
        <f t="shared" si="24"/>
        <v>17.986505249002846</v>
      </c>
      <c r="AD85" s="6">
        <f t="shared" si="25"/>
        <v>12.937609505385934</v>
      </c>
      <c r="AE85" s="6">
        <f t="shared" si="25"/>
        <v>10.072165020002801</v>
      </c>
      <c r="AF85" s="6">
        <f t="shared" si="26"/>
        <v>161.95004712343464</v>
      </c>
      <c r="AG85" s="6">
        <f t="shared" si="27"/>
        <v>40.276976719598196</v>
      </c>
      <c r="AH85" s="6">
        <f t="shared" si="28"/>
        <v>202.22702384303284</v>
      </c>
    </row>
    <row r="86" spans="2:34" x14ac:dyDescent="0.3">
      <c r="B86" s="3">
        <v>43</v>
      </c>
      <c r="C86" s="2">
        <v>194</v>
      </c>
      <c r="D86" s="2">
        <v>187</v>
      </c>
      <c r="E86" s="2"/>
      <c r="F86" s="176">
        <f t="shared" si="9"/>
        <v>19.05</v>
      </c>
      <c r="G86" s="9">
        <f t="shared" si="10"/>
        <v>0</v>
      </c>
      <c r="H86" s="6">
        <f t="shared" si="11"/>
        <v>2.8502295699234251E-2</v>
      </c>
      <c r="I86" s="7">
        <v>65</v>
      </c>
      <c r="J86" s="6" t="str">
        <f t="shared" ref="J86:J95" si="34">IF(AND($I86&lt;=$C$13,$E86&lt;&gt;""),E86,"")</f>
        <v/>
      </c>
      <c r="K86" s="6" t="str">
        <f t="shared" ref="K86:K95" si="35">IF(AND($I86&lt;=$C$13,$E86&lt;&gt;""),F86,"")</f>
        <v/>
      </c>
      <c r="L86" s="166">
        <f t="shared" ref="L86:L95" si="36">$L$9*EXP($L$11*(1/F86-1/$L$10))</f>
        <v>20.340902956265243</v>
      </c>
      <c r="M86" s="17">
        <f t="shared" si="12"/>
        <v>20.340902956265243</v>
      </c>
      <c r="N86" s="144">
        <f t="shared" ref="N86:N101" si="37">$X$7*(F86/100)^$Y$7*M86^$Z$7</f>
        <v>0.25921355793442075</v>
      </c>
      <c r="O86" s="144">
        <f t="shared" si="14"/>
        <v>0.21032740948839612</v>
      </c>
      <c r="P86" s="143">
        <f t="shared" si="15"/>
        <v>3.3151740736667596E-4</v>
      </c>
      <c r="Q86" s="143">
        <f t="shared" si="15"/>
        <v>0.17328984420999535</v>
      </c>
      <c r="R86" s="143">
        <f t="shared" si="15"/>
        <v>0.20884638734060709</v>
      </c>
      <c r="S86" s="183">
        <f t="shared" si="16"/>
        <v>3.3151740736667596E-4</v>
      </c>
      <c r="T86" s="183">
        <f t="shared" si="17"/>
        <v>0.17295832680262868</v>
      </c>
      <c r="U86" s="183">
        <f t="shared" si="18"/>
        <v>3.555654313061174E-2</v>
      </c>
      <c r="V86" s="185">
        <f t="shared" si="19"/>
        <v>1.4810221477890295E-3</v>
      </c>
      <c r="W86" s="184">
        <f t="shared" ref="W86:W95" si="38">F86*($AC$6+$AD$6*LN(1-(($W$21/M86)^(1/$AE$6))*$AB$5))</f>
        <v>16.024366545666322</v>
      </c>
      <c r="X86" s="203">
        <f t="shared" si="20"/>
        <v>0</v>
      </c>
      <c r="Y86" s="185">
        <f t="shared" si="21"/>
        <v>0.17328984420999535</v>
      </c>
      <c r="Z86" s="185">
        <f t="shared" si="22"/>
        <v>3.555654313061174E-2</v>
      </c>
      <c r="AA86" s="173">
        <f t="shared" si="23"/>
        <v>1.4810221477890295E-3</v>
      </c>
      <c r="AB86" s="6">
        <f t="shared" si="24"/>
        <v>117.27398148107697</v>
      </c>
      <c r="AC86" s="6">
        <f t="shared" si="24"/>
        <v>17.33127643409161</v>
      </c>
      <c r="AD86" s="6">
        <f t="shared" si="25"/>
        <v>12.57843879588671</v>
      </c>
      <c r="AE86" s="6">
        <f t="shared" si="25"/>
        <v>9.8552554758162252</v>
      </c>
      <c r="AF86" s="6">
        <f t="shared" si="26"/>
        <v>157.03895218687151</v>
      </c>
      <c r="AG86" s="6">
        <f t="shared" si="27"/>
        <v>39.055587408874949</v>
      </c>
      <c r="AH86" s="6">
        <f t="shared" si="28"/>
        <v>196.09453959574645</v>
      </c>
    </row>
    <row r="87" spans="2:34" x14ac:dyDescent="0.3">
      <c r="B87" s="3">
        <v>79</v>
      </c>
      <c r="C87" s="2">
        <v>182</v>
      </c>
      <c r="D87" s="2">
        <v>190</v>
      </c>
      <c r="E87" s="2"/>
      <c r="F87" s="176">
        <f t="shared" ref="F87:F95" si="39">AVERAGE(C87:D87)/10</f>
        <v>18.600000000000001</v>
      </c>
      <c r="G87" s="9">
        <f t="shared" ref="G87:G101" si="40">IF(C87&lt;&gt;"",0,1)</f>
        <v>0</v>
      </c>
      <c r="H87" s="6">
        <f t="shared" ref="H87:H95" si="41">PI()/40000*F87^2</f>
        <v>2.7171634860898124E-2</v>
      </c>
      <c r="I87" s="7">
        <v>66</v>
      </c>
      <c r="J87" s="6" t="str">
        <f t="shared" si="34"/>
        <v/>
      </c>
      <c r="K87" s="6" t="str">
        <f t="shared" si="35"/>
        <v/>
      </c>
      <c r="L87" s="166">
        <f t="shared" si="36"/>
        <v>20.128929865980677</v>
      </c>
      <c r="M87" s="17">
        <f t="shared" ref="M87:M95" si="42">IF(E87&lt;&gt;"",E87,L87)</f>
        <v>20.128929865980677</v>
      </c>
      <c r="N87" s="144">
        <f t="shared" si="37"/>
        <v>0.24541572006799958</v>
      </c>
      <c r="O87" s="144">
        <f t="shared" ref="O87:O101" si="43">$X$8*(F87/100)^$Y$8*M87^$Z$8</f>
        <v>0.19912447868896435</v>
      </c>
      <c r="P87" s="143">
        <f t="shared" ref="P87:R95" si="44">$O87*EXP(-$X$17*P$21^$Y$17/$F87^$Z$17)</f>
        <v>1.5310054805873447E-4</v>
      </c>
      <c r="Q87" s="143">
        <f t="shared" si="44"/>
        <v>0.16056225433060187</v>
      </c>
      <c r="R87" s="143">
        <f t="shared" si="44"/>
        <v>0.19756696965798354</v>
      </c>
      <c r="S87" s="183">
        <f t="shared" ref="S87:S95" si="45">P87</f>
        <v>1.5310054805873447E-4</v>
      </c>
      <c r="T87" s="183">
        <f t="shared" ref="T87:T95" si="46">Q87-P87</f>
        <v>0.16040915378254314</v>
      </c>
      <c r="U87" s="183">
        <f t="shared" ref="U87:U95" si="47">R87-Q87</f>
        <v>3.7004715327381671E-2</v>
      </c>
      <c r="V87" s="185">
        <f t="shared" ref="V87:V95" si="48">O87-R87</f>
        <v>1.5575090309808137E-3</v>
      </c>
      <c r="W87" s="184">
        <f t="shared" si="38"/>
        <v>15.620685767485385</v>
      </c>
      <c r="X87" s="203">
        <f t="shared" ref="X87:X95" si="49">IF(W87&gt;=$P$21,P87,0)</f>
        <v>0</v>
      </c>
      <c r="Y87" s="185">
        <f t="shared" ref="Y87:Y95" si="50">Q87-X87</f>
        <v>0.16056225433060187</v>
      </c>
      <c r="Z87" s="185">
        <f t="shared" ref="Z87:Z95" si="51">R87-Q87</f>
        <v>3.7004715327381671E-2</v>
      </c>
      <c r="AA87" s="173">
        <f t="shared" ref="AA87:AA95" si="52">O87-R87</f>
        <v>1.5575090309808137E-3</v>
      </c>
      <c r="AB87" s="6">
        <f t="shared" ref="AB87:AC95" si="53">AB$16*$F87^AB$17*$M87^AB$18</f>
        <v>110.78622067987902</v>
      </c>
      <c r="AC87" s="6">
        <f t="shared" si="53"/>
        <v>16.187901648597705</v>
      </c>
      <c r="AD87" s="6">
        <f t="shared" ref="AD87:AE95" si="54">AD$16*$F87^AD$17*($M87/$F87)^AD$18</f>
        <v>11.947541710569135</v>
      </c>
      <c r="AE87" s="6">
        <f t="shared" si="54"/>
        <v>9.470901756600087</v>
      </c>
      <c r="AF87" s="6">
        <f t="shared" ref="AF87:AF95" si="55">AB87+AC87+AD87+AE87</f>
        <v>148.39256579564594</v>
      </c>
      <c r="AG87" s="6">
        <f t="shared" ref="AG87:AG95" si="56">$AG$18*AF87</f>
        <v>36.905231113377148</v>
      </c>
      <c r="AH87" s="6">
        <f t="shared" ref="AH87:AH95" si="57">AF87+AG87</f>
        <v>185.29779690902308</v>
      </c>
    </row>
    <row r="88" spans="2:34" x14ac:dyDescent="0.3">
      <c r="B88" s="3">
        <v>77</v>
      </c>
      <c r="C88" s="2">
        <v>179</v>
      </c>
      <c r="D88" s="2">
        <v>171</v>
      </c>
      <c r="E88" s="2"/>
      <c r="F88" s="176">
        <f t="shared" si="39"/>
        <v>17.5</v>
      </c>
      <c r="G88" s="9">
        <f t="shared" si="40"/>
        <v>0</v>
      </c>
      <c r="H88" s="6">
        <f t="shared" si="41"/>
        <v>2.4052818754046853E-2</v>
      </c>
      <c r="I88" s="7">
        <v>67</v>
      </c>
      <c r="J88" s="6" t="str">
        <f t="shared" si="34"/>
        <v/>
      </c>
      <c r="K88" s="6" t="str">
        <f t="shared" si="35"/>
        <v/>
      </c>
      <c r="L88" s="166">
        <f t="shared" si="36"/>
        <v>19.575577103719713</v>
      </c>
      <c r="M88" s="17">
        <f t="shared" si="42"/>
        <v>19.575577103719713</v>
      </c>
      <c r="N88" s="144">
        <f t="shared" si="37"/>
        <v>0.21319878402735237</v>
      </c>
      <c r="O88" s="144">
        <f t="shared" si="43"/>
        <v>0.17295098994219932</v>
      </c>
      <c r="P88" s="143">
        <f t="shared" si="44"/>
        <v>1.4541923480826653E-5</v>
      </c>
      <c r="Q88" s="143">
        <f t="shared" si="44"/>
        <v>0.13049375884638997</v>
      </c>
      <c r="R88" s="143">
        <f t="shared" si="44"/>
        <v>0.17118282015909297</v>
      </c>
      <c r="S88" s="183">
        <f t="shared" si="45"/>
        <v>1.4541923480826653E-5</v>
      </c>
      <c r="T88" s="183">
        <f t="shared" si="46"/>
        <v>0.13047921692290915</v>
      </c>
      <c r="U88" s="183">
        <f t="shared" si="47"/>
        <v>4.0689061312703001E-2</v>
      </c>
      <c r="V88" s="185">
        <f t="shared" si="48"/>
        <v>1.7681697831063437E-3</v>
      </c>
      <c r="W88" s="184">
        <f t="shared" si="38"/>
        <v>14.633073972288875</v>
      </c>
      <c r="X88" s="203">
        <f t="shared" si="49"/>
        <v>0</v>
      </c>
      <c r="Y88" s="185">
        <f t="shared" si="50"/>
        <v>0.13049375884638997</v>
      </c>
      <c r="Z88" s="185">
        <f t="shared" si="51"/>
        <v>4.0689061312703001E-2</v>
      </c>
      <c r="AA88" s="173">
        <f t="shared" si="52"/>
        <v>1.7681697831063437E-3</v>
      </c>
      <c r="AB88" s="6">
        <f t="shared" si="53"/>
        <v>95.66818435869429</v>
      </c>
      <c r="AC88" s="6">
        <f t="shared" si="53"/>
        <v>13.584986725498425</v>
      </c>
      <c r="AD88" s="6">
        <f t="shared" si="54"/>
        <v>10.488619661136584</v>
      </c>
      <c r="AE88" s="6">
        <f t="shared" si="54"/>
        <v>8.5643455077829937</v>
      </c>
      <c r="AF88" s="6">
        <f t="shared" si="55"/>
        <v>128.3061362531123</v>
      </c>
      <c r="AG88" s="6">
        <f t="shared" si="56"/>
        <v>31.909736086149028</v>
      </c>
      <c r="AH88" s="6">
        <f t="shared" si="57"/>
        <v>160.21587233926132</v>
      </c>
    </row>
    <row r="89" spans="2:34" x14ac:dyDescent="0.3">
      <c r="B89" s="15">
        <v>29</v>
      </c>
      <c r="C89" s="2">
        <v>162</v>
      </c>
      <c r="D89" s="2">
        <v>185</v>
      </c>
      <c r="E89" s="2"/>
      <c r="F89" s="176">
        <f t="shared" si="39"/>
        <v>17.350000000000001</v>
      </c>
      <c r="G89" s="9">
        <f t="shared" si="40"/>
        <v>0</v>
      </c>
      <c r="H89" s="6">
        <f t="shared" si="41"/>
        <v>2.3642251864130839E-2</v>
      </c>
      <c r="I89" s="7">
        <v>68</v>
      </c>
      <c r="J89" s="6" t="str">
        <f t="shared" si="34"/>
        <v/>
      </c>
      <c r="K89" s="6" t="str">
        <f t="shared" si="35"/>
        <v/>
      </c>
      <c r="L89" s="166">
        <f t="shared" si="36"/>
        <v>19.4959680576655</v>
      </c>
      <c r="M89" s="17">
        <f t="shared" si="42"/>
        <v>19.4959680576655</v>
      </c>
      <c r="N89" s="144">
        <f t="shared" si="37"/>
        <v>0.20897277364657604</v>
      </c>
      <c r="O89" s="144">
        <f t="shared" si="43"/>
        <v>0.16951611668768771</v>
      </c>
      <c r="P89" s="143">
        <f t="shared" si="44"/>
        <v>9.911381016370102E-6</v>
      </c>
      <c r="Q89" s="143">
        <f t="shared" si="44"/>
        <v>0.12651486005734136</v>
      </c>
      <c r="R89" s="143">
        <f t="shared" si="44"/>
        <v>0.16771632556274607</v>
      </c>
      <c r="S89" s="183">
        <f t="shared" si="45"/>
        <v>9.911381016370102E-6</v>
      </c>
      <c r="T89" s="183">
        <f t="shared" si="46"/>
        <v>0.126504948676325</v>
      </c>
      <c r="U89" s="183">
        <f t="shared" si="47"/>
        <v>4.1201465505404711E-2</v>
      </c>
      <c r="V89" s="185">
        <f t="shared" si="48"/>
        <v>1.7997911249416354E-3</v>
      </c>
      <c r="W89" s="184">
        <f t="shared" si="38"/>
        <v>14.498297148784154</v>
      </c>
      <c r="X89" s="203">
        <f t="shared" si="49"/>
        <v>0</v>
      </c>
      <c r="Y89" s="185">
        <f t="shared" si="50"/>
        <v>0.12651486005734136</v>
      </c>
      <c r="Z89" s="185">
        <f t="shared" si="51"/>
        <v>4.1201465505404711E-2</v>
      </c>
      <c r="AA89" s="173">
        <f t="shared" si="52"/>
        <v>1.7997911249416354E-3</v>
      </c>
      <c r="AB89" s="6">
        <f t="shared" si="53"/>
        <v>93.688708792788844</v>
      </c>
      <c r="AC89" s="6">
        <f t="shared" si="53"/>
        <v>13.250833797895549</v>
      </c>
      <c r="AD89" s="6">
        <f t="shared" si="54"/>
        <v>10.298704885661321</v>
      </c>
      <c r="AE89" s="6">
        <f t="shared" si="54"/>
        <v>8.4443557601412707</v>
      </c>
      <c r="AF89" s="6">
        <f t="shared" si="55"/>
        <v>125.68260323648698</v>
      </c>
      <c r="AG89" s="6">
        <f t="shared" si="56"/>
        <v>31.257263424914314</v>
      </c>
      <c r="AH89" s="6">
        <f t="shared" si="57"/>
        <v>156.93986666140131</v>
      </c>
    </row>
    <row r="90" spans="2:34" x14ac:dyDescent="0.3">
      <c r="B90" s="3">
        <v>69</v>
      </c>
      <c r="C90" s="2">
        <v>170</v>
      </c>
      <c r="D90" s="2">
        <v>155</v>
      </c>
      <c r="E90" s="2"/>
      <c r="F90" s="176">
        <f t="shared" si="39"/>
        <v>16.25</v>
      </c>
      <c r="G90" s="9">
        <f t="shared" si="40"/>
        <v>0</v>
      </c>
      <c r="H90" s="6">
        <f t="shared" si="41"/>
        <v>2.0739420252213869E-2</v>
      </c>
      <c r="I90" s="7">
        <v>69</v>
      </c>
      <c r="J90" s="6" t="str">
        <f t="shared" si="34"/>
        <v/>
      </c>
      <c r="K90" s="6" t="str">
        <f t="shared" si="35"/>
        <v/>
      </c>
      <c r="L90" s="166">
        <f t="shared" si="36"/>
        <v>18.878529474798121</v>
      </c>
      <c r="M90" s="17">
        <f t="shared" si="42"/>
        <v>18.878529474798121</v>
      </c>
      <c r="N90" s="144">
        <f t="shared" si="37"/>
        <v>0.17921905423088272</v>
      </c>
      <c r="O90" s="144">
        <f t="shared" si="43"/>
        <v>0.14532215499426882</v>
      </c>
      <c r="P90" s="143">
        <f t="shared" si="44"/>
        <v>3.2410821850329846E-7</v>
      </c>
      <c r="Q90" s="143">
        <f t="shared" si="44"/>
        <v>9.8328535477838208E-2</v>
      </c>
      <c r="R90" s="143">
        <f t="shared" si="44"/>
        <v>0.1432658558562071</v>
      </c>
      <c r="S90" s="183">
        <f t="shared" si="45"/>
        <v>3.2410821850329846E-7</v>
      </c>
      <c r="T90" s="183">
        <f t="shared" si="46"/>
        <v>9.8328211369619709E-2</v>
      </c>
      <c r="U90" s="183">
        <f t="shared" si="47"/>
        <v>4.4937320378368895E-2</v>
      </c>
      <c r="V90" s="185">
        <f t="shared" si="48"/>
        <v>2.0562991380617124E-3</v>
      </c>
      <c r="W90" s="184">
        <f t="shared" si="38"/>
        <v>13.509054245230503</v>
      </c>
      <c r="X90" s="203">
        <f t="shared" si="49"/>
        <v>0</v>
      </c>
      <c r="Y90" s="185">
        <f t="shared" si="50"/>
        <v>9.8328535477838208E-2</v>
      </c>
      <c r="Z90" s="185">
        <f t="shared" si="51"/>
        <v>4.4937320378368895E-2</v>
      </c>
      <c r="AA90" s="173">
        <f t="shared" si="52"/>
        <v>2.0562991380617124E-3</v>
      </c>
      <c r="AB90" s="6">
        <f t="shared" si="53"/>
        <v>79.780628512325748</v>
      </c>
      <c r="AC90" s="6">
        <f t="shared" si="53"/>
        <v>10.949439818489219</v>
      </c>
      <c r="AD90" s="6">
        <f t="shared" si="54"/>
        <v>8.9708920374701293</v>
      </c>
      <c r="AE90" s="6">
        <f t="shared" si="54"/>
        <v>7.5911222337537225</v>
      </c>
      <c r="AF90" s="6">
        <f t="shared" si="55"/>
        <v>107.29208260203883</v>
      </c>
      <c r="AG90" s="6">
        <f t="shared" si="56"/>
        <v>26.683540943127056</v>
      </c>
      <c r="AH90" s="6">
        <f t="shared" si="57"/>
        <v>133.97562354516589</v>
      </c>
    </row>
    <row r="91" spans="2:34" x14ac:dyDescent="0.3">
      <c r="B91" s="15">
        <v>24</v>
      </c>
      <c r="C91" s="2">
        <v>147</v>
      </c>
      <c r="D91" s="2">
        <v>146</v>
      </c>
      <c r="E91" s="2"/>
      <c r="F91" s="176">
        <f t="shared" si="39"/>
        <v>14.65</v>
      </c>
      <c r="G91" s="9">
        <f t="shared" si="40"/>
        <v>0</v>
      </c>
      <c r="H91" s="6">
        <f t="shared" si="41"/>
        <v>1.6856411732376883E-2</v>
      </c>
      <c r="I91" s="7">
        <v>70</v>
      </c>
      <c r="J91" s="6" t="str">
        <f t="shared" si="34"/>
        <v/>
      </c>
      <c r="K91" s="6" t="str">
        <f t="shared" si="35"/>
        <v/>
      </c>
      <c r="L91" s="166">
        <f t="shared" si="36"/>
        <v>17.860422871519589</v>
      </c>
      <c r="M91" s="17">
        <f t="shared" si="42"/>
        <v>17.860422871519589</v>
      </c>
      <c r="N91" s="144">
        <f t="shared" si="37"/>
        <v>0.13987079701714078</v>
      </c>
      <c r="O91" s="144">
        <f t="shared" si="43"/>
        <v>0.1133003593997369</v>
      </c>
      <c r="P91" s="143">
        <f t="shared" si="44"/>
        <v>1.3339943266010327E-10</v>
      </c>
      <c r="Q91" s="143">
        <f t="shared" si="44"/>
        <v>6.1121813262130648E-2</v>
      </c>
      <c r="R91" s="143">
        <f t="shared" si="44"/>
        <v>0.11077787412151077</v>
      </c>
      <c r="S91" s="183">
        <f t="shared" si="45"/>
        <v>1.3339943266010327E-10</v>
      </c>
      <c r="T91" s="183">
        <f t="shared" si="46"/>
        <v>6.1121813128731217E-2</v>
      </c>
      <c r="U91" s="183">
        <f t="shared" si="47"/>
        <v>4.9656060859380124E-2</v>
      </c>
      <c r="V91" s="185">
        <f t="shared" si="48"/>
        <v>2.5224852782261276E-3</v>
      </c>
      <c r="W91" s="184">
        <f t="shared" si="38"/>
        <v>12.066746416999155</v>
      </c>
      <c r="X91" s="203">
        <f t="shared" si="49"/>
        <v>0</v>
      </c>
      <c r="Y91" s="185">
        <f t="shared" si="50"/>
        <v>6.1121813262130648E-2</v>
      </c>
      <c r="Z91" s="185">
        <f t="shared" si="51"/>
        <v>4.9656060859380124E-2</v>
      </c>
      <c r="AA91" s="173">
        <f t="shared" si="52"/>
        <v>2.5224852782261276E-3</v>
      </c>
      <c r="AB91" s="6">
        <f t="shared" si="53"/>
        <v>61.485579080417288</v>
      </c>
      <c r="AC91" s="6">
        <f t="shared" si="53"/>
        <v>8.0566674735467689</v>
      </c>
      <c r="AD91" s="6">
        <f t="shared" si="54"/>
        <v>7.2382933681360733</v>
      </c>
      <c r="AE91" s="6">
        <f t="shared" si="54"/>
        <v>6.4341875548469822</v>
      </c>
      <c r="AF91" s="6">
        <f t="shared" si="55"/>
        <v>83.214727476947118</v>
      </c>
      <c r="AG91" s="6">
        <f t="shared" si="56"/>
        <v>20.69550272351675</v>
      </c>
      <c r="AH91" s="6">
        <f t="shared" si="57"/>
        <v>103.91023020046387</v>
      </c>
    </row>
    <row r="92" spans="2:34" x14ac:dyDescent="0.3">
      <c r="B92" s="15">
        <v>9</v>
      </c>
      <c r="C92" s="2">
        <v>145</v>
      </c>
      <c r="D92" s="2">
        <v>141</v>
      </c>
      <c r="E92" s="2">
        <v>15.5</v>
      </c>
      <c r="F92" s="176">
        <f t="shared" si="39"/>
        <v>14.3</v>
      </c>
      <c r="G92" s="9">
        <f t="shared" si="40"/>
        <v>0</v>
      </c>
      <c r="H92" s="6">
        <f t="shared" si="41"/>
        <v>1.6060607043314419E-2</v>
      </c>
      <c r="I92" s="7">
        <v>71</v>
      </c>
      <c r="J92" s="6" t="str">
        <f t="shared" si="34"/>
        <v/>
      </c>
      <c r="K92" s="6" t="str">
        <f t="shared" si="35"/>
        <v/>
      </c>
      <c r="L92" s="166">
        <f t="shared" si="36"/>
        <v>17.615980886836137</v>
      </c>
      <c r="M92" s="17">
        <f t="shared" si="42"/>
        <v>15.5</v>
      </c>
      <c r="N92" s="144">
        <f t="shared" si="37"/>
        <v>0.11501007918837794</v>
      </c>
      <c r="O92" s="144">
        <f t="shared" si="43"/>
        <v>9.2112798829801584E-2</v>
      </c>
      <c r="P92" s="143">
        <f t="shared" si="44"/>
        <v>1.0711416685144687E-11</v>
      </c>
      <c r="Q92" s="143">
        <f t="shared" si="44"/>
        <v>4.635586867502834E-2</v>
      </c>
      <c r="R92" s="143">
        <f t="shared" si="44"/>
        <v>8.9833993319618166E-2</v>
      </c>
      <c r="S92" s="183">
        <f t="shared" si="45"/>
        <v>1.0711416685144687E-11</v>
      </c>
      <c r="T92" s="183">
        <f t="shared" si="46"/>
        <v>4.6355868664316922E-2</v>
      </c>
      <c r="U92" s="183">
        <f t="shared" si="47"/>
        <v>4.3478124644589826E-2</v>
      </c>
      <c r="V92" s="185">
        <f t="shared" si="48"/>
        <v>2.2788055101834181E-3</v>
      </c>
      <c r="W92" s="184">
        <f t="shared" si="38"/>
        <v>11.477659291449729</v>
      </c>
      <c r="X92" s="203">
        <f t="shared" si="49"/>
        <v>0</v>
      </c>
      <c r="Y92" s="185">
        <f t="shared" si="50"/>
        <v>4.635586867502834E-2</v>
      </c>
      <c r="Z92" s="185">
        <f t="shared" si="51"/>
        <v>4.3478124644589826E-2</v>
      </c>
      <c r="AA92" s="173">
        <f t="shared" si="52"/>
        <v>2.2788055101834181E-3</v>
      </c>
      <c r="AB92" s="6">
        <f t="shared" si="53"/>
        <v>48.502249861626503</v>
      </c>
      <c r="AC92" s="6">
        <f t="shared" si="53"/>
        <v>6.5219170559846802</v>
      </c>
      <c r="AD92" s="6">
        <f t="shared" si="54"/>
        <v>7.6822179326542805</v>
      </c>
      <c r="AE92" s="6">
        <f t="shared" si="54"/>
        <v>6.7854411319367767</v>
      </c>
      <c r="AF92" s="6">
        <f t="shared" si="55"/>
        <v>69.491825982202243</v>
      </c>
      <c r="AG92" s="6">
        <f t="shared" si="56"/>
        <v>17.282617121773697</v>
      </c>
      <c r="AH92" s="6">
        <f t="shared" si="57"/>
        <v>86.774443103975941</v>
      </c>
    </row>
    <row r="93" spans="2:34" x14ac:dyDescent="0.3">
      <c r="B93" s="3">
        <v>56</v>
      </c>
      <c r="C93" s="2">
        <v>141</v>
      </c>
      <c r="D93" s="2">
        <v>140</v>
      </c>
      <c r="E93" s="2"/>
      <c r="F93" s="176">
        <f t="shared" si="39"/>
        <v>14.05</v>
      </c>
      <c r="G93" s="9">
        <f t="shared" si="40"/>
        <v>0</v>
      </c>
      <c r="H93" s="6">
        <f t="shared" si="41"/>
        <v>1.5503956095006481E-2</v>
      </c>
      <c r="I93" s="7">
        <v>72</v>
      </c>
      <c r="J93" s="6" t="str">
        <f t="shared" si="34"/>
        <v/>
      </c>
      <c r="K93" s="6" t="str">
        <f t="shared" si="35"/>
        <v/>
      </c>
      <c r="L93" s="166">
        <f t="shared" si="36"/>
        <v>17.436099454979509</v>
      </c>
      <c r="M93" s="17">
        <f t="shared" si="42"/>
        <v>17.436099454979509</v>
      </c>
      <c r="N93" s="144">
        <f t="shared" si="37"/>
        <v>0.12633198718416208</v>
      </c>
      <c r="O93" s="144">
        <f t="shared" si="43"/>
        <v>0.10227651325924665</v>
      </c>
      <c r="P93" s="143">
        <f t="shared" si="44"/>
        <v>1.8675977365317154E-12</v>
      </c>
      <c r="Q93" s="143">
        <f t="shared" si="44"/>
        <v>4.8688390718675423E-2</v>
      </c>
      <c r="R93" s="143">
        <f t="shared" si="44"/>
        <v>9.9544244910146101E-2</v>
      </c>
      <c r="S93" s="183">
        <f t="shared" si="45"/>
        <v>1.8675977365317154E-12</v>
      </c>
      <c r="T93" s="183">
        <f t="shared" si="46"/>
        <v>4.8688390716807826E-2</v>
      </c>
      <c r="U93" s="183">
        <f t="shared" si="47"/>
        <v>5.0855854191470679E-2</v>
      </c>
      <c r="V93" s="185">
        <f t="shared" si="48"/>
        <v>2.7322683491005501E-3</v>
      </c>
      <c r="W93" s="184">
        <f t="shared" si="38"/>
        <v>11.524542711343896</v>
      </c>
      <c r="X93" s="203">
        <f t="shared" si="49"/>
        <v>0</v>
      </c>
      <c r="Y93" s="185">
        <f t="shared" si="50"/>
        <v>4.8688390718675423E-2</v>
      </c>
      <c r="Z93" s="185">
        <f t="shared" si="51"/>
        <v>5.0855854191470679E-2</v>
      </c>
      <c r="AA93" s="173">
        <f t="shared" si="52"/>
        <v>2.7322683491005501E-3</v>
      </c>
      <c r="AB93" s="6">
        <f t="shared" si="53"/>
        <v>55.224999199735194</v>
      </c>
      <c r="AC93" s="6">
        <f t="shared" si="53"/>
        <v>7.1057708892516347</v>
      </c>
      <c r="AD93" s="6">
        <f t="shared" si="54"/>
        <v>6.6474580352346493</v>
      </c>
      <c r="AE93" s="6">
        <f t="shared" si="54"/>
        <v>6.0261592449348615</v>
      </c>
      <c r="AF93" s="6">
        <f t="shared" si="55"/>
        <v>75.004387369156348</v>
      </c>
      <c r="AG93" s="6">
        <f t="shared" si="56"/>
        <v>18.653591138709185</v>
      </c>
      <c r="AH93" s="6">
        <f t="shared" si="57"/>
        <v>93.657978507865536</v>
      </c>
    </row>
    <row r="94" spans="2:34" x14ac:dyDescent="0.3">
      <c r="B94" s="15">
        <v>33</v>
      </c>
      <c r="C94" s="2">
        <v>83</v>
      </c>
      <c r="D94" s="2">
        <v>80</v>
      </c>
      <c r="E94" s="2">
        <v>11.5</v>
      </c>
      <c r="F94" s="176">
        <f t="shared" si="39"/>
        <v>8.15</v>
      </c>
      <c r="G94" s="9">
        <f t="shared" si="40"/>
        <v>0</v>
      </c>
      <c r="H94" s="6">
        <f t="shared" si="41"/>
        <v>5.2168109508267009E-3</v>
      </c>
      <c r="I94" s="7">
        <v>73</v>
      </c>
      <c r="J94" s="6" t="str">
        <f t="shared" si="34"/>
        <v/>
      </c>
      <c r="K94" s="6" t="str">
        <f t="shared" si="35"/>
        <v/>
      </c>
      <c r="L94" s="166">
        <f t="shared" si="36"/>
        <v>11.399107455501236</v>
      </c>
      <c r="M94" s="17">
        <f t="shared" si="42"/>
        <v>11.5</v>
      </c>
      <c r="N94" s="144">
        <f t="shared" si="37"/>
        <v>3.0047185956224649E-2</v>
      </c>
      <c r="O94" s="144">
        <f t="shared" si="43"/>
        <v>2.3936776496919224E-2</v>
      </c>
      <c r="P94" s="143">
        <f t="shared" si="44"/>
        <v>4.3968028964070109E-121</v>
      </c>
      <c r="Q94" s="143">
        <f t="shared" si="44"/>
        <v>6.5286556078339364E-6</v>
      </c>
      <c r="R94" s="143">
        <f t="shared" si="44"/>
        <v>1.7743429782391275E-2</v>
      </c>
      <c r="S94" s="183">
        <f t="shared" si="45"/>
        <v>4.3968028964070109E-121</v>
      </c>
      <c r="T94" s="183">
        <f t="shared" si="46"/>
        <v>6.5286556078339364E-6</v>
      </c>
      <c r="U94" s="183">
        <f t="shared" si="47"/>
        <v>1.7736901126783441E-2</v>
      </c>
      <c r="V94" s="185">
        <f t="shared" si="48"/>
        <v>6.1933467145279496E-3</v>
      </c>
      <c r="W94" s="184">
        <f t="shared" si="38"/>
        <v>6.1125936938939907</v>
      </c>
      <c r="X94" s="203">
        <f t="shared" si="49"/>
        <v>0</v>
      </c>
      <c r="Y94" s="202">
        <f t="shared" si="50"/>
        <v>6.5286556078339364E-6</v>
      </c>
      <c r="Z94" s="185">
        <f t="shared" si="51"/>
        <v>1.7736901126783441E-2</v>
      </c>
      <c r="AA94" s="173">
        <f t="shared" si="52"/>
        <v>6.1933467145279496E-3</v>
      </c>
      <c r="AB94" s="6">
        <f t="shared" si="53"/>
        <v>11.843043882011729</v>
      </c>
      <c r="AC94" s="6">
        <f t="shared" si="53"/>
        <v>1.237962885064942</v>
      </c>
      <c r="AD94" s="6">
        <f t="shared" si="54"/>
        <v>2.394010121805402</v>
      </c>
      <c r="AE94" s="6">
        <f t="shared" si="54"/>
        <v>2.7628754429646576</v>
      </c>
      <c r="AF94" s="6">
        <f t="shared" si="55"/>
        <v>18.23789233184673</v>
      </c>
      <c r="AG94" s="6">
        <f t="shared" si="56"/>
        <v>4.5357638229302815</v>
      </c>
      <c r="AH94" s="6">
        <f t="shared" si="57"/>
        <v>22.773656154777012</v>
      </c>
    </row>
    <row r="95" spans="2:34" x14ac:dyDescent="0.3">
      <c r="B95" s="15">
        <v>20</v>
      </c>
      <c r="C95" s="2">
        <v>40</v>
      </c>
      <c r="D95" s="2">
        <v>41</v>
      </c>
      <c r="E95" s="2">
        <v>5.5</v>
      </c>
      <c r="F95" s="176">
        <f t="shared" si="39"/>
        <v>4.05</v>
      </c>
      <c r="G95" s="9">
        <f t="shared" si="40"/>
        <v>0</v>
      </c>
      <c r="H95" s="6">
        <f t="shared" si="41"/>
        <v>1.2882493375126645E-3</v>
      </c>
      <c r="I95" s="7">
        <v>74</v>
      </c>
      <c r="J95" s="6" t="str">
        <f t="shared" si="34"/>
        <v/>
      </c>
      <c r="K95" s="6" t="str">
        <f t="shared" si="35"/>
        <v/>
      </c>
      <c r="L95" s="166">
        <f t="shared" si="36"/>
        <v>4.09163851943394</v>
      </c>
      <c r="M95" s="17">
        <f t="shared" si="42"/>
        <v>5.5</v>
      </c>
      <c r="N95" s="144">
        <f t="shared" si="37"/>
        <v>3.823699193689026E-3</v>
      </c>
      <c r="O95" s="144">
        <f t="shared" si="43"/>
        <v>2.9319648302803831E-3</v>
      </c>
      <c r="P95" s="143">
        <f t="shared" si="44"/>
        <v>0</v>
      </c>
      <c r="Q95" s="143">
        <f t="shared" si="44"/>
        <v>2.9805854227857314E-81</v>
      </c>
      <c r="R95" s="143">
        <f t="shared" si="44"/>
        <v>4.1867768158288698E-6</v>
      </c>
      <c r="S95" s="183">
        <f t="shared" si="45"/>
        <v>0</v>
      </c>
      <c r="T95" s="183">
        <f t="shared" si="46"/>
        <v>2.9805854227857314E-81</v>
      </c>
      <c r="U95" s="183">
        <f t="shared" si="47"/>
        <v>4.1867768158288698E-6</v>
      </c>
      <c r="V95" s="185">
        <f t="shared" si="48"/>
        <v>2.9277780534645542E-3</v>
      </c>
      <c r="W95" s="184">
        <f t="shared" si="38"/>
        <v>2.1487393954070204</v>
      </c>
      <c r="X95" s="203">
        <f t="shared" si="49"/>
        <v>0</v>
      </c>
      <c r="Y95" s="202">
        <f t="shared" si="50"/>
        <v>2.9805854227857314E-81</v>
      </c>
      <c r="Z95" s="202">
        <f t="shared" si="51"/>
        <v>4.1867768158288698E-6</v>
      </c>
      <c r="AA95" s="173">
        <f t="shared" si="52"/>
        <v>2.9277780534645542E-3</v>
      </c>
      <c r="AB95" s="6">
        <f t="shared" si="53"/>
        <v>1.2416424386202969</v>
      </c>
      <c r="AC95" s="6">
        <f t="shared" si="53"/>
        <v>0.10531618533163868</v>
      </c>
      <c r="AD95" s="6">
        <f t="shared" si="54"/>
        <v>0.76679515232580786</v>
      </c>
      <c r="AE95" s="6">
        <f t="shared" si="54"/>
        <v>1.173046601982799</v>
      </c>
      <c r="AF95" s="6">
        <f t="shared" si="55"/>
        <v>3.2868003782605424</v>
      </c>
      <c r="AG95" s="6">
        <f t="shared" si="56"/>
        <v>0.81742725407339689</v>
      </c>
      <c r="AH95" s="6">
        <f t="shared" si="57"/>
        <v>4.1042276323339397</v>
      </c>
    </row>
    <row r="96" spans="2:34" x14ac:dyDescent="0.3">
      <c r="B96" s="1">
        <v>10</v>
      </c>
      <c r="C96" s="2"/>
      <c r="D96" s="2"/>
      <c r="E96" s="2"/>
      <c r="F96" s="9"/>
      <c r="G96" s="9">
        <f t="shared" si="40"/>
        <v>1</v>
      </c>
      <c r="H96" s="6"/>
      <c r="I96" s="7"/>
      <c r="J96" s="6"/>
      <c r="K96" s="6"/>
      <c r="L96" s="32"/>
      <c r="M96" s="6"/>
      <c r="N96" s="143">
        <f t="shared" si="37"/>
        <v>0</v>
      </c>
      <c r="O96" s="143">
        <f t="shared" si="43"/>
        <v>0</v>
      </c>
      <c r="P96" s="173"/>
      <c r="Q96" s="173"/>
      <c r="R96" s="173"/>
      <c r="S96" s="173"/>
      <c r="T96" s="173"/>
      <c r="U96" s="173"/>
      <c r="V96" s="143"/>
      <c r="W96" s="184"/>
      <c r="X96" s="6"/>
      <c r="Y96" s="185"/>
      <c r="Z96" s="188"/>
      <c r="AA96" s="173"/>
      <c r="AB96" s="6"/>
      <c r="AC96" s="6"/>
      <c r="AD96" s="6"/>
      <c r="AE96" s="6"/>
      <c r="AF96" s="6"/>
      <c r="AG96" s="6"/>
      <c r="AH96" s="6"/>
    </row>
    <row r="97" spans="2:34" x14ac:dyDescent="0.3">
      <c r="B97" s="1">
        <v>14</v>
      </c>
      <c r="C97" s="2"/>
      <c r="D97" s="2"/>
      <c r="E97" s="2"/>
      <c r="F97" s="9"/>
      <c r="G97" s="9">
        <f t="shared" si="40"/>
        <v>1</v>
      </c>
      <c r="H97" s="6"/>
      <c r="I97" s="7"/>
      <c r="J97" s="6"/>
      <c r="K97" s="6"/>
      <c r="L97" s="32"/>
      <c r="M97" s="6"/>
      <c r="N97" s="143">
        <f t="shared" si="37"/>
        <v>0</v>
      </c>
      <c r="O97" s="143">
        <f t="shared" si="43"/>
        <v>0</v>
      </c>
      <c r="P97" s="173"/>
      <c r="Q97" s="173"/>
      <c r="R97" s="173"/>
      <c r="S97" s="173"/>
      <c r="T97" s="173"/>
      <c r="U97" s="173"/>
      <c r="V97" s="143"/>
      <c r="W97" s="184"/>
      <c r="X97" s="6"/>
      <c r="Y97" s="185"/>
      <c r="Z97" s="188"/>
      <c r="AA97" s="173"/>
      <c r="AB97" s="6"/>
      <c r="AC97" s="6"/>
      <c r="AD97" s="6"/>
      <c r="AE97" s="6"/>
      <c r="AF97" s="6"/>
      <c r="AG97" s="6"/>
      <c r="AH97" s="6"/>
    </row>
    <row r="98" spans="2:34" x14ac:dyDescent="0.3">
      <c r="B98" s="1">
        <v>28</v>
      </c>
      <c r="C98" s="2"/>
      <c r="D98" s="2"/>
      <c r="E98" s="2"/>
      <c r="F98" s="9"/>
      <c r="G98" s="9">
        <f t="shared" si="40"/>
        <v>1</v>
      </c>
      <c r="H98" s="6"/>
      <c r="I98" s="7"/>
      <c r="J98" s="6"/>
      <c r="K98" s="6"/>
      <c r="L98" s="32"/>
      <c r="M98" s="6"/>
      <c r="N98" s="143">
        <f t="shared" si="37"/>
        <v>0</v>
      </c>
      <c r="O98" s="143">
        <f t="shared" si="43"/>
        <v>0</v>
      </c>
      <c r="P98" s="173"/>
      <c r="Q98" s="173"/>
      <c r="R98" s="173"/>
      <c r="S98" s="173"/>
      <c r="T98" s="173"/>
      <c r="U98" s="173"/>
      <c r="V98" s="143"/>
      <c r="W98" s="184"/>
      <c r="X98" s="6"/>
      <c r="Y98" s="185"/>
      <c r="Z98" s="188"/>
      <c r="AA98" s="173"/>
      <c r="AB98" s="6"/>
      <c r="AC98" s="6"/>
      <c r="AD98" s="6"/>
      <c r="AE98" s="6"/>
      <c r="AF98" s="6"/>
      <c r="AG98" s="6"/>
      <c r="AH98" s="6"/>
    </row>
    <row r="99" spans="2:34" x14ac:dyDescent="0.3">
      <c r="B99" s="3">
        <v>50</v>
      </c>
      <c r="C99" s="2"/>
      <c r="D99" s="2"/>
      <c r="E99" s="2"/>
      <c r="F99" s="9"/>
      <c r="G99" s="9">
        <f t="shared" si="40"/>
        <v>1</v>
      </c>
      <c r="H99" s="6"/>
      <c r="I99" s="7"/>
      <c r="J99" s="6"/>
      <c r="K99" s="6"/>
      <c r="L99" s="32"/>
      <c r="M99" s="6"/>
      <c r="N99" s="143">
        <f t="shared" si="37"/>
        <v>0</v>
      </c>
      <c r="O99" s="143">
        <f t="shared" si="43"/>
        <v>0</v>
      </c>
      <c r="P99" s="173"/>
      <c r="Q99" s="173"/>
      <c r="R99" s="173"/>
      <c r="S99" s="173"/>
      <c r="T99" s="173"/>
      <c r="U99" s="173"/>
      <c r="V99" s="143"/>
      <c r="W99" s="184"/>
      <c r="X99" s="6"/>
      <c r="Y99" s="185"/>
      <c r="Z99" s="188"/>
      <c r="AA99" s="173"/>
      <c r="AB99" s="6"/>
      <c r="AC99" s="6"/>
      <c r="AD99" s="6"/>
      <c r="AE99" s="6"/>
      <c r="AF99" s="6"/>
      <c r="AG99" s="6"/>
      <c r="AH99" s="6"/>
    </row>
    <row r="100" spans="2:34" x14ac:dyDescent="0.3">
      <c r="B100" s="3">
        <v>51</v>
      </c>
      <c r="C100" s="2"/>
      <c r="D100" s="2"/>
      <c r="E100" s="2"/>
      <c r="F100" s="9"/>
      <c r="G100" s="9">
        <f t="shared" si="40"/>
        <v>1</v>
      </c>
      <c r="H100" s="6"/>
      <c r="I100" s="7"/>
      <c r="J100" s="6"/>
      <c r="K100" s="6"/>
      <c r="L100" s="32"/>
      <c r="M100" s="6"/>
      <c r="N100" s="143">
        <f t="shared" si="37"/>
        <v>0</v>
      </c>
      <c r="O100" s="143">
        <f t="shared" si="43"/>
        <v>0</v>
      </c>
      <c r="P100" s="173"/>
      <c r="Q100" s="173"/>
      <c r="R100" s="173"/>
      <c r="S100" s="173"/>
      <c r="T100" s="173"/>
      <c r="U100" s="173"/>
      <c r="V100" s="143"/>
      <c r="W100" s="184"/>
      <c r="X100" s="6"/>
      <c r="Y100" s="185"/>
      <c r="Z100" s="188"/>
      <c r="AA100" s="173"/>
      <c r="AB100" s="6"/>
      <c r="AC100" s="6"/>
      <c r="AD100" s="6"/>
      <c r="AE100" s="6"/>
      <c r="AF100" s="6"/>
      <c r="AG100" s="6"/>
      <c r="AH100" s="6"/>
    </row>
    <row r="101" spans="2:34" x14ac:dyDescent="0.3">
      <c r="B101" s="3">
        <v>63</v>
      </c>
      <c r="C101" s="2"/>
      <c r="D101" s="2"/>
      <c r="E101" s="2"/>
      <c r="F101" s="9"/>
      <c r="G101" s="9">
        <f t="shared" si="40"/>
        <v>1</v>
      </c>
      <c r="H101" s="6"/>
      <c r="I101" s="7"/>
      <c r="J101" s="6"/>
      <c r="K101" s="6"/>
      <c r="L101" s="32"/>
      <c r="M101" s="6"/>
      <c r="N101" s="143">
        <f t="shared" si="37"/>
        <v>0</v>
      </c>
      <c r="O101" s="143">
        <f t="shared" si="43"/>
        <v>0</v>
      </c>
      <c r="P101" s="173"/>
      <c r="Q101" s="173"/>
      <c r="R101" s="173"/>
      <c r="S101" s="173"/>
      <c r="T101" s="173"/>
      <c r="U101" s="173"/>
      <c r="V101" s="143"/>
      <c r="W101" s="184"/>
      <c r="X101" s="6"/>
      <c r="Y101" s="185"/>
      <c r="Z101" s="188"/>
      <c r="AA101" s="173"/>
      <c r="AB101" s="6"/>
      <c r="AC101" s="6"/>
      <c r="AD101" s="6"/>
      <c r="AE101" s="6"/>
      <c r="AF101" s="6"/>
      <c r="AG101" s="6"/>
      <c r="AH101" s="6"/>
    </row>
  </sheetData>
  <sortState ref="B17:F95">
    <sortCondition descending="1" ref="F16:F95"/>
  </sortState>
  <mergeCells count="36">
    <mergeCell ref="AM7:AO8"/>
    <mergeCell ref="AR23:AU23"/>
    <mergeCell ref="AR24:AU24"/>
    <mergeCell ref="AQ25:AV25"/>
    <mergeCell ref="AD19:AE19"/>
    <mergeCell ref="AR19:AR20"/>
    <mergeCell ref="AS19:AS20"/>
    <mergeCell ref="AT19:AT20"/>
    <mergeCell ref="AU19:AU20"/>
    <mergeCell ref="AV19:AV20"/>
    <mergeCell ref="AQ15:AV15"/>
    <mergeCell ref="AR17:AR18"/>
    <mergeCell ref="AS17:AS18"/>
    <mergeCell ref="AT17:AT18"/>
    <mergeCell ref="AU17:AU18"/>
    <mergeCell ref="AV17:AV18"/>
    <mergeCell ref="AQ10:AV10"/>
    <mergeCell ref="AQ11:AV11"/>
    <mergeCell ref="AQ12:AV12"/>
    <mergeCell ref="AQ13:AV13"/>
    <mergeCell ref="AQ14:AV14"/>
    <mergeCell ref="S2:U4"/>
    <mergeCell ref="S5:U6"/>
    <mergeCell ref="S7:U11"/>
    <mergeCell ref="T13:V16"/>
    <mergeCell ref="L19:M19"/>
    <mergeCell ref="K3:K4"/>
    <mergeCell ref="B20:B21"/>
    <mergeCell ref="G20:G21"/>
    <mergeCell ref="J20:J21"/>
    <mergeCell ref="K20:K21"/>
    <mergeCell ref="P20:R20"/>
    <mergeCell ref="S19:V19"/>
    <mergeCell ref="AC8:AE9"/>
    <mergeCell ref="AH8:AJ9"/>
    <mergeCell ref="W19:AA1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4</xdr:row>
                <xdr:rowOff>38100</xdr:rowOff>
              </from>
              <to>
                <xdr:col>14</xdr:col>
                <xdr:colOff>594360</xdr:colOff>
                <xdr:row>6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12</xdr:col>
                <xdr:colOff>175260</xdr:colOff>
                <xdr:row>10</xdr:row>
                <xdr:rowOff>7620</xdr:rowOff>
              </from>
              <to>
                <xdr:col>13</xdr:col>
                <xdr:colOff>495300</xdr:colOff>
                <xdr:row>12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22</xdr:col>
                <xdr:colOff>68580</xdr:colOff>
                <xdr:row>1</xdr:row>
                <xdr:rowOff>22860</xdr:rowOff>
              </from>
              <to>
                <xdr:col>23</xdr:col>
                <xdr:colOff>480060</xdr:colOff>
                <xdr:row>3</xdr:row>
                <xdr:rowOff>68580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23</xdr:col>
                <xdr:colOff>266700</xdr:colOff>
                <xdr:row>2</xdr:row>
                <xdr:rowOff>167640</xdr:rowOff>
              </from>
              <to>
                <xdr:col>26</xdr:col>
                <xdr:colOff>15240</xdr:colOff>
                <xdr:row>4</xdr:row>
                <xdr:rowOff>190500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22</xdr:col>
                <xdr:colOff>533400</xdr:colOff>
                <xdr:row>11</xdr:row>
                <xdr:rowOff>190500</xdr:rowOff>
              </from>
              <to>
                <xdr:col>25</xdr:col>
                <xdr:colOff>182880</xdr:colOff>
                <xdr:row>15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3" r:id="rId14">
          <objectPr defaultSize="0" autoPict="0" r:id="rId15">
            <anchor moveWithCells="1" sizeWithCells="1">
              <from>
                <xdr:col>27</xdr:col>
                <xdr:colOff>129540</xdr:colOff>
                <xdr:row>18</xdr:row>
                <xdr:rowOff>220980</xdr:rowOff>
              </from>
              <to>
                <xdr:col>28</xdr:col>
                <xdr:colOff>594360</xdr:colOff>
                <xdr:row>18</xdr:row>
                <xdr:rowOff>533400</xdr:rowOff>
              </to>
            </anchor>
          </objectPr>
        </oleObject>
      </mc:Choice>
      <mc:Fallback>
        <oleObject progId="Equation.3" shapeId="1033" r:id="rId14"/>
      </mc:Fallback>
    </mc:AlternateContent>
    <mc:AlternateContent xmlns:mc="http://schemas.openxmlformats.org/markup-compatibility/2006">
      <mc:Choice Requires="x14">
        <oleObject progId="Equation.3" shapeId="1032" r:id="rId16">
          <objectPr defaultSize="0" autoPict="0" r:id="rId17">
            <anchor moveWithCells="1" sizeWithCells="1">
              <from>
                <xdr:col>29</xdr:col>
                <xdr:colOff>182880</xdr:colOff>
                <xdr:row>18</xdr:row>
                <xdr:rowOff>38100</xdr:rowOff>
              </from>
              <to>
                <xdr:col>30</xdr:col>
                <xdr:colOff>518160</xdr:colOff>
                <xdr:row>18</xdr:row>
                <xdr:rowOff>510540</xdr:rowOff>
              </to>
            </anchor>
          </objectPr>
        </oleObject>
      </mc:Choice>
      <mc:Fallback>
        <oleObject progId="Equation.3" shapeId="1032" r:id="rId16"/>
      </mc:Fallback>
    </mc:AlternateContent>
    <mc:AlternateContent xmlns:mc="http://schemas.openxmlformats.org/markup-compatibility/2006">
      <mc:Choice Requires="x14">
        <oleObject progId="Equation.3" shapeId="1031" r:id="rId18">
          <objectPr defaultSize="0" autoPict="0" r:id="rId19">
            <anchor moveWithCells="1" sizeWithCells="1">
              <from>
                <xdr:col>45</xdr:col>
                <xdr:colOff>0</xdr:colOff>
                <xdr:row>16</xdr:row>
                <xdr:rowOff>0</xdr:rowOff>
              </from>
              <to>
                <xdr:col>45</xdr:col>
                <xdr:colOff>3299460</xdr:colOff>
                <xdr:row>17</xdr:row>
                <xdr:rowOff>137160</xdr:rowOff>
              </to>
            </anchor>
          </objectPr>
        </oleObject>
      </mc:Choice>
      <mc:Fallback>
        <oleObject progId="Equation.3" shapeId="1031" r:id="rId18"/>
      </mc:Fallback>
    </mc:AlternateContent>
    <mc:AlternateContent xmlns:mc="http://schemas.openxmlformats.org/markup-compatibility/2006">
      <mc:Choice Requires="x14">
        <oleObject progId="Equation.3" shapeId="1030" r:id="rId20">
          <objectPr defaultSize="0" autoPict="0" r:id="rId21">
            <anchor moveWithCells="1" sizeWithCells="1">
              <from>
                <xdr:col>45</xdr:col>
                <xdr:colOff>0</xdr:colOff>
                <xdr:row>18</xdr:row>
                <xdr:rowOff>0</xdr:rowOff>
              </from>
              <to>
                <xdr:col>46</xdr:col>
                <xdr:colOff>38100</xdr:colOff>
                <xdr:row>19</xdr:row>
                <xdr:rowOff>167640</xdr:rowOff>
              </to>
            </anchor>
          </objectPr>
        </oleObject>
      </mc:Choice>
      <mc:Fallback>
        <oleObject progId="Equation.3" shapeId="1030" r:id="rId20"/>
      </mc:Fallback>
    </mc:AlternateContent>
    <mc:AlternateContent xmlns:mc="http://schemas.openxmlformats.org/markup-compatibility/2006">
      <mc:Choice Requires="x14">
        <oleObject progId="Equation.3" shapeId="1035" r:id="rId22">
          <objectPr defaultSize="0" autoPict="0" r:id="rId15">
            <anchor moveWithCells="1" sizeWithCells="1">
              <from>
                <xdr:col>42</xdr:col>
                <xdr:colOff>213360</xdr:colOff>
                <xdr:row>10</xdr:row>
                <xdr:rowOff>175260</xdr:rowOff>
              </from>
              <to>
                <xdr:col>44</xdr:col>
                <xdr:colOff>274320</xdr:colOff>
                <xdr:row>12</xdr:row>
                <xdr:rowOff>99060</xdr:rowOff>
              </to>
            </anchor>
          </objectPr>
        </oleObject>
      </mc:Choice>
      <mc:Fallback>
        <oleObject progId="Equation.3" shapeId="1035" r:id="rId22"/>
      </mc:Fallback>
    </mc:AlternateContent>
    <mc:AlternateContent xmlns:mc="http://schemas.openxmlformats.org/markup-compatibility/2006">
      <mc:Choice Requires="x14">
        <oleObject progId="Equation.3" shapeId="1036" r:id="rId23">
          <objectPr defaultSize="0" autoPict="0" r:id="rId17">
            <anchor moveWithCells="1" sizeWithCells="1">
              <from>
                <xdr:col>42</xdr:col>
                <xdr:colOff>304800</xdr:colOff>
                <xdr:row>12</xdr:row>
                <xdr:rowOff>45720</xdr:rowOff>
              </from>
              <to>
                <xdr:col>44</xdr:col>
                <xdr:colOff>228600</xdr:colOff>
                <xdr:row>14</xdr:row>
                <xdr:rowOff>137160</xdr:rowOff>
              </to>
            </anchor>
          </objectPr>
        </oleObject>
      </mc:Choice>
      <mc:Fallback>
        <oleObject progId="Equation.3" shapeId="1036" r:id="rId2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73" workbookViewId="0">
      <selection activeCell="G32" sqref="G32"/>
    </sheetView>
  </sheetViews>
  <sheetFormatPr defaultRowHeight="14.4" x14ac:dyDescent="0.3"/>
  <cols>
    <col min="16" max="16" width="2.77734375" style="141" customWidth="1"/>
  </cols>
  <sheetData>
    <row r="1" spans="1:32" x14ac:dyDescent="0.3">
      <c r="A1" s="106" t="s">
        <v>143</v>
      </c>
      <c r="C1" t="s">
        <v>157</v>
      </c>
      <c r="G1" s="7" t="s">
        <v>158</v>
      </c>
      <c r="N1" s="113" t="s">
        <v>161</v>
      </c>
      <c r="T1" s="6"/>
      <c r="U1" s="6"/>
      <c r="V1" s="6"/>
      <c r="W1" s="113" t="s">
        <v>161</v>
      </c>
      <c r="X1" s="6"/>
      <c r="Z1" s="113" t="s">
        <v>161</v>
      </c>
      <c r="AA1" s="6"/>
    </row>
    <row r="2" spans="1:32" x14ac:dyDescent="0.3">
      <c r="A2" s="83" t="s">
        <v>144</v>
      </c>
      <c r="C2" s="14"/>
      <c r="D2" s="14"/>
      <c r="E2" s="14"/>
      <c r="F2" s="14"/>
      <c r="G2" s="14"/>
      <c r="H2" s="14"/>
      <c r="K2" s="111" t="s">
        <v>163</v>
      </c>
      <c r="N2" s="107">
        <f>AVERAGE(N10:N40)*2</f>
        <v>8.2209677419354854</v>
      </c>
      <c r="T2" s="111" t="s">
        <v>163</v>
      </c>
      <c r="U2" s="6"/>
      <c r="V2" s="6"/>
      <c r="W2" s="107">
        <f>AVERAGE(W10:W56)*2</f>
        <v>6.9122340425531927</v>
      </c>
      <c r="X2" s="6"/>
      <c r="Z2" s="107">
        <f>AVERAGE(W10:W37)*2</f>
        <v>6.7276785714285721</v>
      </c>
      <c r="AA2" s="6"/>
    </row>
    <row r="3" spans="1:32" x14ac:dyDescent="0.3">
      <c r="A3" t="s">
        <v>172</v>
      </c>
      <c r="C3" s="14"/>
      <c r="D3" s="14"/>
      <c r="E3" s="14"/>
      <c r="F3" s="14"/>
      <c r="G3" s="14"/>
      <c r="H3" s="14"/>
      <c r="K3" s="109">
        <v>40</v>
      </c>
      <c r="N3" s="113" t="s">
        <v>162</v>
      </c>
      <c r="O3" s="113" t="s">
        <v>170</v>
      </c>
      <c r="T3" s="109">
        <v>40</v>
      </c>
      <c r="U3" s="6"/>
      <c r="V3" s="6"/>
      <c r="W3" s="113" t="s">
        <v>162</v>
      </c>
      <c r="X3" s="117" t="s">
        <v>170</v>
      </c>
      <c r="Z3" s="113" t="s">
        <v>162</v>
      </c>
      <c r="AA3" s="113" t="s">
        <v>170</v>
      </c>
    </row>
    <row r="4" spans="1:32" x14ac:dyDescent="0.3">
      <c r="C4" s="14"/>
      <c r="D4" s="14"/>
      <c r="E4" s="14"/>
      <c r="F4" s="14"/>
      <c r="G4" s="14"/>
      <c r="H4" s="14"/>
      <c r="K4" s="111" t="s">
        <v>164</v>
      </c>
      <c r="N4" s="9">
        <f>COUNT(N10:N40)</f>
        <v>31</v>
      </c>
      <c r="O4" s="107">
        <f>SUM(O10:O40)</f>
        <v>1941.5494203128876</v>
      </c>
      <c r="T4" s="111" t="s">
        <v>164</v>
      </c>
      <c r="U4" s="6"/>
      <c r="V4" s="6"/>
      <c r="W4" s="9">
        <f>COUNT(W10:W56)</f>
        <v>47</v>
      </c>
      <c r="X4" s="116">
        <f>SUM(X10:X56)</f>
        <v>2043.3807100620361</v>
      </c>
      <c r="Z4" s="9">
        <f>COUNT(W10:W37)</f>
        <v>28</v>
      </c>
      <c r="AA4" s="107">
        <f>SUM(X10:X37)</f>
        <v>1156.0771349637685</v>
      </c>
    </row>
    <row r="5" spans="1:32" x14ac:dyDescent="0.3">
      <c r="C5" s="14" t="s">
        <v>159</v>
      </c>
      <c r="D5" s="14"/>
      <c r="E5" s="14"/>
      <c r="G5" s="14" t="s">
        <v>168</v>
      </c>
      <c r="H5" s="14"/>
      <c r="K5" s="110">
        <f>PI()*K3^2</f>
        <v>5026.5482457436692</v>
      </c>
      <c r="N5" s="113" t="s">
        <v>166</v>
      </c>
      <c r="O5" s="113" t="s">
        <v>171</v>
      </c>
      <c r="T5" s="110">
        <f>PI()*T3^2</f>
        <v>5026.5482457436692</v>
      </c>
      <c r="U5" s="6"/>
      <c r="V5" s="6"/>
      <c r="W5" s="113" t="s">
        <v>166</v>
      </c>
      <c r="X5" s="117" t="s">
        <v>171</v>
      </c>
      <c r="Z5" s="113" t="s">
        <v>166</v>
      </c>
      <c r="AA5" s="113" t="s">
        <v>171</v>
      </c>
    </row>
    <row r="6" spans="1:32" s="6" customFormat="1" x14ac:dyDescent="0.3">
      <c r="C6" s="14"/>
      <c r="D6" s="14"/>
      <c r="E6" s="14"/>
      <c r="F6" s="14"/>
      <c r="G6" s="14"/>
      <c r="H6" s="14"/>
      <c r="K6" s="112" t="s">
        <v>165</v>
      </c>
      <c r="N6" s="138">
        <f>N4*K7</f>
        <v>61.672540448109444</v>
      </c>
      <c r="O6" s="12">
        <f>O4/K5*100</f>
        <v>38.625898437499998</v>
      </c>
      <c r="P6" s="141"/>
      <c r="T6" s="112" t="s">
        <v>165</v>
      </c>
      <c r="W6" s="12">
        <f>W4*T7</f>
        <v>93.503529066488511</v>
      </c>
      <c r="X6" s="118">
        <f>X4/T5*100</f>
        <v>40.651767578125003</v>
      </c>
      <c r="Z6" s="12">
        <f>Z4*T7</f>
        <v>55.704230082163363</v>
      </c>
      <c r="AA6" s="12">
        <f>AA4/T5*100</f>
        <v>22.999423828124996</v>
      </c>
    </row>
    <row r="7" spans="1:32" s="6" customFormat="1" x14ac:dyDescent="0.3">
      <c r="A7" t="s">
        <v>173</v>
      </c>
      <c r="C7" s="14"/>
      <c r="D7" s="14"/>
      <c r="E7" s="14"/>
      <c r="F7" s="14"/>
      <c r="G7" s="14"/>
      <c r="H7" s="14"/>
      <c r="K7" s="110">
        <f>10000/K5</f>
        <v>1.9894367886486917</v>
      </c>
      <c r="M7" s="117" t="s">
        <v>167</v>
      </c>
      <c r="N7" s="139">
        <f>100/(N2*SQRT(N6))</f>
        <v>1.5489276650315977</v>
      </c>
      <c r="P7" s="141"/>
      <c r="Q7" t="s">
        <v>175</v>
      </c>
      <c r="T7" s="110">
        <f>10000/T5</f>
        <v>1.9894367886486917</v>
      </c>
      <c r="V7" s="114" t="s">
        <v>167</v>
      </c>
      <c r="W7" s="115">
        <f>100/(W2*SQRT(W6))</f>
        <v>1.496123911899524</v>
      </c>
    </row>
    <row r="9" spans="1:32" ht="26.4" x14ac:dyDescent="0.3">
      <c r="A9" s="137" t="s">
        <v>0</v>
      </c>
      <c r="B9" s="137" t="s">
        <v>190</v>
      </c>
      <c r="C9" s="137" t="s">
        <v>27</v>
      </c>
      <c r="D9" s="137" t="s">
        <v>145</v>
      </c>
      <c r="E9" s="137" t="s">
        <v>146</v>
      </c>
      <c r="F9" s="137" t="s">
        <v>147</v>
      </c>
      <c r="G9" s="137" t="s">
        <v>148</v>
      </c>
      <c r="H9" s="137" t="s">
        <v>149</v>
      </c>
      <c r="I9" s="137" t="s">
        <v>150</v>
      </c>
      <c r="J9" s="137" t="s">
        <v>151</v>
      </c>
      <c r="K9" s="137" t="s">
        <v>122</v>
      </c>
      <c r="L9" s="137" t="s">
        <v>152</v>
      </c>
      <c r="M9" s="137" t="s">
        <v>153</v>
      </c>
      <c r="N9" s="137" t="s">
        <v>160</v>
      </c>
      <c r="O9" s="137" t="s">
        <v>169</v>
      </c>
      <c r="Q9" s="137" t="s">
        <v>0</v>
      </c>
      <c r="R9" s="137" t="s">
        <v>190</v>
      </c>
      <c r="S9" s="137" t="s">
        <v>151</v>
      </c>
      <c r="T9" s="137" t="s">
        <v>122</v>
      </c>
      <c r="U9" s="137" t="s">
        <v>152</v>
      </c>
      <c r="V9" s="137" t="s">
        <v>153</v>
      </c>
      <c r="W9" s="137" t="s">
        <v>160</v>
      </c>
      <c r="X9" s="137" t="s">
        <v>169</v>
      </c>
      <c r="Z9" s="246" t="s">
        <v>191</v>
      </c>
      <c r="AA9" s="246"/>
      <c r="AB9" s="246"/>
      <c r="AC9" s="246"/>
    </row>
    <row r="10" spans="1:32" ht="14.4" customHeight="1" x14ac:dyDescent="0.3">
      <c r="A10" s="108">
        <v>1</v>
      </c>
      <c r="B10" s="108" t="s">
        <v>154</v>
      </c>
      <c r="C10" s="108">
        <v>25.46</v>
      </c>
      <c r="D10" s="135">
        <v>2.5</v>
      </c>
      <c r="E10" s="135">
        <v>28.2</v>
      </c>
      <c r="F10" s="108">
        <v>7.4</v>
      </c>
      <c r="G10" s="108">
        <v>2.7</v>
      </c>
      <c r="H10" s="108">
        <v>2.2000000000000002</v>
      </c>
      <c r="I10" s="108">
        <v>1.8</v>
      </c>
      <c r="J10" s="136">
        <v>3</v>
      </c>
      <c r="K10" s="136">
        <v>4.4000000000000004</v>
      </c>
      <c r="L10" s="136">
        <v>2.2999999999999998</v>
      </c>
      <c r="M10" s="136">
        <v>4.7</v>
      </c>
      <c r="N10" s="17">
        <f>AVERAGE(J10:M10)</f>
        <v>3.5999999999999996</v>
      </c>
      <c r="O10" s="116">
        <f>PI()*N10^2</f>
        <v>40.715040790523709</v>
      </c>
      <c r="Q10" s="108">
        <v>1</v>
      </c>
      <c r="R10" s="108" t="s">
        <v>154</v>
      </c>
      <c r="S10" s="136">
        <v>2.1</v>
      </c>
      <c r="T10" s="136">
        <v>4.5999999999999996</v>
      </c>
      <c r="U10" s="136">
        <v>3.9</v>
      </c>
      <c r="V10" s="136">
        <v>2.2999999999999998</v>
      </c>
      <c r="W10" s="17">
        <f>AVERAGE(S10:V10)</f>
        <v>3.2249999999999996</v>
      </c>
      <c r="X10" s="116">
        <f>PI()*W10^2</f>
        <v>32.674527092742338</v>
      </c>
      <c r="Z10" s="246"/>
      <c r="AA10" s="246"/>
      <c r="AB10" s="246"/>
      <c r="AC10" s="246"/>
      <c r="AD10" s="140"/>
      <c r="AE10" s="140"/>
      <c r="AF10" s="140"/>
    </row>
    <row r="11" spans="1:32" x14ac:dyDescent="0.3">
      <c r="A11" s="108">
        <v>2</v>
      </c>
      <c r="B11" s="108" t="s">
        <v>154</v>
      </c>
      <c r="C11" s="108">
        <v>42.02</v>
      </c>
      <c r="D11" s="135">
        <v>-1.1000000000000001</v>
      </c>
      <c r="E11" s="135">
        <v>20.5</v>
      </c>
      <c r="F11" s="108">
        <v>9.8000000000000007</v>
      </c>
      <c r="G11" s="108">
        <v>3</v>
      </c>
      <c r="H11" s="108">
        <v>3.1</v>
      </c>
      <c r="I11" s="108">
        <v>3.6</v>
      </c>
      <c r="J11" s="136">
        <v>5.2</v>
      </c>
      <c r="K11" s="136">
        <v>7.4</v>
      </c>
      <c r="L11" s="136">
        <v>4.5</v>
      </c>
      <c r="M11" s="136">
        <v>6.2</v>
      </c>
      <c r="N11" s="17">
        <f t="shared" ref="N11:N40" si="0">AVERAGE(J11:M11)</f>
        <v>5.8250000000000002</v>
      </c>
      <c r="O11" s="116">
        <f t="shared" ref="O11:O40" si="1">PI()*N11^2</f>
        <v>106.59620223171017</v>
      </c>
      <c r="Q11" s="108">
        <v>2</v>
      </c>
      <c r="R11" s="108" t="s">
        <v>154</v>
      </c>
      <c r="S11" s="136">
        <v>1.8</v>
      </c>
      <c r="T11" s="136">
        <v>3.8</v>
      </c>
      <c r="U11" s="136">
        <v>2.8</v>
      </c>
      <c r="V11" s="136">
        <v>3.9</v>
      </c>
      <c r="W11" s="17">
        <f t="shared" ref="W11:W56" si="2">AVERAGE(S11:V11)</f>
        <v>3.0749999999999997</v>
      </c>
      <c r="X11" s="116">
        <f t="shared" ref="X11:X56" si="3">PI()*W11^2</f>
        <v>29.705722035099981</v>
      </c>
      <c r="Z11" s="246"/>
      <c r="AA11" s="246"/>
      <c r="AB11" s="246"/>
      <c r="AC11" s="246"/>
      <c r="AD11" s="140"/>
      <c r="AE11" s="140"/>
      <c r="AF11" s="140"/>
    </row>
    <row r="12" spans="1:32" x14ac:dyDescent="0.3">
      <c r="A12" s="108">
        <v>3</v>
      </c>
      <c r="B12" s="108" t="s">
        <v>154</v>
      </c>
      <c r="C12" s="108">
        <v>34.06</v>
      </c>
      <c r="D12" s="135">
        <v>-13.9</v>
      </c>
      <c r="E12" s="135">
        <v>7.1</v>
      </c>
      <c r="F12" s="108">
        <v>9.3000000000000007</v>
      </c>
      <c r="G12" s="108">
        <v>3.1</v>
      </c>
      <c r="H12" s="108">
        <v>2.9</v>
      </c>
      <c r="I12" s="108">
        <v>2.2000000000000002</v>
      </c>
      <c r="J12" s="136">
        <v>4.5999999999999996</v>
      </c>
      <c r="K12" s="136">
        <v>6.2</v>
      </c>
      <c r="L12" s="136">
        <v>2.7</v>
      </c>
      <c r="M12" s="136">
        <v>3.9</v>
      </c>
      <c r="N12" s="17">
        <f t="shared" si="0"/>
        <v>4.3499999999999996</v>
      </c>
      <c r="O12" s="116">
        <f t="shared" si="1"/>
        <v>59.446786987552848</v>
      </c>
      <c r="Q12" s="108">
        <v>3</v>
      </c>
      <c r="R12" s="108" t="s">
        <v>154</v>
      </c>
      <c r="S12" s="136">
        <v>3.5</v>
      </c>
      <c r="T12" s="136">
        <v>7</v>
      </c>
      <c r="U12" s="136">
        <v>3.9</v>
      </c>
      <c r="V12" s="136">
        <v>5.3</v>
      </c>
      <c r="W12" s="17">
        <f t="shared" si="2"/>
        <v>4.9249999999999998</v>
      </c>
      <c r="X12" s="116">
        <f t="shared" si="3"/>
        <v>76.201293308228927</v>
      </c>
      <c r="Z12" s="246"/>
      <c r="AA12" s="246"/>
      <c r="AB12" s="246"/>
      <c r="AC12" s="246"/>
      <c r="AD12" s="140"/>
      <c r="AE12" s="140"/>
      <c r="AF12" s="140"/>
    </row>
    <row r="13" spans="1:32" x14ac:dyDescent="0.3">
      <c r="A13" s="108">
        <v>4</v>
      </c>
      <c r="B13" s="108" t="s">
        <v>154</v>
      </c>
      <c r="C13" s="108">
        <v>22.6</v>
      </c>
      <c r="D13" s="135">
        <v>-6</v>
      </c>
      <c r="E13" s="135">
        <v>1.7</v>
      </c>
      <c r="F13" s="108">
        <v>7.1</v>
      </c>
      <c r="G13" s="108">
        <v>2.1</v>
      </c>
      <c r="H13" s="108">
        <v>1.6</v>
      </c>
      <c r="I13" s="108">
        <v>1.5</v>
      </c>
      <c r="J13" s="136">
        <v>1.9</v>
      </c>
      <c r="K13" s="136">
        <v>3</v>
      </c>
      <c r="L13" s="136">
        <v>3.1</v>
      </c>
      <c r="M13" s="136">
        <v>3.3</v>
      </c>
      <c r="N13" s="17">
        <f t="shared" si="0"/>
        <v>2.8250000000000002</v>
      </c>
      <c r="O13" s="116">
        <f t="shared" si="1"/>
        <v>25.071872871055046</v>
      </c>
      <c r="Q13" s="108">
        <v>4</v>
      </c>
      <c r="R13" s="108" t="s">
        <v>154</v>
      </c>
      <c r="S13" s="136">
        <v>4.4000000000000004</v>
      </c>
      <c r="T13" s="136">
        <v>1.8</v>
      </c>
      <c r="U13" s="136">
        <v>2.6</v>
      </c>
      <c r="V13" s="136">
        <v>0.8</v>
      </c>
      <c r="W13" s="17">
        <f t="shared" si="2"/>
        <v>2.4000000000000004</v>
      </c>
      <c r="X13" s="116">
        <f t="shared" si="3"/>
        <v>18.095573684677213</v>
      </c>
      <c r="Z13" s="246"/>
      <c r="AA13" s="246"/>
      <c r="AB13" s="246"/>
      <c r="AC13" s="246"/>
      <c r="AD13" s="140"/>
      <c r="AE13" s="140"/>
      <c r="AF13" s="140"/>
    </row>
    <row r="14" spans="1:32" x14ac:dyDescent="0.3">
      <c r="A14" s="108">
        <v>5</v>
      </c>
      <c r="B14" s="108" t="s">
        <v>154</v>
      </c>
      <c r="C14" s="108">
        <v>44.56</v>
      </c>
      <c r="D14" s="135">
        <v>-2.1</v>
      </c>
      <c r="E14" s="135">
        <v>-9.1999999999999993</v>
      </c>
      <c r="F14" s="108">
        <v>8.8000000000000007</v>
      </c>
      <c r="G14" s="108">
        <v>3</v>
      </c>
      <c r="H14" s="108">
        <v>1.4</v>
      </c>
      <c r="I14" s="108">
        <v>2.7</v>
      </c>
      <c r="J14" s="136">
        <v>2</v>
      </c>
      <c r="K14" s="136">
        <v>4.2</v>
      </c>
      <c r="L14" s="136">
        <v>4.0999999999999996</v>
      </c>
      <c r="M14" s="136">
        <v>5.4</v>
      </c>
      <c r="N14" s="17">
        <f t="shared" si="0"/>
        <v>3.9250000000000003</v>
      </c>
      <c r="O14" s="116">
        <f t="shared" si="1"/>
        <v>48.398198323959264</v>
      </c>
      <c r="Q14" s="108">
        <v>5</v>
      </c>
      <c r="R14" s="108" t="s">
        <v>154</v>
      </c>
      <c r="S14" s="136">
        <v>4.3</v>
      </c>
      <c r="T14" s="136">
        <v>0</v>
      </c>
      <c r="U14" s="136">
        <v>5.0999999999999996</v>
      </c>
      <c r="V14" s="136">
        <v>0</v>
      </c>
      <c r="W14" s="17">
        <f t="shared" si="2"/>
        <v>2.3499999999999996</v>
      </c>
      <c r="X14" s="116">
        <f t="shared" si="3"/>
        <v>17.349445429449627</v>
      </c>
      <c r="Z14" s="246"/>
      <c r="AA14" s="246"/>
      <c r="AB14" s="246"/>
      <c r="AC14" s="246"/>
      <c r="AD14" s="140"/>
      <c r="AE14" s="140"/>
      <c r="AF14" s="140"/>
    </row>
    <row r="15" spans="1:32" x14ac:dyDescent="0.3">
      <c r="A15" s="108">
        <v>6</v>
      </c>
      <c r="B15" s="108" t="s">
        <v>154</v>
      </c>
      <c r="C15" s="108">
        <v>44.88</v>
      </c>
      <c r="D15" s="135">
        <v>-2.4</v>
      </c>
      <c r="E15" s="135">
        <v>-19.399999999999999</v>
      </c>
      <c r="F15" s="108">
        <v>7.8</v>
      </c>
      <c r="G15" s="108">
        <v>2.4</v>
      </c>
      <c r="H15" s="108">
        <v>1.9</v>
      </c>
      <c r="I15" s="108">
        <v>2.4</v>
      </c>
      <c r="J15" s="136">
        <v>5</v>
      </c>
      <c r="K15" s="136">
        <v>4.9000000000000004</v>
      </c>
      <c r="L15" s="136">
        <v>5.6</v>
      </c>
      <c r="M15" s="136">
        <v>4.9000000000000004</v>
      </c>
      <c r="N15" s="17">
        <f t="shared" si="0"/>
        <v>5.0999999999999996</v>
      </c>
      <c r="O15" s="116">
        <f t="shared" si="1"/>
        <v>81.712824919870513</v>
      </c>
      <c r="Q15" s="108">
        <v>6</v>
      </c>
      <c r="R15" s="108" t="s">
        <v>154</v>
      </c>
      <c r="S15" s="136">
        <v>0</v>
      </c>
      <c r="T15" s="136">
        <v>5.4</v>
      </c>
      <c r="U15" s="136">
        <v>1.4</v>
      </c>
      <c r="V15" s="136">
        <v>4.8</v>
      </c>
      <c r="W15" s="17">
        <f t="shared" si="2"/>
        <v>2.9000000000000004</v>
      </c>
      <c r="X15" s="116">
        <f t="shared" si="3"/>
        <v>26.420794216690165</v>
      </c>
      <c r="Z15" s="246"/>
      <c r="AA15" s="246"/>
      <c r="AB15" s="246"/>
      <c r="AC15" s="246"/>
      <c r="AD15" s="140"/>
      <c r="AE15" s="140"/>
      <c r="AF15" s="140"/>
    </row>
    <row r="16" spans="1:32" x14ac:dyDescent="0.3">
      <c r="A16" s="108">
        <v>7</v>
      </c>
      <c r="B16" s="108" t="s">
        <v>154</v>
      </c>
      <c r="C16" s="108">
        <v>31.19</v>
      </c>
      <c r="D16" s="135">
        <v>6.3</v>
      </c>
      <c r="E16" s="135">
        <v>-21.9</v>
      </c>
      <c r="F16" s="108">
        <v>10.4</v>
      </c>
      <c r="G16" s="108">
        <v>4.2</v>
      </c>
      <c r="H16" s="108">
        <v>5.0999999999999996</v>
      </c>
      <c r="I16" s="108">
        <v>2.7</v>
      </c>
      <c r="J16" s="136">
        <v>2.5</v>
      </c>
      <c r="K16" s="136">
        <v>6.5</v>
      </c>
      <c r="L16" s="136">
        <v>2.2000000000000002</v>
      </c>
      <c r="M16" s="136">
        <v>4.2</v>
      </c>
      <c r="N16" s="17">
        <f t="shared" si="0"/>
        <v>3.8499999999999996</v>
      </c>
      <c r="O16" s="116">
        <f t="shared" si="1"/>
        <v>46.566257107834701</v>
      </c>
      <c r="Q16" s="108">
        <v>7</v>
      </c>
      <c r="R16" s="108" t="s">
        <v>154</v>
      </c>
      <c r="S16" s="136">
        <v>1.1000000000000001</v>
      </c>
      <c r="T16" s="136">
        <v>1.5</v>
      </c>
      <c r="U16" s="136">
        <v>1.5</v>
      </c>
      <c r="V16" s="136">
        <v>1</v>
      </c>
      <c r="W16" s="17">
        <f t="shared" si="2"/>
        <v>1.2749999999999999</v>
      </c>
      <c r="X16" s="116">
        <f t="shared" si="3"/>
        <v>5.1070515574919071</v>
      </c>
      <c r="Z16" s="246"/>
      <c r="AA16" s="246"/>
      <c r="AB16" s="246"/>
      <c r="AC16" s="246"/>
      <c r="AD16" s="140"/>
      <c r="AE16" s="140"/>
      <c r="AF16" s="140"/>
    </row>
    <row r="17" spans="1:32" x14ac:dyDescent="0.3">
      <c r="A17" s="108">
        <v>8</v>
      </c>
      <c r="B17" s="108" t="s">
        <v>154</v>
      </c>
      <c r="C17" s="108">
        <v>60.8</v>
      </c>
      <c r="D17" s="135">
        <v>18.5</v>
      </c>
      <c r="E17" s="135">
        <v>-6</v>
      </c>
      <c r="F17" s="108">
        <v>14</v>
      </c>
      <c r="G17" s="108">
        <v>2.4</v>
      </c>
      <c r="H17" s="108">
        <v>2.2000000000000002</v>
      </c>
      <c r="I17" s="108">
        <v>3.4</v>
      </c>
      <c r="J17" s="136">
        <v>6.6</v>
      </c>
      <c r="K17" s="136">
        <v>9.1</v>
      </c>
      <c r="L17" s="136">
        <v>8.3000000000000007</v>
      </c>
      <c r="M17" s="136">
        <v>7.8</v>
      </c>
      <c r="N17" s="17">
        <f t="shared" si="0"/>
        <v>7.95</v>
      </c>
      <c r="O17" s="116">
        <f t="shared" si="1"/>
        <v>198.5565096885089</v>
      </c>
      <c r="Q17" s="108">
        <v>8</v>
      </c>
      <c r="R17" s="108" t="s">
        <v>154</v>
      </c>
      <c r="S17" s="136">
        <v>5.4</v>
      </c>
      <c r="T17" s="136">
        <v>5.6</v>
      </c>
      <c r="U17" s="136">
        <v>3.1</v>
      </c>
      <c r="V17" s="136">
        <v>4.0999999999999996</v>
      </c>
      <c r="W17" s="17">
        <f t="shared" si="2"/>
        <v>4.55</v>
      </c>
      <c r="X17" s="116">
        <f t="shared" si="3"/>
        <v>65.038821910942687</v>
      </c>
      <c r="Z17" s="246"/>
      <c r="AA17" s="246"/>
      <c r="AB17" s="246"/>
      <c r="AC17" s="246"/>
      <c r="AD17" s="140"/>
      <c r="AE17" s="140"/>
      <c r="AF17" s="140"/>
    </row>
    <row r="18" spans="1:32" x14ac:dyDescent="0.3">
      <c r="A18" s="108">
        <v>9</v>
      </c>
      <c r="B18" s="108" t="s">
        <v>154</v>
      </c>
      <c r="C18" s="108">
        <v>27.69</v>
      </c>
      <c r="D18" s="135">
        <v>-16.3</v>
      </c>
      <c r="E18" s="135">
        <v>-16.3</v>
      </c>
      <c r="F18" s="108">
        <v>8.4</v>
      </c>
      <c r="G18" s="108">
        <v>3.3</v>
      </c>
      <c r="H18" s="108">
        <v>2.5</v>
      </c>
      <c r="I18" s="108">
        <v>2.2000000000000002</v>
      </c>
      <c r="J18" s="136">
        <v>2.4</v>
      </c>
      <c r="K18" s="136">
        <v>4.2</v>
      </c>
      <c r="L18" s="136">
        <v>5.0999999999999996</v>
      </c>
      <c r="M18" s="136">
        <v>3.8</v>
      </c>
      <c r="N18" s="17">
        <f t="shared" si="0"/>
        <v>3.875</v>
      </c>
      <c r="O18" s="116">
        <f t="shared" si="1"/>
        <v>47.172977189059239</v>
      </c>
      <c r="Q18" s="108">
        <v>9</v>
      </c>
      <c r="R18" s="108" t="s">
        <v>154</v>
      </c>
      <c r="S18" s="136">
        <v>5.5</v>
      </c>
      <c r="T18" s="136">
        <v>3.6</v>
      </c>
      <c r="U18" s="136">
        <v>0</v>
      </c>
      <c r="V18" s="136">
        <v>7.2</v>
      </c>
      <c r="W18" s="17">
        <f t="shared" si="2"/>
        <v>4.0750000000000002</v>
      </c>
      <c r="X18" s="116">
        <f t="shared" si="3"/>
        <v>52.168109508267008</v>
      </c>
      <c r="Z18" s="246"/>
      <c r="AA18" s="246"/>
      <c r="AB18" s="246"/>
      <c r="AC18" s="246"/>
      <c r="AD18" s="140"/>
      <c r="AE18" s="140"/>
      <c r="AF18" s="140"/>
    </row>
    <row r="19" spans="1:32" x14ac:dyDescent="0.3">
      <c r="A19" s="108">
        <v>10</v>
      </c>
      <c r="B19" s="108" t="s">
        <v>154</v>
      </c>
      <c r="C19" s="108">
        <v>27.37</v>
      </c>
      <c r="D19" s="135">
        <v>-18.899999999999999</v>
      </c>
      <c r="E19" s="135">
        <v>-21</v>
      </c>
      <c r="F19" s="108">
        <v>7.2</v>
      </c>
      <c r="G19" s="108">
        <v>2.8</v>
      </c>
      <c r="H19" s="108">
        <v>1.6</v>
      </c>
      <c r="I19" s="108">
        <v>2</v>
      </c>
      <c r="J19" s="136">
        <v>2.9</v>
      </c>
      <c r="K19" s="136">
        <v>5.5</v>
      </c>
      <c r="L19" s="136">
        <v>2.6</v>
      </c>
      <c r="M19" s="136">
        <v>3.8</v>
      </c>
      <c r="N19" s="17">
        <f t="shared" si="0"/>
        <v>3.7</v>
      </c>
      <c r="O19" s="116">
        <f t="shared" si="1"/>
        <v>43.008403427644275</v>
      </c>
      <c r="Q19" s="108">
        <v>10</v>
      </c>
      <c r="R19" s="108" t="s">
        <v>154</v>
      </c>
      <c r="S19" s="136">
        <v>6.2</v>
      </c>
      <c r="T19" s="136">
        <v>0</v>
      </c>
      <c r="U19" s="136">
        <v>5.0999999999999996</v>
      </c>
      <c r="V19" s="136">
        <v>0</v>
      </c>
      <c r="W19" s="17">
        <f t="shared" si="2"/>
        <v>2.8250000000000002</v>
      </c>
      <c r="X19" s="116">
        <f t="shared" si="3"/>
        <v>25.071872871055046</v>
      </c>
      <c r="Z19" s="246"/>
      <c r="AA19" s="246"/>
      <c r="AB19" s="246"/>
      <c r="AC19" s="246"/>
      <c r="AD19" s="140"/>
      <c r="AE19" s="140"/>
      <c r="AF19" s="140"/>
    </row>
    <row r="20" spans="1:32" x14ac:dyDescent="0.3">
      <c r="A20" s="108">
        <v>11</v>
      </c>
      <c r="B20" s="108" t="s">
        <v>154</v>
      </c>
      <c r="C20" s="108">
        <v>48.38</v>
      </c>
      <c r="D20" s="135">
        <v>-39.5</v>
      </c>
      <c r="E20" s="135">
        <v>-2.8</v>
      </c>
      <c r="F20" s="108">
        <v>8.5</v>
      </c>
      <c r="G20" s="108">
        <v>3.5</v>
      </c>
      <c r="H20" s="108">
        <v>2</v>
      </c>
      <c r="I20" s="108">
        <v>2.2999999999999998</v>
      </c>
      <c r="J20" s="136">
        <v>5.4</v>
      </c>
      <c r="K20" s="136">
        <v>3.6</v>
      </c>
      <c r="L20" s="136">
        <v>2.8</v>
      </c>
      <c r="M20" s="136">
        <v>4.3</v>
      </c>
      <c r="N20" s="17">
        <f t="shared" si="0"/>
        <v>4.0250000000000004</v>
      </c>
      <c r="O20" s="116">
        <f t="shared" si="1"/>
        <v>50.895764483563148</v>
      </c>
      <c r="Q20" s="108">
        <v>11</v>
      </c>
      <c r="R20" s="108" t="s">
        <v>154</v>
      </c>
      <c r="S20" s="136">
        <v>2.1</v>
      </c>
      <c r="T20" s="136">
        <v>4.4000000000000004</v>
      </c>
      <c r="U20" s="136">
        <v>5.5</v>
      </c>
      <c r="V20" s="136">
        <v>0</v>
      </c>
      <c r="W20" s="17">
        <f t="shared" si="2"/>
        <v>3</v>
      </c>
      <c r="X20" s="116">
        <f t="shared" si="3"/>
        <v>28.274333882308138</v>
      </c>
      <c r="Z20" s="246"/>
      <c r="AA20" s="246"/>
      <c r="AB20" s="246"/>
      <c r="AC20" s="246"/>
      <c r="AD20" s="140"/>
      <c r="AE20" s="140"/>
      <c r="AF20" s="140"/>
    </row>
    <row r="21" spans="1:32" x14ac:dyDescent="0.3">
      <c r="A21" s="108">
        <v>12</v>
      </c>
      <c r="B21" s="108" t="s">
        <v>154</v>
      </c>
      <c r="C21" s="108">
        <v>52.84</v>
      </c>
      <c r="D21" s="135">
        <v>-37.700000000000003</v>
      </c>
      <c r="E21" s="135">
        <v>-20</v>
      </c>
      <c r="F21" s="108">
        <v>11.3</v>
      </c>
      <c r="G21" s="108">
        <v>3.7</v>
      </c>
      <c r="H21" s="108">
        <v>2.5</v>
      </c>
      <c r="I21" s="108">
        <v>3.5</v>
      </c>
      <c r="J21" s="136">
        <v>5.6</v>
      </c>
      <c r="K21" s="136">
        <v>5.7</v>
      </c>
      <c r="L21" s="136">
        <v>8.1</v>
      </c>
      <c r="M21" s="136">
        <v>4.7</v>
      </c>
      <c r="N21" s="17">
        <f t="shared" si="0"/>
        <v>6.0249999999999995</v>
      </c>
      <c r="O21" s="116">
        <f t="shared" si="1"/>
        <v>114.04177682071797</v>
      </c>
      <c r="Q21" s="108">
        <v>12</v>
      </c>
      <c r="R21" s="108" t="s">
        <v>154</v>
      </c>
      <c r="S21" s="136">
        <v>4.7</v>
      </c>
      <c r="T21" s="136">
        <v>8.6999999999999993</v>
      </c>
      <c r="U21" s="136">
        <v>4.2</v>
      </c>
      <c r="V21" s="136">
        <v>6.7</v>
      </c>
      <c r="W21" s="17">
        <f t="shared" si="2"/>
        <v>6.0749999999999993</v>
      </c>
      <c r="X21" s="116">
        <f t="shared" si="3"/>
        <v>115.94244037613979</v>
      </c>
      <c r="Z21" s="246"/>
      <c r="AA21" s="246"/>
      <c r="AB21" s="246"/>
      <c r="AC21" s="246"/>
      <c r="AD21" s="140"/>
      <c r="AE21" s="140"/>
      <c r="AF21" s="140"/>
    </row>
    <row r="22" spans="1:32" x14ac:dyDescent="0.3">
      <c r="A22" s="108">
        <v>13</v>
      </c>
      <c r="B22" s="108" t="s">
        <v>154</v>
      </c>
      <c r="C22" s="108">
        <v>42.65</v>
      </c>
      <c r="D22" s="135">
        <v>-26.9</v>
      </c>
      <c r="E22" s="135">
        <v>-27.8</v>
      </c>
      <c r="F22" s="108">
        <v>10.3</v>
      </c>
      <c r="G22" s="108">
        <v>3.9</v>
      </c>
      <c r="H22" s="108">
        <v>2.7</v>
      </c>
      <c r="I22" s="108">
        <v>2</v>
      </c>
      <c r="J22" s="136">
        <v>3.7</v>
      </c>
      <c r="K22" s="136">
        <v>6.1</v>
      </c>
      <c r="L22" s="136">
        <v>4.7</v>
      </c>
      <c r="M22" s="136">
        <v>2</v>
      </c>
      <c r="N22" s="17">
        <f t="shared" si="0"/>
        <v>4.125</v>
      </c>
      <c r="O22" s="116">
        <f t="shared" si="1"/>
        <v>53.456162496238825</v>
      </c>
      <c r="Q22" s="108">
        <v>13</v>
      </c>
      <c r="R22" s="108" t="s">
        <v>154</v>
      </c>
      <c r="S22" s="136">
        <v>3.9</v>
      </c>
      <c r="T22" s="136">
        <v>6.4</v>
      </c>
      <c r="U22" s="136">
        <v>1.9</v>
      </c>
      <c r="V22" s="136">
        <v>3.3</v>
      </c>
      <c r="W22" s="17">
        <f t="shared" si="2"/>
        <v>3.875</v>
      </c>
      <c r="X22" s="116">
        <f t="shared" si="3"/>
        <v>47.172977189059239</v>
      </c>
      <c r="Z22" s="246"/>
      <c r="AA22" s="246"/>
      <c r="AB22" s="246"/>
      <c r="AC22" s="246"/>
      <c r="AD22" s="140"/>
      <c r="AE22" s="140"/>
      <c r="AF22" s="140"/>
    </row>
    <row r="23" spans="1:32" x14ac:dyDescent="0.3">
      <c r="A23" s="108">
        <v>14</v>
      </c>
      <c r="B23" s="108" t="s">
        <v>154</v>
      </c>
      <c r="C23" s="108">
        <v>54.43</v>
      </c>
      <c r="D23" s="135">
        <v>-19.7</v>
      </c>
      <c r="E23" s="135">
        <v>-42.1</v>
      </c>
      <c r="F23" s="108">
        <v>10.9</v>
      </c>
      <c r="G23" s="108">
        <v>3.6</v>
      </c>
      <c r="H23" s="108">
        <v>1.6</v>
      </c>
      <c r="I23" s="108">
        <v>2.5</v>
      </c>
      <c r="J23" s="136">
        <v>5.0999999999999996</v>
      </c>
      <c r="K23" s="136">
        <v>7.1</v>
      </c>
      <c r="L23" s="136">
        <v>6.7</v>
      </c>
      <c r="M23" s="136">
        <v>5.5</v>
      </c>
      <c r="N23" s="17">
        <f t="shared" si="0"/>
        <v>6.1</v>
      </c>
      <c r="O23" s="116">
        <f t="shared" si="1"/>
        <v>116.89866264007618</v>
      </c>
      <c r="Q23" s="108">
        <v>14</v>
      </c>
      <c r="R23" s="108" t="s">
        <v>154</v>
      </c>
      <c r="S23" s="136">
        <v>2.4</v>
      </c>
      <c r="T23" s="136">
        <v>5.5</v>
      </c>
      <c r="U23" s="136">
        <v>5.3</v>
      </c>
      <c r="V23" s="136">
        <v>3.5</v>
      </c>
      <c r="W23" s="17">
        <f t="shared" si="2"/>
        <v>4.1749999999999998</v>
      </c>
      <c r="X23" s="116">
        <f t="shared" si="3"/>
        <v>54.759923447478585</v>
      </c>
      <c r="Z23" s="246"/>
      <c r="AA23" s="246"/>
      <c r="AB23" s="246"/>
      <c r="AC23" s="246"/>
      <c r="AD23" s="140"/>
      <c r="AE23" s="140"/>
      <c r="AF23" s="140"/>
    </row>
    <row r="24" spans="1:32" x14ac:dyDescent="0.3">
      <c r="A24" s="108">
        <v>15</v>
      </c>
      <c r="B24" s="108" t="s">
        <v>154</v>
      </c>
      <c r="C24" s="108">
        <v>58.25</v>
      </c>
      <c r="D24" s="135">
        <v>2.6</v>
      </c>
      <c r="E24" s="135">
        <v>-36.799999999999997</v>
      </c>
      <c r="F24" s="108">
        <v>7.7</v>
      </c>
      <c r="G24" s="108">
        <v>1.8</v>
      </c>
      <c r="H24" s="108">
        <v>1.6</v>
      </c>
      <c r="I24" s="108">
        <v>3.6</v>
      </c>
      <c r="J24" s="136">
        <v>6.7</v>
      </c>
      <c r="K24" s="136">
        <v>7.1</v>
      </c>
      <c r="L24" s="136">
        <v>7.2</v>
      </c>
      <c r="M24" s="136">
        <v>6.6</v>
      </c>
      <c r="N24" s="17">
        <f t="shared" si="0"/>
        <v>6.9</v>
      </c>
      <c r="O24" s="116">
        <f t="shared" si="1"/>
        <v>149.57122623741006</v>
      </c>
      <c r="Q24" s="108">
        <v>15</v>
      </c>
      <c r="R24" s="108" t="s">
        <v>154</v>
      </c>
      <c r="S24" s="136">
        <v>2.4</v>
      </c>
      <c r="T24" s="136">
        <v>2.2000000000000002</v>
      </c>
      <c r="U24" s="136">
        <v>2.2999999999999998</v>
      </c>
      <c r="V24" s="136">
        <v>1.9</v>
      </c>
      <c r="W24" s="17">
        <f t="shared" si="2"/>
        <v>2.1999999999999997</v>
      </c>
      <c r="X24" s="116">
        <f t="shared" si="3"/>
        <v>15.205308443374596</v>
      </c>
      <c r="Z24" s="246"/>
      <c r="AA24" s="246"/>
      <c r="AB24" s="246"/>
      <c r="AC24" s="246"/>
      <c r="AD24" s="140"/>
      <c r="AE24" s="140"/>
      <c r="AF24" s="140"/>
    </row>
    <row r="25" spans="1:32" x14ac:dyDescent="0.3">
      <c r="A25" s="108">
        <v>16</v>
      </c>
      <c r="B25" s="108" t="s">
        <v>154</v>
      </c>
      <c r="C25" s="108">
        <v>47.43</v>
      </c>
      <c r="D25" s="135">
        <v>7.5</v>
      </c>
      <c r="E25" s="135">
        <v>-53.5</v>
      </c>
      <c r="F25" s="108">
        <v>6.5</v>
      </c>
      <c r="G25" s="108">
        <v>3.4</v>
      </c>
      <c r="H25" s="108">
        <v>2.6</v>
      </c>
      <c r="I25" s="108">
        <v>2.9</v>
      </c>
      <c r="J25" s="136">
        <v>5.0999999999999996</v>
      </c>
      <c r="K25" s="136">
        <v>5.5</v>
      </c>
      <c r="L25" s="136">
        <v>4.3</v>
      </c>
      <c r="M25" s="136">
        <v>5.4</v>
      </c>
      <c r="N25" s="17">
        <f t="shared" si="0"/>
        <v>5.0749999999999993</v>
      </c>
      <c r="O25" s="116">
        <f t="shared" si="1"/>
        <v>80.913682288613586</v>
      </c>
      <c r="Q25" s="108">
        <v>16</v>
      </c>
      <c r="R25" s="108" t="s">
        <v>154</v>
      </c>
      <c r="S25" s="136">
        <v>5.7</v>
      </c>
      <c r="T25" s="136">
        <v>4.7</v>
      </c>
      <c r="U25" s="136">
        <v>5.5</v>
      </c>
      <c r="V25" s="136">
        <v>5.2</v>
      </c>
      <c r="W25" s="17">
        <f t="shared" si="2"/>
        <v>5.2750000000000004</v>
      </c>
      <c r="X25" s="116">
        <f t="shared" si="3"/>
        <v>87.41677908154449</v>
      </c>
      <c r="Z25" s="246"/>
      <c r="AA25" s="246"/>
      <c r="AB25" s="246"/>
      <c r="AC25" s="246"/>
      <c r="AD25" s="140"/>
      <c r="AE25" s="140"/>
      <c r="AF25" s="140"/>
    </row>
    <row r="26" spans="1:32" x14ac:dyDescent="0.3">
      <c r="A26" s="108">
        <v>17</v>
      </c>
      <c r="B26" s="108" t="s">
        <v>154</v>
      </c>
      <c r="C26" s="108">
        <v>35.97</v>
      </c>
      <c r="D26" s="135">
        <v>26.4</v>
      </c>
      <c r="E26" s="135">
        <v>-31.5</v>
      </c>
      <c r="F26" s="108">
        <v>7.4</v>
      </c>
      <c r="G26" s="108">
        <v>2.2000000000000002</v>
      </c>
      <c r="H26" s="108">
        <v>2.6</v>
      </c>
      <c r="I26" s="108">
        <v>3.1</v>
      </c>
      <c r="J26" s="136">
        <v>5.0999999999999996</v>
      </c>
      <c r="K26" s="136">
        <v>4.5</v>
      </c>
      <c r="L26" s="136">
        <v>5.7</v>
      </c>
      <c r="M26" s="136">
        <v>4.5</v>
      </c>
      <c r="N26" s="17">
        <f t="shared" si="0"/>
        <v>4.95</v>
      </c>
      <c r="O26" s="116">
        <f t="shared" si="1"/>
        <v>76.976873994583912</v>
      </c>
      <c r="Q26" s="108">
        <v>17</v>
      </c>
      <c r="R26" s="108" t="s">
        <v>154</v>
      </c>
      <c r="S26" s="136">
        <v>5</v>
      </c>
      <c r="T26" s="136">
        <v>4.3</v>
      </c>
      <c r="U26" s="136">
        <v>4.4000000000000004</v>
      </c>
      <c r="V26" s="136">
        <v>5.7</v>
      </c>
      <c r="W26" s="17">
        <f t="shared" si="2"/>
        <v>4.8500000000000005</v>
      </c>
      <c r="X26" s="116">
        <f t="shared" si="3"/>
        <v>73.898113194065928</v>
      </c>
      <c r="Z26" s="246"/>
      <c r="AA26" s="246"/>
      <c r="AB26" s="246"/>
      <c r="AC26" s="246"/>
      <c r="AD26" s="140"/>
      <c r="AE26" s="140"/>
      <c r="AF26" s="140"/>
    </row>
    <row r="27" spans="1:32" x14ac:dyDescent="0.3">
      <c r="A27" s="108">
        <v>18</v>
      </c>
      <c r="B27" s="108" t="s">
        <v>154</v>
      </c>
      <c r="C27" s="108">
        <v>31.83</v>
      </c>
      <c r="D27" s="135">
        <v>26.8</v>
      </c>
      <c r="E27" s="135">
        <v>-20.2</v>
      </c>
      <c r="F27" s="108">
        <v>7.4</v>
      </c>
      <c r="G27" s="108">
        <v>3.2</v>
      </c>
      <c r="H27" s="108">
        <v>3.2</v>
      </c>
      <c r="I27" s="108">
        <v>2.8</v>
      </c>
      <c r="J27" s="136">
        <v>6.1</v>
      </c>
      <c r="K27" s="136">
        <v>5.9</v>
      </c>
      <c r="L27" s="136">
        <v>5.4</v>
      </c>
      <c r="M27" s="136">
        <v>5.0999999999999996</v>
      </c>
      <c r="N27" s="17">
        <f t="shared" si="0"/>
        <v>5.625</v>
      </c>
      <c r="O27" s="116">
        <f t="shared" si="1"/>
        <v>99.401955054989543</v>
      </c>
      <c r="Q27" s="108">
        <v>18</v>
      </c>
      <c r="R27" s="108" t="s">
        <v>154</v>
      </c>
      <c r="S27" s="136">
        <v>5.6</v>
      </c>
      <c r="T27" s="136">
        <v>6.7</v>
      </c>
      <c r="U27" s="136">
        <v>5.9</v>
      </c>
      <c r="V27" s="136">
        <v>5</v>
      </c>
      <c r="W27" s="17">
        <f t="shared" si="2"/>
        <v>5.8000000000000007</v>
      </c>
      <c r="X27" s="116">
        <f t="shared" si="3"/>
        <v>105.68317686676066</v>
      </c>
      <c r="Z27" s="246"/>
      <c r="AA27" s="246"/>
      <c r="AB27" s="246"/>
      <c r="AC27" s="246"/>
      <c r="AD27" s="140"/>
      <c r="AE27" s="140"/>
      <c r="AF27" s="140"/>
    </row>
    <row r="28" spans="1:32" x14ac:dyDescent="0.3">
      <c r="A28" s="108">
        <v>19</v>
      </c>
      <c r="B28" s="108" t="s">
        <v>154</v>
      </c>
      <c r="C28" s="108">
        <v>25.78</v>
      </c>
      <c r="D28" s="135">
        <v>39.700000000000003</v>
      </c>
      <c r="E28" s="135">
        <v>-41.1</v>
      </c>
      <c r="F28" s="108">
        <v>6.4</v>
      </c>
      <c r="G28" s="108">
        <v>1.8</v>
      </c>
      <c r="H28" s="108">
        <v>2.2000000000000002</v>
      </c>
      <c r="I28" s="108">
        <v>2.4</v>
      </c>
      <c r="J28" s="136">
        <v>2.9</v>
      </c>
      <c r="K28" s="136">
        <v>4.8</v>
      </c>
      <c r="L28" s="136">
        <v>4</v>
      </c>
      <c r="M28" s="136">
        <v>3.6</v>
      </c>
      <c r="N28" s="17">
        <f t="shared" si="0"/>
        <v>3.8249999999999997</v>
      </c>
      <c r="O28" s="116">
        <f t="shared" si="1"/>
        <v>45.963464017427164</v>
      </c>
      <c r="Q28" s="108">
        <v>19</v>
      </c>
      <c r="R28" s="108" t="s">
        <v>154</v>
      </c>
      <c r="S28" s="136">
        <v>4.9000000000000004</v>
      </c>
      <c r="T28" s="136">
        <v>4.9000000000000004</v>
      </c>
      <c r="U28" s="136">
        <v>5.6</v>
      </c>
      <c r="V28" s="136">
        <v>6.7</v>
      </c>
      <c r="W28" s="17">
        <f t="shared" si="2"/>
        <v>5.5250000000000004</v>
      </c>
      <c r="X28" s="116">
        <f t="shared" si="3"/>
        <v>95.899079246236951</v>
      </c>
      <c r="Z28" s="246"/>
      <c r="AA28" s="246"/>
      <c r="AB28" s="246"/>
      <c r="AC28" s="246"/>
      <c r="AD28" s="140"/>
      <c r="AE28" s="140"/>
      <c r="AF28" s="140"/>
    </row>
    <row r="29" spans="1:32" x14ac:dyDescent="0.3">
      <c r="A29" s="108">
        <v>20</v>
      </c>
      <c r="B29" s="108" t="s">
        <v>154</v>
      </c>
      <c r="C29" s="108">
        <v>74.17</v>
      </c>
      <c r="D29" s="135">
        <v>47</v>
      </c>
      <c r="E29" s="135">
        <v>-17.100000000000001</v>
      </c>
      <c r="F29" s="108">
        <v>9.4</v>
      </c>
      <c r="G29" s="108">
        <v>3.3</v>
      </c>
      <c r="H29" s="108">
        <v>1.3</v>
      </c>
      <c r="I29" s="108">
        <v>2.8</v>
      </c>
      <c r="J29" s="136">
        <v>7.5</v>
      </c>
      <c r="K29" s="136">
        <v>9.6</v>
      </c>
      <c r="L29" s="136">
        <v>5.3</v>
      </c>
      <c r="M29" s="136">
        <v>7.9</v>
      </c>
      <c r="N29" s="17">
        <f t="shared" si="0"/>
        <v>7.5750000000000011</v>
      </c>
      <c r="O29" s="116">
        <f t="shared" si="1"/>
        <v>180.26654995839087</v>
      </c>
      <c r="Q29" s="108">
        <v>20</v>
      </c>
      <c r="R29" s="108" t="s">
        <v>154</v>
      </c>
      <c r="S29" s="136">
        <v>2.9</v>
      </c>
      <c r="T29" s="136">
        <v>3.8</v>
      </c>
      <c r="U29" s="136">
        <v>2.9</v>
      </c>
      <c r="V29" s="136">
        <v>1.9</v>
      </c>
      <c r="W29" s="17">
        <f t="shared" si="2"/>
        <v>2.875</v>
      </c>
      <c r="X29" s="116">
        <f t="shared" si="3"/>
        <v>25.967226777328133</v>
      </c>
      <c r="Z29" s="140"/>
      <c r="AA29" s="140"/>
      <c r="AB29" s="140"/>
      <c r="AC29" s="140"/>
      <c r="AD29" s="140"/>
      <c r="AE29" s="140"/>
      <c r="AF29" s="140"/>
    </row>
    <row r="30" spans="1:32" x14ac:dyDescent="0.3">
      <c r="A30" s="108">
        <v>21</v>
      </c>
      <c r="B30" s="108" t="s">
        <v>154</v>
      </c>
      <c r="C30" s="108">
        <v>22.28</v>
      </c>
      <c r="D30" s="135">
        <v>19.399999999999999</v>
      </c>
      <c r="E30" s="135">
        <v>-19.399999999999999</v>
      </c>
      <c r="F30" s="108">
        <v>5.4</v>
      </c>
      <c r="G30" s="108">
        <v>1.9</v>
      </c>
      <c r="H30" s="108">
        <v>2.4</v>
      </c>
      <c r="I30" s="108">
        <v>1.2</v>
      </c>
      <c r="J30" s="136">
        <v>2.6</v>
      </c>
      <c r="K30" s="136">
        <v>1.4</v>
      </c>
      <c r="L30" s="136">
        <v>1.9</v>
      </c>
      <c r="M30" s="136">
        <v>2.4</v>
      </c>
      <c r="N30" s="17">
        <f t="shared" si="0"/>
        <v>2.0750000000000002</v>
      </c>
      <c r="O30" s="116">
        <f t="shared" si="1"/>
        <v>13.526519869112557</v>
      </c>
      <c r="Q30" s="108">
        <v>21</v>
      </c>
      <c r="R30" s="108" t="s">
        <v>154</v>
      </c>
      <c r="S30" s="136">
        <v>3</v>
      </c>
      <c r="T30" s="136">
        <v>3.9</v>
      </c>
      <c r="U30" s="136">
        <v>2.2999999999999998</v>
      </c>
      <c r="V30" s="136">
        <v>1.8</v>
      </c>
      <c r="W30" s="17">
        <f t="shared" si="2"/>
        <v>2.75</v>
      </c>
      <c r="X30" s="116">
        <f t="shared" si="3"/>
        <v>23.758294442772812</v>
      </c>
    </row>
    <row r="31" spans="1:32" x14ac:dyDescent="0.3">
      <c r="A31" s="108">
        <v>22</v>
      </c>
      <c r="B31" s="108" t="s">
        <v>154</v>
      </c>
      <c r="C31" s="108">
        <v>16.87</v>
      </c>
      <c r="D31" s="135">
        <v>-35.5</v>
      </c>
      <c r="E31" s="135">
        <v>0</v>
      </c>
      <c r="F31" s="108">
        <v>6.7</v>
      </c>
      <c r="G31" s="108">
        <v>2.4</v>
      </c>
      <c r="H31" s="108">
        <v>1.9</v>
      </c>
      <c r="I31" s="108">
        <v>1.2</v>
      </c>
      <c r="J31" s="136">
        <v>2</v>
      </c>
      <c r="K31" s="136">
        <v>0.3</v>
      </c>
      <c r="L31" s="136">
        <v>1.8</v>
      </c>
      <c r="M31" s="136">
        <v>0.8</v>
      </c>
      <c r="N31" s="17">
        <f t="shared" si="0"/>
        <v>1.2249999999999999</v>
      </c>
      <c r="O31" s="116">
        <f t="shared" si="1"/>
        <v>4.7143524757931825</v>
      </c>
      <c r="Q31" s="108">
        <v>22</v>
      </c>
      <c r="R31" s="108" t="s">
        <v>154</v>
      </c>
      <c r="S31" s="136">
        <v>1.9</v>
      </c>
      <c r="T31" s="136">
        <v>2.5</v>
      </c>
      <c r="U31" s="136">
        <v>1.2</v>
      </c>
      <c r="V31" s="136">
        <v>3.2</v>
      </c>
      <c r="W31" s="17">
        <f t="shared" si="2"/>
        <v>2.2000000000000002</v>
      </c>
      <c r="X31" s="116">
        <f t="shared" si="3"/>
        <v>15.205308443374602</v>
      </c>
    </row>
    <row r="32" spans="1:32" x14ac:dyDescent="0.3">
      <c r="A32" s="108">
        <v>23</v>
      </c>
      <c r="B32" s="108" t="s">
        <v>154</v>
      </c>
      <c r="C32" s="108">
        <v>20.37</v>
      </c>
      <c r="D32" s="135">
        <v>-4.0999999999999996</v>
      </c>
      <c r="E32" s="135">
        <v>38.700000000000003</v>
      </c>
      <c r="F32" s="108">
        <v>7</v>
      </c>
      <c r="G32" s="108">
        <v>2.5</v>
      </c>
      <c r="H32" s="108">
        <v>2.5</v>
      </c>
      <c r="I32" s="108">
        <v>1.3</v>
      </c>
      <c r="J32" s="136">
        <v>0.8</v>
      </c>
      <c r="K32" s="136">
        <v>2.1</v>
      </c>
      <c r="L32" s="136">
        <v>2</v>
      </c>
      <c r="M32" s="136">
        <v>1.6</v>
      </c>
      <c r="N32" s="17">
        <f t="shared" si="0"/>
        <v>1.625</v>
      </c>
      <c r="O32" s="116">
        <f t="shared" si="1"/>
        <v>8.2957681008855477</v>
      </c>
      <c r="Q32" s="108">
        <v>23</v>
      </c>
      <c r="R32" s="108" t="s">
        <v>154</v>
      </c>
      <c r="S32" s="136">
        <v>2.2000000000000002</v>
      </c>
      <c r="T32" s="136">
        <v>1.5</v>
      </c>
      <c r="U32" s="136">
        <v>1</v>
      </c>
      <c r="V32" s="136">
        <v>2.9</v>
      </c>
      <c r="W32" s="17">
        <f t="shared" si="2"/>
        <v>1.9</v>
      </c>
      <c r="X32" s="116">
        <f t="shared" si="3"/>
        <v>11.341149479459153</v>
      </c>
    </row>
    <row r="33" spans="1:24" x14ac:dyDescent="0.3">
      <c r="A33" s="108">
        <v>24</v>
      </c>
      <c r="B33" s="108" t="s">
        <v>155</v>
      </c>
      <c r="C33" s="108">
        <v>25.46</v>
      </c>
      <c r="D33" s="135">
        <v>5.7</v>
      </c>
      <c r="E33" s="135">
        <v>13.4</v>
      </c>
      <c r="F33" s="108">
        <v>6.9</v>
      </c>
      <c r="G33" s="108">
        <v>2.1</v>
      </c>
      <c r="H33" s="108">
        <v>2.1</v>
      </c>
      <c r="I33" s="108" t="s">
        <v>156</v>
      </c>
      <c r="J33" s="136">
        <v>3.4</v>
      </c>
      <c r="K33" s="136">
        <v>2.9</v>
      </c>
      <c r="L33" s="136">
        <v>3.5</v>
      </c>
      <c r="M33" s="136">
        <v>3</v>
      </c>
      <c r="N33" s="17">
        <f t="shared" si="0"/>
        <v>3.2</v>
      </c>
      <c r="O33" s="116">
        <f t="shared" si="1"/>
        <v>32.169908772759484</v>
      </c>
      <c r="Q33" s="108">
        <v>24</v>
      </c>
      <c r="R33" s="108" t="s">
        <v>154</v>
      </c>
      <c r="S33" s="136">
        <v>0</v>
      </c>
      <c r="T33" s="136">
        <v>2.8</v>
      </c>
      <c r="U33" s="136">
        <v>0</v>
      </c>
      <c r="V33" s="136">
        <v>3.8</v>
      </c>
      <c r="W33" s="17">
        <f t="shared" si="2"/>
        <v>1.65</v>
      </c>
      <c r="X33" s="116">
        <f t="shared" si="3"/>
        <v>8.55298599939821</v>
      </c>
    </row>
    <row r="34" spans="1:24" x14ac:dyDescent="0.3">
      <c r="A34" s="108">
        <v>25</v>
      </c>
      <c r="B34" s="108" t="s">
        <v>155</v>
      </c>
      <c r="C34" s="108">
        <v>30.24</v>
      </c>
      <c r="D34" s="135">
        <v>30.7</v>
      </c>
      <c r="E34" s="135">
        <v>-2.7</v>
      </c>
      <c r="F34" s="108">
        <v>7.5</v>
      </c>
      <c r="G34" s="108">
        <v>1.8</v>
      </c>
      <c r="H34" s="108">
        <v>1.8</v>
      </c>
      <c r="I34" s="108" t="s">
        <v>156</v>
      </c>
      <c r="J34" s="136">
        <v>4.8</v>
      </c>
      <c r="K34" s="136">
        <v>3.4</v>
      </c>
      <c r="L34" s="136">
        <v>4.3</v>
      </c>
      <c r="M34" s="136">
        <v>3.9</v>
      </c>
      <c r="N34" s="17">
        <f t="shared" si="0"/>
        <v>4.0999999999999996</v>
      </c>
      <c r="O34" s="116">
        <f t="shared" si="1"/>
        <v>52.810172506844417</v>
      </c>
      <c r="Q34" s="108">
        <v>25</v>
      </c>
      <c r="R34" s="108" t="s">
        <v>154</v>
      </c>
      <c r="S34" s="136">
        <v>2.6</v>
      </c>
      <c r="T34" s="136">
        <v>2.4</v>
      </c>
      <c r="U34" s="136">
        <v>2.4</v>
      </c>
      <c r="V34" s="136">
        <v>2.6</v>
      </c>
      <c r="W34" s="17">
        <f t="shared" si="2"/>
        <v>2.5</v>
      </c>
      <c r="X34" s="116">
        <f t="shared" si="3"/>
        <v>19.634954084936208</v>
      </c>
    </row>
    <row r="35" spans="1:24" x14ac:dyDescent="0.3">
      <c r="A35" s="108">
        <v>26</v>
      </c>
      <c r="B35" s="108" t="s">
        <v>155</v>
      </c>
      <c r="C35" s="108">
        <v>17.190000000000001</v>
      </c>
      <c r="D35" s="135">
        <v>30</v>
      </c>
      <c r="E35" s="135">
        <v>-14.6</v>
      </c>
      <c r="F35" s="108">
        <v>4.7</v>
      </c>
      <c r="G35" s="108">
        <v>1.5</v>
      </c>
      <c r="H35" s="108">
        <v>1.5</v>
      </c>
      <c r="I35" s="108" t="s">
        <v>156</v>
      </c>
      <c r="J35" s="136">
        <v>1.9</v>
      </c>
      <c r="K35" s="136">
        <v>1.7</v>
      </c>
      <c r="L35" s="136">
        <v>2.1</v>
      </c>
      <c r="M35" s="136">
        <v>1.7</v>
      </c>
      <c r="N35" s="17">
        <f t="shared" si="0"/>
        <v>1.8499999999999999</v>
      </c>
      <c r="O35" s="116">
        <f t="shared" si="1"/>
        <v>10.752100856911065</v>
      </c>
      <c r="Q35" s="108">
        <v>26</v>
      </c>
      <c r="R35" s="108" t="s">
        <v>154</v>
      </c>
      <c r="S35" s="136">
        <v>2.2999999999999998</v>
      </c>
      <c r="T35" s="136">
        <v>1.1000000000000001</v>
      </c>
      <c r="U35" s="136">
        <v>2.7</v>
      </c>
      <c r="V35" s="136">
        <v>1.95</v>
      </c>
      <c r="W35" s="17">
        <f t="shared" si="2"/>
        <v>2.0124999999999997</v>
      </c>
      <c r="X35" s="116">
        <f t="shared" si="3"/>
        <v>12.723941120890782</v>
      </c>
    </row>
    <row r="36" spans="1:24" x14ac:dyDescent="0.3">
      <c r="A36" s="108">
        <v>27</v>
      </c>
      <c r="B36" s="108" t="s">
        <v>155</v>
      </c>
      <c r="C36" s="108">
        <v>20.37</v>
      </c>
      <c r="D36" s="135">
        <v>10.3</v>
      </c>
      <c r="E36" s="135">
        <v>-31.6</v>
      </c>
      <c r="F36" s="108">
        <v>5.3</v>
      </c>
      <c r="G36" s="108">
        <v>1.8</v>
      </c>
      <c r="H36" s="108">
        <v>1.8</v>
      </c>
      <c r="I36" s="108" t="s">
        <v>156</v>
      </c>
      <c r="J36" s="136">
        <v>2.6</v>
      </c>
      <c r="K36" s="136">
        <v>2.5</v>
      </c>
      <c r="L36" s="136">
        <v>2.7</v>
      </c>
      <c r="M36" s="136">
        <v>2</v>
      </c>
      <c r="N36" s="17">
        <f t="shared" si="0"/>
        <v>2.4500000000000002</v>
      </c>
      <c r="O36" s="116">
        <f t="shared" si="1"/>
        <v>18.857409903172737</v>
      </c>
      <c r="Q36" s="108">
        <v>27</v>
      </c>
      <c r="R36" s="108" t="s">
        <v>154</v>
      </c>
      <c r="S36" s="136">
        <v>0</v>
      </c>
      <c r="T36" s="136">
        <v>5.6</v>
      </c>
      <c r="U36" s="136">
        <v>6.6</v>
      </c>
      <c r="V36" s="136">
        <v>5.0999999999999996</v>
      </c>
      <c r="W36" s="17">
        <f t="shared" si="2"/>
        <v>4.3249999999999993</v>
      </c>
      <c r="X36" s="116">
        <f t="shared" si="3"/>
        <v>58.765454080805554</v>
      </c>
    </row>
    <row r="37" spans="1:24" x14ac:dyDescent="0.3">
      <c r="A37" s="108">
        <v>28</v>
      </c>
      <c r="B37" s="108" t="s">
        <v>155</v>
      </c>
      <c r="C37" s="108">
        <v>13.69</v>
      </c>
      <c r="D37" s="135">
        <v>4</v>
      </c>
      <c r="E37" s="135">
        <v>-13.8</v>
      </c>
      <c r="F37" s="108">
        <v>4.2</v>
      </c>
      <c r="G37" s="108">
        <v>1.5</v>
      </c>
      <c r="H37" s="108">
        <v>1.5</v>
      </c>
      <c r="I37" s="108" t="s">
        <v>156</v>
      </c>
      <c r="J37" s="136">
        <v>1.4</v>
      </c>
      <c r="K37" s="136">
        <v>1.7</v>
      </c>
      <c r="L37" s="136">
        <v>1.6</v>
      </c>
      <c r="M37" s="136">
        <v>1.9</v>
      </c>
      <c r="N37" s="17">
        <f t="shared" si="0"/>
        <v>1.65</v>
      </c>
      <c r="O37" s="116">
        <f t="shared" si="1"/>
        <v>8.55298599939821</v>
      </c>
      <c r="Q37" s="108">
        <v>28</v>
      </c>
      <c r="R37" s="108" t="s">
        <v>154</v>
      </c>
      <c r="S37" s="136">
        <v>1.6</v>
      </c>
      <c r="T37" s="136">
        <v>2</v>
      </c>
      <c r="U37" s="136">
        <v>1.7</v>
      </c>
      <c r="V37" s="136">
        <v>1.1000000000000001</v>
      </c>
      <c r="W37" s="17">
        <f t="shared" si="2"/>
        <v>1.6</v>
      </c>
      <c r="X37" s="116">
        <f t="shared" si="3"/>
        <v>8.0424771931898711</v>
      </c>
    </row>
    <row r="38" spans="1:24" x14ac:dyDescent="0.3">
      <c r="A38" s="108">
        <v>29</v>
      </c>
      <c r="B38" s="108" t="s">
        <v>155</v>
      </c>
      <c r="C38" s="108">
        <v>48.06</v>
      </c>
      <c r="D38" s="135">
        <v>-1.6</v>
      </c>
      <c r="E38" s="135">
        <v>-0.1</v>
      </c>
      <c r="F38" s="108">
        <v>10.6</v>
      </c>
      <c r="G38" s="108">
        <v>2.2999999999999998</v>
      </c>
      <c r="H38" s="108">
        <v>2.2999999999999998</v>
      </c>
      <c r="I38" s="108" t="s">
        <v>156</v>
      </c>
      <c r="J38" s="136">
        <v>5.3</v>
      </c>
      <c r="K38" s="136">
        <v>6.1</v>
      </c>
      <c r="L38" s="136">
        <v>5.8</v>
      </c>
      <c r="M38" s="136">
        <v>4.5999999999999996</v>
      </c>
      <c r="N38" s="17">
        <f t="shared" si="0"/>
        <v>5.4499999999999993</v>
      </c>
      <c r="O38" s="116">
        <f t="shared" si="1"/>
        <v>93.313155793250814</v>
      </c>
      <c r="Q38" s="108">
        <v>29</v>
      </c>
      <c r="R38" s="108" t="s">
        <v>174</v>
      </c>
      <c r="S38" s="136">
        <v>2.8</v>
      </c>
      <c r="T38" s="136">
        <v>3.1</v>
      </c>
      <c r="U38" s="136">
        <v>2.9</v>
      </c>
      <c r="V38" s="136">
        <v>3.5</v>
      </c>
      <c r="W38" s="17">
        <f t="shared" si="2"/>
        <v>3.0750000000000002</v>
      </c>
      <c r="X38" s="116">
        <f t="shared" si="3"/>
        <v>29.705722035099992</v>
      </c>
    </row>
    <row r="39" spans="1:24" x14ac:dyDescent="0.3">
      <c r="A39" s="108">
        <v>30</v>
      </c>
      <c r="B39" s="108" t="s">
        <v>155</v>
      </c>
      <c r="C39" s="108">
        <v>18.46</v>
      </c>
      <c r="D39" s="135">
        <v>-9.8000000000000007</v>
      </c>
      <c r="E39" s="135">
        <v>15.7</v>
      </c>
      <c r="F39" s="108">
        <v>5.5</v>
      </c>
      <c r="G39" s="108">
        <v>1.7</v>
      </c>
      <c r="H39" s="108">
        <v>1.7</v>
      </c>
      <c r="I39" s="108" t="s">
        <v>156</v>
      </c>
      <c r="J39" s="136">
        <v>2.1</v>
      </c>
      <c r="K39" s="136">
        <v>2.2999999999999998</v>
      </c>
      <c r="L39" s="136">
        <v>2</v>
      </c>
      <c r="M39" s="136">
        <v>2.4</v>
      </c>
      <c r="N39" s="17">
        <f t="shared" si="0"/>
        <v>2.2000000000000002</v>
      </c>
      <c r="O39" s="116">
        <f t="shared" si="1"/>
        <v>15.205308443374602</v>
      </c>
      <c r="Q39" s="108">
        <v>30</v>
      </c>
      <c r="R39" s="108" t="s">
        <v>155</v>
      </c>
      <c r="S39" s="136">
        <v>4.0999999999999996</v>
      </c>
      <c r="T39" s="136">
        <v>4.2</v>
      </c>
      <c r="U39" s="136">
        <v>4</v>
      </c>
      <c r="V39" s="136">
        <v>4.5</v>
      </c>
      <c r="W39" s="17">
        <f t="shared" si="2"/>
        <v>4.2</v>
      </c>
      <c r="X39" s="116">
        <f t="shared" si="3"/>
        <v>55.41769440932395</v>
      </c>
    </row>
    <row r="40" spans="1:24" x14ac:dyDescent="0.3">
      <c r="A40" s="108">
        <v>31</v>
      </c>
      <c r="B40" s="108" t="s">
        <v>155</v>
      </c>
      <c r="C40" s="108">
        <v>21.96</v>
      </c>
      <c r="D40" s="135">
        <v>-9.8000000000000007</v>
      </c>
      <c r="E40" s="135">
        <v>30.1</v>
      </c>
      <c r="F40" s="108">
        <v>5.0999999999999996</v>
      </c>
      <c r="G40" s="108">
        <v>1.5</v>
      </c>
      <c r="H40" s="108">
        <v>1.5</v>
      </c>
      <c r="I40" s="108" t="s">
        <v>156</v>
      </c>
      <c r="J40" s="136">
        <v>2.2000000000000002</v>
      </c>
      <c r="K40" s="136">
        <v>2.7</v>
      </c>
      <c r="L40" s="136">
        <v>2.2000000000000002</v>
      </c>
      <c r="M40" s="136">
        <v>2.4</v>
      </c>
      <c r="N40" s="17">
        <f t="shared" si="0"/>
        <v>2.375</v>
      </c>
      <c r="O40" s="116">
        <f t="shared" si="1"/>
        <v>17.720546061654925</v>
      </c>
      <c r="Q40" s="108">
        <v>31</v>
      </c>
      <c r="R40" s="108" t="s">
        <v>155</v>
      </c>
      <c r="S40" s="136">
        <v>5</v>
      </c>
      <c r="T40" s="136">
        <v>5.8</v>
      </c>
      <c r="U40" s="136">
        <v>4.7</v>
      </c>
      <c r="V40" s="136">
        <v>5.0999999999999996</v>
      </c>
      <c r="W40" s="17">
        <f t="shared" si="2"/>
        <v>5.15</v>
      </c>
      <c r="X40" s="116">
        <f t="shared" si="3"/>
        <v>83.322891154835304</v>
      </c>
    </row>
    <row r="41" spans="1:24" x14ac:dyDescent="0.3">
      <c r="Q41" s="108">
        <v>32</v>
      </c>
      <c r="R41" s="108" t="s">
        <v>155</v>
      </c>
      <c r="S41" s="136">
        <v>5.7</v>
      </c>
      <c r="T41" s="136">
        <v>5.8</v>
      </c>
      <c r="U41" s="136">
        <v>5.9</v>
      </c>
      <c r="V41" s="136">
        <v>5.9</v>
      </c>
      <c r="W41" s="17">
        <f t="shared" si="2"/>
        <v>5.8249999999999993</v>
      </c>
      <c r="X41" s="116">
        <f t="shared" si="3"/>
        <v>106.59620223171015</v>
      </c>
    </row>
    <row r="42" spans="1:24" x14ac:dyDescent="0.3">
      <c r="Q42" s="108">
        <v>33</v>
      </c>
      <c r="R42" s="108" t="s">
        <v>155</v>
      </c>
      <c r="S42" s="136">
        <v>3.7</v>
      </c>
      <c r="T42" s="136">
        <v>2.4</v>
      </c>
      <c r="U42" s="136">
        <v>3.5</v>
      </c>
      <c r="V42" s="136">
        <v>3.1</v>
      </c>
      <c r="W42" s="17">
        <f t="shared" si="2"/>
        <v>3.1749999999999998</v>
      </c>
      <c r="X42" s="116">
        <f t="shared" si="3"/>
        <v>31.669217443593606</v>
      </c>
    </row>
    <row r="43" spans="1:24" x14ac:dyDescent="0.3">
      <c r="Q43" s="108">
        <v>34</v>
      </c>
      <c r="R43" s="108" t="s">
        <v>155</v>
      </c>
      <c r="S43" s="136">
        <v>3.2</v>
      </c>
      <c r="T43" s="136">
        <v>2.6</v>
      </c>
      <c r="U43" s="136">
        <v>3.4</v>
      </c>
      <c r="V43" s="136">
        <v>2.9</v>
      </c>
      <c r="W43" s="17">
        <f t="shared" si="2"/>
        <v>3.0250000000000004</v>
      </c>
      <c r="X43" s="116">
        <f t="shared" si="3"/>
        <v>28.747536275755106</v>
      </c>
    </row>
    <row r="44" spans="1:24" x14ac:dyDescent="0.3">
      <c r="Q44" s="108">
        <v>35</v>
      </c>
      <c r="R44" s="108" t="s">
        <v>155</v>
      </c>
      <c r="S44" s="136">
        <v>5.2</v>
      </c>
      <c r="T44" s="136">
        <v>5.4</v>
      </c>
      <c r="U44" s="136">
        <v>4.9000000000000004</v>
      </c>
      <c r="V44" s="136">
        <v>5.5</v>
      </c>
      <c r="W44" s="17">
        <f t="shared" si="2"/>
        <v>5.25</v>
      </c>
      <c r="X44" s="116">
        <f t="shared" si="3"/>
        <v>86.59014751456867</v>
      </c>
    </row>
    <row r="45" spans="1:24" x14ac:dyDescent="0.3">
      <c r="Q45" s="108">
        <v>36</v>
      </c>
      <c r="R45" s="108" t="s">
        <v>155</v>
      </c>
      <c r="S45" s="136">
        <v>5.5</v>
      </c>
      <c r="T45" s="136">
        <v>7.6</v>
      </c>
      <c r="U45" s="136">
        <v>5.9</v>
      </c>
      <c r="V45" s="136">
        <v>5.4</v>
      </c>
      <c r="W45" s="17">
        <f t="shared" si="2"/>
        <v>6.1</v>
      </c>
      <c r="X45" s="116">
        <f t="shared" si="3"/>
        <v>116.89866264007618</v>
      </c>
    </row>
    <row r="46" spans="1:24" x14ac:dyDescent="0.3">
      <c r="Q46" s="108">
        <v>37</v>
      </c>
      <c r="R46" s="108" t="s">
        <v>155</v>
      </c>
      <c r="S46" s="136">
        <v>2.4</v>
      </c>
      <c r="T46" s="136">
        <v>2.4</v>
      </c>
      <c r="U46" s="136">
        <v>2.2999999999999998</v>
      </c>
      <c r="V46" s="136">
        <v>2.2000000000000002</v>
      </c>
      <c r="W46" s="17">
        <f t="shared" si="2"/>
        <v>2.3250000000000002</v>
      </c>
      <c r="X46" s="116">
        <f t="shared" si="3"/>
        <v>16.982271788061325</v>
      </c>
    </row>
    <row r="47" spans="1:24" x14ac:dyDescent="0.3">
      <c r="Q47" s="108">
        <v>38</v>
      </c>
      <c r="R47" s="108" t="s">
        <v>155</v>
      </c>
      <c r="S47" s="136">
        <v>2.7</v>
      </c>
      <c r="T47" s="136">
        <v>3.1</v>
      </c>
      <c r="U47" s="136">
        <v>3.5</v>
      </c>
      <c r="V47" s="136">
        <v>3.5</v>
      </c>
      <c r="W47" s="17">
        <f t="shared" si="2"/>
        <v>3.2</v>
      </c>
      <c r="X47" s="116">
        <f t="shared" si="3"/>
        <v>32.169908772759484</v>
      </c>
    </row>
    <row r="48" spans="1:24" x14ac:dyDescent="0.3">
      <c r="Q48" s="108">
        <v>39</v>
      </c>
      <c r="R48" s="108" t="s">
        <v>155</v>
      </c>
      <c r="S48" s="136">
        <v>3.2</v>
      </c>
      <c r="T48" s="136">
        <v>3.1</v>
      </c>
      <c r="U48" s="136">
        <v>3.3</v>
      </c>
      <c r="V48" s="136">
        <v>2.8</v>
      </c>
      <c r="W48" s="17">
        <f t="shared" si="2"/>
        <v>3.1000000000000005</v>
      </c>
      <c r="X48" s="116">
        <f t="shared" si="3"/>
        <v>30.190705400997921</v>
      </c>
    </row>
    <row r="49" spans="17:24" x14ac:dyDescent="0.3">
      <c r="Q49" s="108">
        <v>40</v>
      </c>
      <c r="R49" s="108" t="s">
        <v>155</v>
      </c>
      <c r="S49" s="136">
        <v>3.6</v>
      </c>
      <c r="T49" s="136">
        <v>2.7</v>
      </c>
      <c r="U49" s="136">
        <v>4</v>
      </c>
      <c r="V49" s="136">
        <v>4.3</v>
      </c>
      <c r="W49" s="17">
        <f t="shared" si="2"/>
        <v>3.6500000000000004</v>
      </c>
      <c r="X49" s="116">
        <f t="shared" si="3"/>
        <v>41.853868127450028</v>
      </c>
    </row>
    <row r="50" spans="17:24" x14ac:dyDescent="0.3">
      <c r="Q50" s="108">
        <v>41</v>
      </c>
      <c r="R50" s="108" t="s">
        <v>155</v>
      </c>
      <c r="S50" s="136">
        <v>4.5999999999999996</v>
      </c>
      <c r="T50" s="136">
        <v>6</v>
      </c>
      <c r="U50" s="136">
        <v>5.3</v>
      </c>
      <c r="V50" s="136">
        <v>4.0999999999999996</v>
      </c>
      <c r="W50" s="17">
        <f t="shared" si="2"/>
        <v>5</v>
      </c>
      <c r="X50" s="116">
        <f t="shared" si="3"/>
        <v>78.539816339744831</v>
      </c>
    </row>
    <row r="51" spans="17:24" x14ac:dyDescent="0.3">
      <c r="Q51" s="108">
        <v>42</v>
      </c>
      <c r="R51" s="108" t="s">
        <v>155</v>
      </c>
      <c r="S51" s="136">
        <v>3</v>
      </c>
      <c r="T51" s="136">
        <v>2.7</v>
      </c>
      <c r="U51" s="136">
        <v>2.9</v>
      </c>
      <c r="V51" s="136">
        <v>2.8</v>
      </c>
      <c r="W51" s="17">
        <f t="shared" si="2"/>
        <v>2.8499999999999996</v>
      </c>
      <c r="X51" s="116">
        <f t="shared" si="3"/>
        <v>25.517586328783089</v>
      </c>
    </row>
    <row r="52" spans="17:24" x14ac:dyDescent="0.3">
      <c r="Q52" s="108">
        <v>43</v>
      </c>
      <c r="R52" s="108" t="s">
        <v>174</v>
      </c>
      <c r="S52" s="136">
        <v>2.2000000000000002</v>
      </c>
      <c r="T52" s="136">
        <v>1.6</v>
      </c>
      <c r="U52" s="136">
        <v>1.7</v>
      </c>
      <c r="V52" s="136">
        <v>2.1</v>
      </c>
      <c r="W52" s="17">
        <f t="shared" si="2"/>
        <v>1.9</v>
      </c>
      <c r="X52" s="116">
        <f t="shared" si="3"/>
        <v>11.341149479459153</v>
      </c>
    </row>
    <row r="53" spans="17:24" x14ac:dyDescent="0.3">
      <c r="Q53" s="108">
        <v>44</v>
      </c>
      <c r="R53" s="108" t="s">
        <v>174</v>
      </c>
      <c r="S53" s="136">
        <v>1</v>
      </c>
      <c r="T53" s="136">
        <v>1.6</v>
      </c>
      <c r="U53" s="136">
        <v>1.7</v>
      </c>
      <c r="V53" s="136">
        <v>1.2</v>
      </c>
      <c r="W53" s="17">
        <f t="shared" si="2"/>
        <v>1.375</v>
      </c>
      <c r="X53" s="116">
        <f t="shared" si="3"/>
        <v>5.9395736106932029</v>
      </c>
    </row>
    <row r="54" spans="17:24" x14ac:dyDescent="0.3">
      <c r="Q54" s="108">
        <v>45</v>
      </c>
      <c r="R54" s="108" t="s">
        <v>155</v>
      </c>
      <c r="S54" s="136">
        <v>3.1</v>
      </c>
      <c r="T54" s="136">
        <v>3.4</v>
      </c>
      <c r="U54" s="136">
        <v>3.2</v>
      </c>
      <c r="V54" s="136">
        <v>3.3</v>
      </c>
      <c r="W54" s="17">
        <f t="shared" si="2"/>
        <v>3.25</v>
      </c>
      <c r="X54" s="116">
        <f t="shared" si="3"/>
        <v>33.183072403542191</v>
      </c>
    </row>
    <row r="55" spans="17:24" x14ac:dyDescent="0.3">
      <c r="Q55" s="108">
        <v>46</v>
      </c>
      <c r="R55" s="108" t="s">
        <v>155</v>
      </c>
      <c r="S55" s="136">
        <v>1.2</v>
      </c>
      <c r="T55" s="136">
        <v>1.1000000000000001</v>
      </c>
      <c r="U55" s="136">
        <v>1</v>
      </c>
      <c r="V55" s="136">
        <v>1.2</v>
      </c>
      <c r="W55" s="17">
        <f t="shared" si="2"/>
        <v>1.125</v>
      </c>
      <c r="X55" s="116">
        <f t="shared" si="3"/>
        <v>3.9760782021995817</v>
      </c>
    </row>
    <row r="56" spans="17:24" x14ac:dyDescent="0.3">
      <c r="Q56" s="108">
        <v>47</v>
      </c>
      <c r="R56" s="108" t="s">
        <v>174</v>
      </c>
      <c r="S56" s="136">
        <v>4.9000000000000004</v>
      </c>
      <c r="T56" s="136">
        <v>4.5999999999999996</v>
      </c>
      <c r="U56" s="136">
        <v>3.9</v>
      </c>
      <c r="V56" s="136">
        <v>5.3</v>
      </c>
      <c r="W56" s="17">
        <f t="shared" si="2"/>
        <v>4.6749999999999998</v>
      </c>
      <c r="X56" s="116">
        <f t="shared" si="3"/>
        <v>68.661470939613423</v>
      </c>
    </row>
  </sheetData>
  <mergeCells count="1">
    <mergeCell ref="Z9:AC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="155" workbookViewId="0">
      <selection activeCell="K16" sqref="K16"/>
    </sheetView>
  </sheetViews>
  <sheetFormatPr defaultRowHeight="14.4" x14ac:dyDescent="0.3"/>
  <cols>
    <col min="4" max="4" width="4.5546875" customWidth="1"/>
    <col min="6" max="6" width="8.88671875" style="6"/>
  </cols>
  <sheetData>
    <row r="1" spans="1:12" x14ac:dyDescent="0.3">
      <c r="A1" t="s">
        <v>187</v>
      </c>
      <c r="F1" s="18"/>
      <c r="G1" s="18"/>
      <c r="H1" s="18"/>
      <c r="I1" s="18"/>
      <c r="J1" s="18"/>
      <c r="K1" s="18"/>
    </row>
    <row r="2" spans="1:12" x14ac:dyDescent="0.3">
      <c r="A2" t="s">
        <v>176</v>
      </c>
      <c r="F2" s="18"/>
      <c r="G2" s="124"/>
      <c r="H2" s="124"/>
      <c r="I2" s="124"/>
      <c r="J2" s="247" t="s">
        <v>192</v>
      </c>
      <c r="K2" s="247"/>
      <c r="L2" s="247"/>
    </row>
    <row r="3" spans="1:12" s="6" customFormat="1" x14ac:dyDescent="0.3">
      <c r="F3" s="18"/>
      <c r="G3" s="124"/>
      <c r="H3" s="124"/>
      <c r="I3" s="124"/>
      <c r="J3" s="247"/>
      <c r="K3" s="247"/>
      <c r="L3" s="247"/>
    </row>
    <row r="4" spans="1:12" x14ac:dyDescent="0.3">
      <c r="A4" s="133" t="s">
        <v>21</v>
      </c>
      <c r="B4" s="109" t="s">
        <v>184</v>
      </c>
      <c r="D4" s="132" t="s">
        <v>38</v>
      </c>
      <c r="E4" s="130">
        <f>AVERAGE(I12:I43)</f>
        <v>15.6</v>
      </c>
      <c r="F4" s="18"/>
      <c r="G4" s="125"/>
      <c r="H4" s="126"/>
      <c r="I4" s="126"/>
      <c r="J4" s="247"/>
      <c r="K4" s="247"/>
      <c r="L4" s="247"/>
    </row>
    <row r="5" spans="1:12" x14ac:dyDescent="0.3">
      <c r="A5" s="133" t="s">
        <v>25</v>
      </c>
      <c r="B5" s="109">
        <v>35</v>
      </c>
      <c r="F5" s="18"/>
      <c r="G5" s="125"/>
      <c r="H5" s="126"/>
      <c r="I5" s="18"/>
      <c r="J5" s="247"/>
      <c r="K5" s="247"/>
      <c r="L5" s="247"/>
    </row>
    <row r="6" spans="1:12" x14ac:dyDescent="0.3">
      <c r="A6" s="133" t="s">
        <v>23</v>
      </c>
      <c r="B6" s="109">
        <v>500</v>
      </c>
      <c r="D6" s="9"/>
      <c r="E6" s="9" t="s">
        <v>185</v>
      </c>
      <c r="F6" s="9" t="s">
        <v>186</v>
      </c>
      <c r="G6" s="125"/>
      <c r="H6" s="126"/>
      <c r="I6" s="126"/>
      <c r="J6" s="247"/>
      <c r="K6" s="247"/>
      <c r="L6" s="247"/>
    </row>
    <row r="7" spans="1:12" x14ac:dyDescent="0.3">
      <c r="A7" s="133" t="s">
        <v>20</v>
      </c>
      <c r="B7" s="109">
        <f>AVERAGE(G12:G43)+4</f>
        <v>41</v>
      </c>
      <c r="D7" s="9" t="s">
        <v>151</v>
      </c>
      <c r="E7" s="9">
        <f>COUNT(B12:B43)</f>
        <v>32</v>
      </c>
      <c r="F7" s="9">
        <f>E7*B9</f>
        <v>640</v>
      </c>
      <c r="G7" s="125"/>
      <c r="H7" s="126"/>
      <c r="I7" s="18"/>
      <c r="J7" s="126"/>
      <c r="K7" s="121"/>
    </row>
    <row r="8" spans="1:12" x14ac:dyDescent="0.3">
      <c r="A8" s="133" t="s">
        <v>128</v>
      </c>
      <c r="B8" s="129">
        <v>50</v>
      </c>
      <c r="D8" s="9" t="s">
        <v>16</v>
      </c>
      <c r="E8" s="9"/>
      <c r="F8" s="9"/>
      <c r="G8" s="125"/>
      <c r="H8" s="126"/>
      <c r="I8" s="126"/>
      <c r="J8" s="126"/>
      <c r="K8" s="121"/>
    </row>
    <row r="9" spans="1:12" x14ac:dyDescent="0.3">
      <c r="A9" s="134" t="s">
        <v>182</v>
      </c>
      <c r="B9" s="131">
        <f>10000/B6</f>
        <v>20</v>
      </c>
      <c r="G9" s="121"/>
      <c r="H9" s="123"/>
      <c r="I9" s="122"/>
      <c r="J9" s="121"/>
      <c r="K9" s="121"/>
    </row>
    <row r="10" spans="1:12" x14ac:dyDescent="0.3">
      <c r="G10" s="121"/>
      <c r="H10" s="120"/>
      <c r="I10" s="122"/>
      <c r="J10" s="121"/>
      <c r="K10" s="121"/>
    </row>
    <row r="11" spans="1:12" x14ac:dyDescent="0.3">
      <c r="A11" s="9" t="s">
        <v>0</v>
      </c>
      <c r="B11" s="9" t="s">
        <v>27</v>
      </c>
      <c r="C11" s="119" t="s">
        <v>3</v>
      </c>
      <c r="D11" s="119" t="s">
        <v>177</v>
      </c>
      <c r="E11" s="119" t="s">
        <v>178</v>
      </c>
      <c r="F11" s="119" t="s">
        <v>179</v>
      </c>
      <c r="G11" s="127" t="s">
        <v>180</v>
      </c>
      <c r="H11" s="127" t="s">
        <v>181</v>
      </c>
      <c r="I11" s="127" t="s">
        <v>183</v>
      </c>
      <c r="J11" s="127" t="s">
        <v>188</v>
      </c>
      <c r="K11" s="127" t="s">
        <v>47</v>
      </c>
      <c r="L11" s="127" t="s">
        <v>189</v>
      </c>
    </row>
    <row r="12" spans="1:12" x14ac:dyDescent="0.3">
      <c r="A12" s="9">
        <v>1</v>
      </c>
      <c r="B12" s="2">
        <v>30.6</v>
      </c>
      <c r="C12" s="2">
        <v>14.2</v>
      </c>
      <c r="D12" s="2">
        <v>6.2</v>
      </c>
      <c r="E12" s="2">
        <v>1.5</v>
      </c>
      <c r="F12" s="2">
        <v>1.7</v>
      </c>
      <c r="G12" s="128">
        <v>38</v>
      </c>
      <c r="H12" s="128">
        <v>1</v>
      </c>
      <c r="I12" s="17">
        <f>IF(H12=1,C12,"")</f>
        <v>14.2</v>
      </c>
    </row>
    <row r="13" spans="1:12" x14ac:dyDescent="0.3">
      <c r="A13" s="9">
        <v>2</v>
      </c>
      <c r="B13" s="2">
        <v>26.4</v>
      </c>
      <c r="C13" s="2">
        <v>14.9</v>
      </c>
      <c r="D13" s="2">
        <v>6.3</v>
      </c>
      <c r="E13" s="2">
        <v>2</v>
      </c>
      <c r="F13" s="2">
        <v>1.5</v>
      </c>
      <c r="G13" s="9"/>
      <c r="H13" s="128">
        <v>1</v>
      </c>
      <c r="I13" s="17">
        <f t="shared" ref="I13:I43" si="0">IF(H13=1,C13,"")</f>
        <v>14.9</v>
      </c>
    </row>
    <row r="14" spans="1:12" x14ac:dyDescent="0.3">
      <c r="A14" s="9">
        <v>3</v>
      </c>
      <c r="B14" s="2">
        <v>14.6</v>
      </c>
      <c r="C14" s="2">
        <v>9.4</v>
      </c>
      <c r="D14" s="2">
        <v>3.9</v>
      </c>
      <c r="E14" s="2">
        <v>1.1000000000000001</v>
      </c>
      <c r="F14" s="2">
        <v>1</v>
      </c>
      <c r="G14" s="9"/>
      <c r="H14" s="9"/>
      <c r="I14" s="17" t="str">
        <f t="shared" si="0"/>
        <v/>
      </c>
    </row>
    <row r="15" spans="1:12" x14ac:dyDescent="0.3">
      <c r="A15" s="9">
        <v>4</v>
      </c>
      <c r="B15" s="2">
        <v>24.1</v>
      </c>
      <c r="C15" s="9"/>
      <c r="D15" s="9"/>
      <c r="E15" s="9"/>
      <c r="F15" s="9"/>
      <c r="G15" s="9"/>
      <c r="H15" s="9"/>
      <c r="I15" s="17" t="str">
        <f t="shared" si="0"/>
        <v/>
      </c>
    </row>
    <row r="16" spans="1:12" x14ac:dyDescent="0.3">
      <c r="A16" s="9">
        <v>5</v>
      </c>
      <c r="B16" s="2">
        <v>26</v>
      </c>
      <c r="C16" s="2">
        <v>14.5</v>
      </c>
      <c r="D16" s="9"/>
      <c r="E16" s="9"/>
      <c r="F16" s="9"/>
      <c r="G16" s="9"/>
      <c r="H16" s="128">
        <v>1</v>
      </c>
      <c r="I16" s="17">
        <f t="shared" si="0"/>
        <v>14.5</v>
      </c>
    </row>
    <row r="17" spans="1:9" x14ac:dyDescent="0.3">
      <c r="A17" s="9">
        <v>6</v>
      </c>
      <c r="B17" s="2">
        <v>23.8</v>
      </c>
      <c r="C17" s="9"/>
      <c r="D17" s="9"/>
      <c r="E17" s="9"/>
      <c r="F17" s="9"/>
      <c r="G17" s="9"/>
      <c r="H17" s="9"/>
      <c r="I17" s="17" t="str">
        <f t="shared" si="0"/>
        <v/>
      </c>
    </row>
    <row r="18" spans="1:9" x14ac:dyDescent="0.3">
      <c r="A18" s="9">
        <v>7</v>
      </c>
      <c r="B18" s="2">
        <v>13.9</v>
      </c>
      <c r="C18" s="9"/>
      <c r="D18" s="9"/>
      <c r="E18" s="9"/>
      <c r="F18" s="9"/>
      <c r="G18" s="9"/>
      <c r="H18" s="9"/>
      <c r="I18" s="17" t="str">
        <f t="shared" si="0"/>
        <v/>
      </c>
    </row>
    <row r="19" spans="1:9" x14ac:dyDescent="0.3">
      <c r="A19" s="9">
        <v>8</v>
      </c>
      <c r="B19" s="2">
        <v>22.7</v>
      </c>
      <c r="C19" s="9"/>
      <c r="D19" s="9"/>
      <c r="E19" s="9"/>
      <c r="F19" s="9"/>
      <c r="G19" s="9"/>
      <c r="H19" s="9"/>
      <c r="I19" s="17" t="str">
        <f t="shared" si="0"/>
        <v/>
      </c>
    </row>
    <row r="20" spans="1:9" x14ac:dyDescent="0.3">
      <c r="A20" s="9">
        <v>9</v>
      </c>
      <c r="B20" s="2">
        <v>25.7</v>
      </c>
      <c r="C20" s="2">
        <v>15.2</v>
      </c>
      <c r="D20" s="2">
        <v>4.9000000000000004</v>
      </c>
      <c r="E20" s="2">
        <v>2.2000000000000002</v>
      </c>
      <c r="F20" s="2">
        <v>1.6</v>
      </c>
      <c r="G20" s="9"/>
      <c r="H20" s="128">
        <v>1</v>
      </c>
      <c r="I20" s="17">
        <f t="shared" si="0"/>
        <v>15.2</v>
      </c>
    </row>
    <row r="21" spans="1:9" x14ac:dyDescent="0.3">
      <c r="A21" s="9">
        <v>10</v>
      </c>
      <c r="B21" s="2">
        <v>22.7</v>
      </c>
      <c r="C21" s="9"/>
      <c r="D21" s="9"/>
      <c r="E21" s="9"/>
      <c r="F21" s="9"/>
      <c r="G21" s="9"/>
      <c r="H21" s="9"/>
      <c r="I21" s="17" t="str">
        <f t="shared" si="0"/>
        <v/>
      </c>
    </row>
    <row r="22" spans="1:9" x14ac:dyDescent="0.3">
      <c r="A22" s="9">
        <v>11</v>
      </c>
      <c r="B22" s="2">
        <v>11.5</v>
      </c>
      <c r="C22" s="2">
        <v>10.5</v>
      </c>
      <c r="D22" s="2">
        <v>5.0999999999999996</v>
      </c>
      <c r="E22" s="2">
        <v>0.9</v>
      </c>
      <c r="F22" s="2">
        <v>0.9</v>
      </c>
      <c r="G22" s="9"/>
      <c r="H22" s="9"/>
      <c r="I22" s="17" t="str">
        <f t="shared" si="0"/>
        <v/>
      </c>
    </row>
    <row r="23" spans="1:9" x14ac:dyDescent="0.3">
      <c r="A23" s="9">
        <v>12</v>
      </c>
      <c r="B23" s="2">
        <v>11.1</v>
      </c>
      <c r="C23" s="2"/>
      <c r="D23" s="9"/>
      <c r="E23" s="9"/>
      <c r="F23" s="9"/>
      <c r="G23" s="9"/>
      <c r="H23" s="9"/>
      <c r="I23" s="17" t="str">
        <f t="shared" si="0"/>
        <v/>
      </c>
    </row>
    <row r="24" spans="1:9" x14ac:dyDescent="0.3">
      <c r="A24" s="9">
        <v>13</v>
      </c>
      <c r="B24" s="2">
        <v>23.2</v>
      </c>
      <c r="C24" s="2"/>
      <c r="D24" s="9"/>
      <c r="E24" s="9"/>
      <c r="F24" s="9"/>
      <c r="G24" s="9"/>
      <c r="H24" s="9"/>
      <c r="I24" s="17" t="str">
        <f t="shared" si="0"/>
        <v/>
      </c>
    </row>
    <row r="25" spans="1:9" x14ac:dyDescent="0.3">
      <c r="A25" s="9">
        <v>14</v>
      </c>
      <c r="B25" s="2">
        <v>21.6</v>
      </c>
      <c r="C25" s="2">
        <v>17.7</v>
      </c>
      <c r="D25" s="2">
        <v>5.8</v>
      </c>
      <c r="E25" s="2">
        <v>0.6</v>
      </c>
      <c r="F25" s="2">
        <v>1.9</v>
      </c>
      <c r="G25" s="9"/>
      <c r="H25" s="9"/>
      <c r="I25" s="17" t="str">
        <f t="shared" si="0"/>
        <v/>
      </c>
    </row>
    <row r="26" spans="1:9" x14ac:dyDescent="0.3">
      <c r="A26" s="9">
        <v>15</v>
      </c>
      <c r="B26" s="2">
        <v>18.2</v>
      </c>
      <c r="C26" s="2"/>
      <c r="D26" s="9"/>
      <c r="E26" s="9"/>
      <c r="F26" s="9"/>
      <c r="G26" s="9"/>
      <c r="H26" s="9"/>
      <c r="I26" s="17" t="str">
        <f t="shared" si="0"/>
        <v/>
      </c>
    </row>
    <row r="27" spans="1:9" x14ac:dyDescent="0.3">
      <c r="A27" s="9">
        <v>16</v>
      </c>
      <c r="B27" s="2">
        <v>24.2</v>
      </c>
      <c r="C27" s="2"/>
      <c r="D27" s="9"/>
      <c r="E27" s="9"/>
      <c r="F27" s="9"/>
      <c r="G27" s="9"/>
      <c r="H27" s="9"/>
      <c r="I27" s="17" t="str">
        <f t="shared" si="0"/>
        <v/>
      </c>
    </row>
    <row r="28" spans="1:9" x14ac:dyDescent="0.3">
      <c r="A28" s="9">
        <v>17</v>
      </c>
      <c r="B28" s="2">
        <v>21.5</v>
      </c>
      <c r="C28" s="2"/>
      <c r="D28" s="9"/>
      <c r="E28" s="9"/>
      <c r="F28" s="9"/>
      <c r="G28" s="9"/>
      <c r="H28" s="9"/>
      <c r="I28" s="17" t="str">
        <f t="shared" si="0"/>
        <v/>
      </c>
    </row>
    <row r="29" spans="1:9" x14ac:dyDescent="0.3">
      <c r="A29" s="9">
        <v>18</v>
      </c>
      <c r="B29" s="2">
        <v>22.4</v>
      </c>
      <c r="C29" s="2"/>
      <c r="D29" s="9"/>
      <c r="E29" s="9"/>
      <c r="F29" s="9"/>
      <c r="G29" s="9"/>
      <c r="H29" s="9"/>
      <c r="I29" s="17" t="str">
        <f t="shared" si="0"/>
        <v/>
      </c>
    </row>
    <row r="30" spans="1:9" x14ac:dyDescent="0.3">
      <c r="A30" s="9">
        <v>19</v>
      </c>
      <c r="B30" s="2">
        <v>27.5</v>
      </c>
      <c r="C30" s="2">
        <v>19.2</v>
      </c>
      <c r="D30" s="9"/>
      <c r="E30" s="9"/>
      <c r="F30" s="9"/>
      <c r="G30" s="2">
        <v>36</v>
      </c>
      <c r="H30" s="128">
        <v>1</v>
      </c>
      <c r="I30" s="17">
        <f t="shared" si="0"/>
        <v>19.2</v>
      </c>
    </row>
    <row r="31" spans="1:9" x14ac:dyDescent="0.3">
      <c r="A31" s="9">
        <v>20</v>
      </c>
      <c r="B31" s="2">
        <v>21.1</v>
      </c>
      <c r="C31" s="2"/>
      <c r="D31" s="9"/>
      <c r="E31" s="9"/>
      <c r="F31" s="9"/>
      <c r="G31" s="9"/>
      <c r="H31" s="9"/>
      <c r="I31" s="17" t="str">
        <f t="shared" si="0"/>
        <v/>
      </c>
    </row>
    <row r="32" spans="1:9" x14ac:dyDescent="0.3">
      <c r="A32" s="9">
        <v>21</v>
      </c>
      <c r="B32" s="2">
        <v>25.2</v>
      </c>
      <c r="C32" s="2"/>
      <c r="D32" s="9"/>
      <c r="E32" s="9"/>
      <c r="F32" s="9"/>
      <c r="G32" s="9"/>
      <c r="H32" s="9"/>
      <c r="I32" s="17" t="str">
        <f t="shared" si="0"/>
        <v/>
      </c>
    </row>
    <row r="33" spans="1:9" x14ac:dyDescent="0.3">
      <c r="A33" s="9">
        <v>22</v>
      </c>
      <c r="B33" s="2">
        <v>19.600000000000001</v>
      </c>
      <c r="C33" s="2">
        <v>16.100000000000001</v>
      </c>
      <c r="D33" s="2">
        <v>10</v>
      </c>
      <c r="E33" s="2">
        <v>0.8</v>
      </c>
      <c r="F33" s="2">
        <v>1.2</v>
      </c>
      <c r="G33" s="9"/>
      <c r="H33" s="9"/>
      <c r="I33" s="17" t="str">
        <f t="shared" si="0"/>
        <v/>
      </c>
    </row>
    <row r="34" spans="1:9" x14ac:dyDescent="0.3">
      <c r="A34" s="9">
        <v>23</v>
      </c>
      <c r="B34" s="2">
        <v>21.7</v>
      </c>
      <c r="C34" s="9"/>
      <c r="D34" s="9"/>
      <c r="E34" s="9"/>
      <c r="F34" s="9"/>
      <c r="G34" s="9"/>
      <c r="H34" s="9"/>
      <c r="I34" s="17" t="str">
        <f t="shared" si="0"/>
        <v/>
      </c>
    </row>
    <row r="35" spans="1:9" x14ac:dyDescent="0.3">
      <c r="A35" s="9">
        <v>24</v>
      </c>
      <c r="B35" s="2">
        <v>23.2</v>
      </c>
      <c r="C35" s="2">
        <v>14.5</v>
      </c>
      <c r="D35" s="2">
        <v>7.6</v>
      </c>
      <c r="E35" s="2">
        <v>2.8</v>
      </c>
      <c r="F35" s="2">
        <v>1</v>
      </c>
      <c r="G35" s="9"/>
      <c r="H35" s="9"/>
      <c r="I35" s="17" t="str">
        <f t="shared" si="0"/>
        <v/>
      </c>
    </row>
    <row r="36" spans="1:9" x14ac:dyDescent="0.3">
      <c r="A36" s="9">
        <v>25</v>
      </c>
      <c r="B36" s="2">
        <v>25.4</v>
      </c>
      <c r="C36" s="9"/>
      <c r="D36" s="9"/>
      <c r="E36" s="9"/>
      <c r="F36" s="9"/>
      <c r="G36" s="9"/>
      <c r="H36" s="9"/>
      <c r="I36" s="17" t="str">
        <f t="shared" si="0"/>
        <v/>
      </c>
    </row>
    <row r="37" spans="1:9" x14ac:dyDescent="0.3">
      <c r="A37" s="9">
        <v>26</v>
      </c>
      <c r="B37" s="2">
        <v>14.5</v>
      </c>
      <c r="C37" s="9"/>
      <c r="D37" s="9"/>
      <c r="E37" s="9"/>
      <c r="F37" s="9"/>
      <c r="G37" s="9"/>
      <c r="H37" s="9"/>
      <c r="I37" s="17" t="str">
        <f t="shared" si="0"/>
        <v/>
      </c>
    </row>
    <row r="38" spans="1:9" x14ac:dyDescent="0.3">
      <c r="A38" s="9">
        <v>27</v>
      </c>
      <c r="B38" s="2">
        <v>22.1</v>
      </c>
      <c r="C38" s="9"/>
      <c r="D38" s="9"/>
      <c r="E38" s="9"/>
      <c r="F38" s="9"/>
      <c r="G38" s="9"/>
      <c r="H38" s="9"/>
      <c r="I38" s="17" t="str">
        <f t="shared" si="0"/>
        <v/>
      </c>
    </row>
    <row r="39" spans="1:9" x14ac:dyDescent="0.3">
      <c r="A39" s="9">
        <v>28</v>
      </c>
      <c r="B39" s="2">
        <v>20.3</v>
      </c>
      <c r="C39" s="9"/>
      <c r="D39" s="9"/>
      <c r="E39" s="9"/>
      <c r="F39" s="9"/>
      <c r="G39" s="9"/>
      <c r="H39" s="9"/>
      <c r="I39" s="17" t="str">
        <f t="shared" si="0"/>
        <v/>
      </c>
    </row>
    <row r="40" spans="1:9" x14ac:dyDescent="0.3">
      <c r="A40" s="9">
        <v>29</v>
      </c>
      <c r="B40" s="2">
        <v>23.5</v>
      </c>
      <c r="C40" s="9"/>
      <c r="D40" s="9"/>
      <c r="E40" s="9"/>
      <c r="F40" s="9"/>
      <c r="G40" s="9"/>
      <c r="H40" s="9"/>
      <c r="I40" s="17" t="str">
        <f t="shared" si="0"/>
        <v/>
      </c>
    </row>
    <row r="41" spans="1:9" x14ac:dyDescent="0.3">
      <c r="A41" s="9">
        <v>30</v>
      </c>
      <c r="B41" s="2">
        <v>17.100000000000001</v>
      </c>
      <c r="C41" s="9"/>
      <c r="D41" s="9"/>
      <c r="E41" s="9"/>
      <c r="F41" s="9"/>
      <c r="G41" s="9"/>
      <c r="H41" s="9"/>
      <c r="I41" s="17" t="str">
        <f t="shared" si="0"/>
        <v/>
      </c>
    </row>
    <row r="42" spans="1:9" x14ac:dyDescent="0.3">
      <c r="A42" s="9">
        <v>31</v>
      </c>
      <c r="B42" s="2">
        <v>24.1</v>
      </c>
      <c r="C42" s="9"/>
      <c r="D42" s="9"/>
      <c r="E42" s="9"/>
      <c r="F42" s="9"/>
      <c r="G42" s="9"/>
      <c r="H42" s="9"/>
      <c r="I42" s="17" t="str">
        <f t="shared" si="0"/>
        <v/>
      </c>
    </row>
    <row r="43" spans="1:9" x14ac:dyDescent="0.3">
      <c r="A43" s="9">
        <v>32</v>
      </c>
      <c r="B43" s="2">
        <v>25.4</v>
      </c>
      <c r="C43" s="9"/>
      <c r="D43" s="9"/>
      <c r="E43" s="9"/>
      <c r="F43" s="9"/>
      <c r="G43" s="9"/>
      <c r="H43" s="9"/>
      <c r="I43" s="17" t="str">
        <f t="shared" si="0"/>
        <v/>
      </c>
    </row>
    <row r="44" spans="1:9" x14ac:dyDescent="0.3">
      <c r="A44" s="6"/>
    </row>
    <row r="45" spans="1:9" x14ac:dyDescent="0.3">
      <c r="A45" s="6"/>
    </row>
    <row r="46" spans="1:9" x14ac:dyDescent="0.3">
      <c r="A46" s="6"/>
    </row>
    <row r="47" spans="1:9" x14ac:dyDescent="0.3">
      <c r="A47" s="6"/>
    </row>
    <row r="48" spans="1:9" x14ac:dyDescent="0.3">
      <c r="A48" s="6"/>
    </row>
    <row r="49" spans="1:1" x14ac:dyDescent="0.3">
      <c r="A49" s="6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  <row r="57" spans="1:1" x14ac:dyDescent="0.3">
      <c r="A57" s="6"/>
    </row>
    <row r="58" spans="1:1" x14ac:dyDescent="0.3">
      <c r="A58" s="6"/>
    </row>
    <row r="59" spans="1:1" x14ac:dyDescent="0.3">
      <c r="A59" s="6"/>
    </row>
    <row r="60" spans="1:1" x14ac:dyDescent="0.3">
      <c r="A60" s="6"/>
    </row>
    <row r="61" spans="1:1" x14ac:dyDescent="0.3">
      <c r="A61" s="6"/>
    </row>
    <row r="62" spans="1:1" x14ac:dyDescent="0.3">
      <c r="A62" s="6"/>
    </row>
    <row r="63" spans="1:1" x14ac:dyDescent="0.3">
      <c r="A63" s="6"/>
    </row>
    <row r="64" spans="1:1" x14ac:dyDescent="0.3">
      <c r="A64" s="6"/>
    </row>
    <row r="65" spans="1:1" x14ac:dyDescent="0.3">
      <c r="A65" s="6"/>
    </row>
    <row r="66" spans="1:1" x14ac:dyDescent="0.3">
      <c r="A66" s="6"/>
    </row>
    <row r="67" spans="1:1" x14ac:dyDescent="0.3">
      <c r="A67" s="6"/>
    </row>
    <row r="68" spans="1:1" x14ac:dyDescent="0.3">
      <c r="A68" s="6"/>
    </row>
    <row r="69" spans="1:1" x14ac:dyDescent="0.3">
      <c r="A69" s="6"/>
    </row>
    <row r="70" spans="1:1" x14ac:dyDescent="0.3">
      <c r="A70" s="6"/>
    </row>
    <row r="71" spans="1:1" x14ac:dyDescent="0.3">
      <c r="A71" s="6"/>
    </row>
    <row r="72" spans="1:1" x14ac:dyDescent="0.3">
      <c r="A72" s="6"/>
    </row>
    <row r="73" spans="1:1" x14ac:dyDescent="0.3">
      <c r="A73" s="6"/>
    </row>
    <row r="74" spans="1:1" x14ac:dyDescent="0.3">
      <c r="A74" s="6"/>
    </row>
    <row r="75" spans="1:1" x14ac:dyDescent="0.3">
      <c r="A75" s="6"/>
    </row>
    <row r="76" spans="1:1" x14ac:dyDescent="0.3">
      <c r="A76" s="6"/>
    </row>
    <row r="77" spans="1:1" x14ac:dyDescent="0.3">
      <c r="A77" s="6"/>
    </row>
    <row r="78" spans="1:1" x14ac:dyDescent="0.3">
      <c r="A78" s="6"/>
    </row>
    <row r="79" spans="1: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</sheetData>
  <mergeCells count="1">
    <mergeCell ref="J2:L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123_plotEc_dist_diametros</vt:lpstr>
      <vt:lpstr>123_plotEc</vt:lpstr>
      <vt:lpstr>123_plotSb</vt:lpstr>
      <vt:lpstr>123_plotPb</vt:lpstr>
      <vt:lpstr>'123_plotEc'!_Toc145622164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2025-11-09T19:07:42Z</dcterms:modified>
</cp:coreProperties>
</file>