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G_Backup\Susana\Aulas\1_InventarioFlorestal\Python2025-2026\AmostEstrat\am_Estrat\"/>
    </mc:Choice>
  </mc:AlternateContent>
  <bookViews>
    <workbookView xWindow="0" yWindow="0" windowWidth="23040" windowHeight="8904" activeTab="2"/>
  </bookViews>
  <sheets>
    <sheet name="Pb" sheetId="2" r:id="rId1"/>
    <sheet name="Pm" sheetId="1" r:id="rId2"/>
    <sheet name="carbono_calculos_erro_amost" sheetId="6" r:id="rId3"/>
    <sheet name="exercicio_treino" sheetId="7" r:id="rId4"/>
  </sheets>
  <definedNames>
    <definedName name="_xlnm._FilterDatabase" localSheetId="2" hidden="1">carbono_calculos_erro_amost!$A$1:$I$53</definedName>
    <definedName name="_xlnm._FilterDatabase" localSheetId="0" hidden="1">Pb!$A$2:$S$38</definedName>
  </definedNames>
  <calcPr calcId="162913"/>
  <pivotCaches>
    <pivotCache cacheId="18" r:id="rId5"/>
  </pivotCaches>
</workbook>
</file>

<file path=xl/calcChain.xml><?xml version="1.0" encoding="utf-8"?>
<calcChain xmlns="http://schemas.openxmlformats.org/spreadsheetml/2006/main">
  <c r="Q71" i="6" l="1"/>
  <c r="S74" i="6"/>
  <c r="S73" i="6"/>
  <c r="Q65" i="6"/>
  <c r="S72" i="6"/>
  <c r="Q57" i="6"/>
  <c r="S71" i="6"/>
  <c r="U63" i="6"/>
  <c r="U60" i="6"/>
  <c r="U61" i="6"/>
  <c r="U62" i="6"/>
  <c r="U59" i="6"/>
  <c r="S69" i="6"/>
  <c r="S68" i="6"/>
  <c r="S67" i="6"/>
  <c r="T64" i="6"/>
  <c r="T63" i="6"/>
  <c r="T60" i="6"/>
  <c r="T61" i="6"/>
  <c r="T62" i="6"/>
  <c r="T59" i="6"/>
  <c r="S60" i="6"/>
  <c r="S61" i="6"/>
  <c r="S62" i="6"/>
  <c r="S59" i="6"/>
  <c r="R60" i="6"/>
  <c r="R61" i="6"/>
  <c r="R62" i="6"/>
  <c r="R59" i="6"/>
  <c r="T50" i="6" l="1"/>
  <c r="U53" i="6"/>
  <c r="U52" i="6"/>
  <c r="U51" i="6"/>
  <c r="U50" i="6"/>
  <c r="T41" i="6"/>
  <c r="T40" i="6"/>
  <c r="T39" i="6"/>
  <c r="Q38" i="6"/>
  <c r="K7" i="6" l="1"/>
  <c r="K6" i="6"/>
  <c r="K5" i="6"/>
  <c r="K4" i="6"/>
  <c r="X24" i="6" l="1"/>
  <c r="W24" i="6"/>
  <c r="V24" i="6"/>
  <c r="U24" i="6"/>
  <c r="R24" i="6"/>
  <c r="S24" i="6"/>
  <c r="S29" i="6"/>
  <c r="R38" i="6" s="1"/>
  <c r="T43" i="6" s="1"/>
  <c r="G2" i="6"/>
  <c r="R26" i="6" l="1"/>
  <c r="K8" i="6"/>
  <c r="K9" i="6"/>
  <c r="K11" i="6" s="1"/>
  <c r="K13" i="6" l="1"/>
  <c r="K12" i="6"/>
  <c r="F32" i="6" l="1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16" i="6"/>
  <c r="F17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41" i="6"/>
  <c r="E42" i="6"/>
  <c r="E43" i="6"/>
  <c r="E48" i="6"/>
  <c r="E51" i="6"/>
  <c r="E2" i="6"/>
  <c r="U31" i="6"/>
  <c r="R25" i="6"/>
  <c r="S25" i="6" s="1"/>
  <c r="R27" i="6"/>
  <c r="P24" i="6"/>
  <c r="P31" i="6"/>
  <c r="W25" i="6" l="1"/>
  <c r="W26" i="6"/>
  <c r="W27" i="6"/>
  <c r="W29" i="6" l="1"/>
  <c r="R45" i="6" s="1"/>
  <c r="T44" i="6" s="1"/>
  <c r="T45" i="6" s="1"/>
  <c r="T47" i="6" s="1"/>
  <c r="V27" i="6"/>
  <c r="P27" i="6"/>
  <c r="V26" i="6"/>
  <c r="P26" i="6"/>
  <c r="V25" i="6"/>
  <c r="P25" i="6"/>
  <c r="T52" i="6" l="1"/>
  <c r="V52" i="6" s="1"/>
  <c r="T53" i="6"/>
  <c r="V53" i="6" s="1"/>
  <c r="V50" i="6"/>
  <c r="T51" i="6"/>
  <c r="V51" i="6" s="1"/>
  <c r="P29" i="6"/>
  <c r="U27" i="6"/>
  <c r="X27" i="6" s="1"/>
  <c r="S27" i="6" l="1"/>
  <c r="Q41" i="6"/>
  <c r="U25" i="6"/>
  <c r="X25" i="6" s="1"/>
  <c r="Q39" i="6"/>
  <c r="S26" i="6"/>
  <c r="Q40" i="6"/>
  <c r="U26" i="6"/>
  <c r="X26" i="6" s="1"/>
  <c r="Q42" i="6"/>
  <c r="X29" i="6" l="1"/>
  <c r="X30" i="6" s="1"/>
  <c r="X32" i="6" s="1"/>
  <c r="X33" i="6" s="1"/>
  <c r="Q43" i="6"/>
  <c r="G32" i="6"/>
  <c r="G33" i="6"/>
  <c r="G34" i="6"/>
  <c r="G35" i="6"/>
  <c r="G36" i="6"/>
  <c r="G37" i="6"/>
  <c r="G38" i="6"/>
  <c r="G39" i="6"/>
  <c r="G40" i="6"/>
  <c r="G44" i="6"/>
  <c r="G45" i="6"/>
  <c r="G46" i="6"/>
  <c r="G47" i="6"/>
  <c r="G49" i="6"/>
  <c r="G50" i="6"/>
  <c r="G52" i="6"/>
  <c r="G53" i="6"/>
  <c r="G7" i="6"/>
  <c r="G8" i="6"/>
  <c r="G9" i="6"/>
  <c r="G10" i="6"/>
  <c r="G48" i="6"/>
  <c r="G3" i="6"/>
  <c r="G22" i="6"/>
  <c r="G23" i="6"/>
  <c r="G11" i="6"/>
  <c r="G4" i="6"/>
  <c r="G5" i="6"/>
  <c r="G12" i="6"/>
  <c r="G24" i="6"/>
  <c r="G13" i="6"/>
  <c r="G25" i="6"/>
  <c r="G6" i="6"/>
  <c r="G26" i="6"/>
  <c r="G14" i="6"/>
  <c r="G27" i="6"/>
  <c r="G15" i="6"/>
  <c r="G16" i="6"/>
  <c r="G28" i="6"/>
  <c r="G29" i="6"/>
  <c r="G30" i="6"/>
  <c r="G31" i="6"/>
  <c r="G18" i="6"/>
  <c r="X35" i="6" l="1"/>
  <c r="G51" i="6"/>
  <c r="G43" i="6"/>
  <c r="G42" i="6"/>
  <c r="G17" i="6"/>
  <c r="G41" i="6"/>
  <c r="G21" i="6"/>
  <c r="Y35" i="6" l="1"/>
</calcChain>
</file>

<file path=xl/sharedStrings.xml><?xml version="1.0" encoding="utf-8"?>
<sst xmlns="http://schemas.openxmlformats.org/spreadsheetml/2006/main" count="387" uniqueCount="115">
  <si>
    <t>ID_pov</t>
  </si>
  <si>
    <t>Area_ha</t>
  </si>
  <si>
    <t>areap</t>
  </si>
  <si>
    <t>ID_parc</t>
  </si>
  <si>
    <t>tdom</t>
  </si>
  <si>
    <t>ddom</t>
  </si>
  <si>
    <t>hdom</t>
  </si>
  <si>
    <t>N</t>
  </si>
  <si>
    <t>G</t>
  </si>
  <si>
    <t>V</t>
  </si>
  <si>
    <t>Ww</t>
  </si>
  <si>
    <t>Wb</t>
  </si>
  <si>
    <t>Wbr</t>
  </si>
  <si>
    <t>Wl</t>
  </si>
  <si>
    <t>Wa</t>
  </si>
  <si>
    <t>Wr</t>
  </si>
  <si>
    <t>W</t>
  </si>
  <si>
    <t>Stock_C</t>
  </si>
  <si>
    <t>PbPb50</t>
  </si>
  <si>
    <t>PmPm</t>
  </si>
  <si>
    <t>PbPb30</t>
  </si>
  <si>
    <t>PbPb90</t>
  </si>
  <si>
    <t>PbPbJv</t>
  </si>
  <si>
    <t>Row Labels</t>
  </si>
  <si>
    <t>Grand Total</t>
  </si>
  <si>
    <t>n</t>
  </si>
  <si>
    <t>media</t>
  </si>
  <si>
    <t>ID_PARC</t>
  </si>
  <si>
    <t>Area</t>
  </si>
  <si>
    <t>TP_PARC</t>
  </si>
  <si>
    <t>Estrato</t>
  </si>
  <si>
    <t>Florestal</t>
  </si>
  <si>
    <t>C_Pb</t>
  </si>
  <si>
    <t>C_Pm</t>
  </si>
  <si>
    <t>C_total</t>
  </si>
  <si>
    <t>desvio</t>
  </si>
  <si>
    <t>erro%_c</t>
  </si>
  <si>
    <t>area</t>
  </si>
  <si>
    <t>Ctot_med</t>
  </si>
  <si>
    <t>Average of C_total</t>
  </si>
  <si>
    <t>Pj</t>
  </si>
  <si>
    <t>nj</t>
  </si>
  <si>
    <t>Xj</t>
  </si>
  <si>
    <t>StdDev of C_total</t>
  </si>
  <si>
    <t>Sj</t>
  </si>
  <si>
    <t>Nj</t>
  </si>
  <si>
    <r>
      <t>Sj</t>
    </r>
    <r>
      <rPr>
        <b/>
        <vertAlign val="superscript"/>
        <sz val="11"/>
        <color rgb="FFC00000"/>
        <rFont val="Calibri"/>
        <family val="2"/>
        <scheme val="minor"/>
      </rPr>
      <t>2</t>
    </r>
  </si>
  <si>
    <t>S</t>
  </si>
  <si>
    <t>Erro</t>
  </si>
  <si>
    <t>Erro%</t>
  </si>
  <si>
    <t>[ ] Conf</t>
  </si>
  <si>
    <t>Z</t>
  </si>
  <si>
    <r>
      <t>S</t>
    </r>
    <r>
      <rPr>
        <b/>
        <vertAlign val="superscript"/>
        <sz val="11"/>
        <color rgb="FFC00000"/>
        <rFont val="Calibri"/>
        <family val="2"/>
        <scheme val="minor"/>
      </rPr>
      <t>2</t>
    </r>
  </si>
  <si>
    <t>N=</t>
  </si>
  <si>
    <t>den1</t>
  </si>
  <si>
    <r>
      <t>Pj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</si>
  <si>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=COUNT(</t>
    </r>
    <r>
      <rPr>
        <sz val="11"/>
        <color rgb="FF0066FF"/>
        <rFont val="Calibri"/>
        <family val="2"/>
        <scheme val="minor"/>
      </rPr>
      <t>G2:G53</t>
    </r>
    <r>
      <rPr>
        <sz val="11"/>
        <color theme="1"/>
        <rFont val="Calibri"/>
        <family val="2"/>
        <scheme val="minor"/>
      </rPr>
      <t>)</t>
    </r>
  </si>
  <si>
    <r>
      <t>=AVERAGE(</t>
    </r>
    <r>
      <rPr>
        <sz val="11"/>
        <color rgb="FF0066FF"/>
        <rFont val="Calibri"/>
        <family val="2"/>
        <scheme val="minor"/>
      </rPr>
      <t>G2:G53</t>
    </r>
    <r>
      <rPr>
        <sz val="11"/>
        <color theme="1"/>
        <rFont val="Calibri"/>
        <family val="2"/>
        <scheme val="minor"/>
      </rPr>
      <t>)</t>
    </r>
  </si>
  <si>
    <r>
      <t>=STDEV(</t>
    </r>
    <r>
      <rPr>
        <sz val="11"/>
        <color rgb="FF0066FF"/>
        <rFont val="Calibri"/>
        <family val="2"/>
        <scheme val="minor"/>
      </rPr>
      <t>G2:G53</t>
    </r>
    <r>
      <rPr>
        <sz val="11"/>
        <color theme="1"/>
        <rFont val="Calibri"/>
        <family val="2"/>
        <scheme val="minor"/>
      </rPr>
      <t>)</t>
    </r>
  </si>
  <si>
    <r>
      <t>=NORM.S.INV(</t>
    </r>
    <r>
      <rPr>
        <sz val="11"/>
        <color rgb="FF0066FF"/>
        <rFont val="Calibri"/>
        <family val="2"/>
        <scheme val="minor"/>
      </rPr>
      <t>0.975</t>
    </r>
    <r>
      <rPr>
        <sz val="11"/>
        <color theme="1"/>
        <rFont val="Calibri"/>
        <family val="2"/>
        <scheme val="minor"/>
      </rPr>
      <t>)</t>
    </r>
  </si>
  <si>
    <t>[ ] Conf:</t>
  </si>
  <si>
    <t>lim_inf</t>
  </si>
  <si>
    <t>lim_sup</t>
  </si>
  <si>
    <r>
      <t>=</t>
    </r>
    <r>
      <rPr>
        <b/>
        <sz val="11"/>
        <color theme="7"/>
        <rFont val="Calibri"/>
        <family val="2"/>
        <scheme val="minor"/>
      </rPr>
      <t>K3</t>
    </r>
    <r>
      <rPr>
        <sz val="11"/>
        <color theme="1"/>
        <rFont val="Calibri"/>
        <family val="2"/>
        <scheme val="minor"/>
      </rPr>
      <t>*10000/500</t>
    </r>
  </si>
  <si>
    <t>AreaTotal (ha)</t>
  </si>
  <si>
    <r>
      <t>=</t>
    </r>
    <r>
      <rPr>
        <b/>
        <sz val="11"/>
        <color rgb="FF0066FF"/>
        <rFont val="Calibri"/>
        <family val="2"/>
        <scheme val="minor"/>
      </rPr>
      <t>R30</t>
    </r>
    <r>
      <rPr>
        <sz val="11"/>
        <color theme="1"/>
        <rFont val="Calibri"/>
        <family val="2"/>
        <scheme val="minor"/>
      </rPr>
      <t>*10000/500</t>
    </r>
  </si>
  <si>
    <t>pivot table</t>
  </si>
  <si>
    <r>
      <t>S_estr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</si>
  <si>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sz val="9"/>
        <color theme="1"/>
        <rFont val="Calibri"/>
        <family val="2"/>
        <scheme val="minor"/>
      </rPr>
      <t>=</t>
    </r>
    <r>
      <rPr>
        <b/>
        <sz val="9"/>
        <color theme="1"/>
        <rFont val="Calibri"/>
        <family val="2"/>
        <scheme val="minor"/>
      </rPr>
      <t>area</t>
    </r>
    <r>
      <rPr>
        <sz val="9"/>
        <color theme="1"/>
        <rFont val="Calibri"/>
        <family val="2"/>
        <scheme val="minor"/>
      </rPr>
      <t>*10000/500</t>
    </r>
  </si>
  <si>
    <t>'=Ctot_med*Pj</t>
  </si>
  <si>
    <t>VcatA</t>
  </si>
  <si>
    <t>VcatB</t>
  </si>
  <si>
    <t>VcatC</t>
  </si>
  <si>
    <t>Vbicada</t>
  </si>
  <si>
    <t>Ws</t>
  </si>
  <si>
    <t>Count of C_total</t>
  </si>
  <si>
    <t>(Exportado do R)</t>
  </si>
  <si>
    <t>Erro_c</t>
  </si>
  <si>
    <t>e quantas parcelas por estrato?</t>
  </si>
  <si>
    <t>Um erro de 15% continua a ser alto. Para o baixar teriamos de aumentar a dimensão da amostra (se o proprietário tivesse como pagar mais parcelas...). Vamos admitir baixar para 10%</t>
  </si>
  <si>
    <t>Pivot table</t>
  </si>
  <si>
    <t>I - Amostragem Simples</t>
  </si>
  <si>
    <t>II - Amostragem Estratificada</t>
  </si>
  <si>
    <r>
      <t>=</t>
    </r>
    <r>
      <rPr>
        <b/>
        <sz val="11"/>
        <color theme="9" tint="-0.249977111117893"/>
        <rFont val="Calibri"/>
        <family val="2"/>
        <scheme val="minor"/>
      </rPr>
      <t>K8</t>
    </r>
    <r>
      <rPr>
        <sz val="11"/>
        <color theme="1"/>
        <rFont val="Calibri"/>
        <family val="2"/>
        <scheme val="minor"/>
      </rPr>
      <t>*</t>
    </r>
    <r>
      <rPr>
        <b/>
        <sz val="11"/>
        <color theme="6"/>
        <rFont val="Calibri"/>
        <family val="2"/>
        <scheme val="minor"/>
      </rPr>
      <t>K7</t>
    </r>
    <r>
      <rPr>
        <sz val="11"/>
        <color theme="1"/>
        <rFont val="Calibri"/>
        <family val="2"/>
        <scheme val="minor"/>
      </rPr>
      <t>/SQRT(</t>
    </r>
    <r>
      <rPr>
        <b/>
        <sz val="11"/>
        <color theme="8"/>
        <rFont val="Calibri"/>
        <family val="2"/>
        <scheme val="minor"/>
      </rPr>
      <t>K5</t>
    </r>
    <r>
      <rPr>
        <sz val="11"/>
        <color theme="1"/>
        <rFont val="Calibri"/>
        <family val="2"/>
        <scheme val="minor"/>
      </rPr>
      <t>)</t>
    </r>
  </si>
  <si>
    <r>
      <t>=</t>
    </r>
    <r>
      <rPr>
        <b/>
        <sz val="11"/>
        <color theme="1"/>
        <rFont val="Calibri"/>
        <family val="2"/>
        <scheme val="minor"/>
      </rPr>
      <t>k9</t>
    </r>
    <r>
      <rPr>
        <sz val="11"/>
        <color theme="1"/>
        <rFont val="Calibri"/>
        <family val="2"/>
        <scheme val="minor"/>
      </rPr>
      <t>/</t>
    </r>
    <r>
      <rPr>
        <b/>
        <sz val="11"/>
        <color rgb="FFC00000"/>
        <rFont val="Calibri"/>
        <family val="2"/>
        <scheme val="minor"/>
      </rPr>
      <t>k6</t>
    </r>
    <r>
      <rPr>
        <sz val="11"/>
        <color theme="1"/>
        <rFont val="Calibri"/>
        <family val="2"/>
        <scheme val="minor"/>
      </rPr>
      <t>*100</t>
    </r>
  </si>
  <si>
    <r>
      <t>=</t>
    </r>
    <r>
      <rPr>
        <b/>
        <sz val="11"/>
        <color theme="5"/>
        <rFont val="Calibri"/>
        <family val="2"/>
        <scheme val="minor"/>
      </rPr>
      <t>k6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k9</t>
    </r>
  </si>
  <si>
    <t>Ignorando a existência de estratos, obtemos um erro de amostragem de 19%</t>
  </si>
  <si>
    <t>Calculando as médias e os devios por estrato vemos que ha uns que são muito diferentes dos outros. Optando por amostragem estratificada conseguimos reduzir o erro de amostragem de 19% para 15%</t>
  </si>
  <si>
    <r>
      <rPr>
        <b/>
        <sz val="11"/>
        <color theme="1"/>
        <rFont val="Calibri"/>
        <family val="2"/>
        <scheme val="minor"/>
      </rPr>
      <t>Pj</t>
    </r>
    <r>
      <rPr>
        <sz val="11"/>
        <color theme="1"/>
        <rFont val="Calibri"/>
        <family val="2"/>
        <scheme val="minor"/>
      </rPr>
      <t xml:space="preserve">   * </t>
    </r>
    <r>
      <rPr>
        <b/>
        <sz val="11"/>
        <color rgb="FFC00000"/>
        <rFont val="Calibri"/>
        <family val="2"/>
        <scheme val="minor"/>
      </rPr>
      <t>Sj</t>
    </r>
    <r>
      <rPr>
        <b/>
        <vertAlign val="superscript"/>
        <sz val="11"/>
        <color rgb="FFC00000"/>
        <rFont val="Calibri"/>
        <family val="2"/>
        <scheme val="minor"/>
      </rPr>
      <t>2</t>
    </r>
  </si>
  <si>
    <t>numerador:</t>
  </si>
  <si>
    <r>
      <t>Z</t>
    </r>
    <r>
      <rPr>
        <b/>
        <vertAlign val="superscript"/>
        <sz val="11"/>
        <color theme="8"/>
        <rFont val="Calibri"/>
        <family val="2"/>
        <scheme val="minor"/>
      </rPr>
      <t>2</t>
    </r>
  </si>
  <si>
    <t>somatório</t>
  </si>
  <si>
    <r>
      <rPr>
        <b/>
        <sz val="11"/>
        <color theme="8"/>
        <rFont val="Calibri"/>
        <family val="2"/>
        <scheme val="minor"/>
      </rPr>
      <t>Z</t>
    </r>
    <r>
      <rPr>
        <b/>
        <vertAlign val="superscript"/>
        <sz val="11"/>
        <color theme="8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</t>
    </r>
    <r>
      <rPr>
        <b/>
        <sz val="11"/>
        <color theme="2" tint="-0.499984740745262"/>
        <rFont val="Calibri"/>
        <family val="2"/>
        <scheme val="minor"/>
      </rPr>
      <t>Sum</t>
    </r>
  </si>
  <si>
    <t>den2</t>
  </si>
  <si>
    <t>denominador:</t>
  </si>
  <si>
    <t>den</t>
  </si>
  <si>
    <t>n =</t>
  </si>
  <si>
    <t>Medir +:</t>
  </si>
  <si>
    <t>nj_15%</t>
  </si>
  <si>
    <t>para um erro de 10% teriamos de medir 107 parcelas (em vez de 50)</t>
  </si>
  <si>
    <r>
      <t>=</t>
    </r>
    <r>
      <rPr>
        <sz val="11"/>
        <color rgb="FFC00000"/>
        <rFont val="Calibri"/>
        <family val="2"/>
        <scheme val="minor"/>
      </rPr>
      <t>k</t>
    </r>
    <r>
      <rPr>
        <b/>
        <sz val="11"/>
        <color theme="5"/>
        <rFont val="Calibri"/>
        <family val="2"/>
        <scheme val="minor"/>
      </rPr>
      <t>6</t>
    </r>
    <r>
      <rPr>
        <sz val="11"/>
        <rFont val="Calibri"/>
        <family val="2"/>
        <scheme val="minor"/>
      </rPr>
      <t>+k</t>
    </r>
    <r>
      <rPr>
        <b/>
        <sz val="11"/>
        <color theme="1"/>
        <rFont val="Calibri"/>
        <family val="2"/>
        <scheme val="minor"/>
      </rPr>
      <t>9</t>
    </r>
  </si>
  <si>
    <t>Calcular o erro de amostragem para efeitos de gestão dos povoamentos para as variáveis  N e G</t>
  </si>
  <si>
    <t>Assumir que não ha diferenças entre os estratos/povoamentos e calcular o erro de amostragem para as 51 parcelas para a variável C_total</t>
  </si>
  <si>
    <t>Assumir que há diferenças entre os estratos/povoamentos e calcular o erro de amostragem considerando estratificação para a variável C_total</t>
  </si>
  <si>
    <t>II.1</t>
  </si>
  <si>
    <r>
      <t xml:space="preserve">Cálculo da grandeza da amostra considerando </t>
    </r>
    <r>
      <rPr>
        <b/>
        <sz val="16"/>
        <color theme="8"/>
        <rFont val="Calibri"/>
        <family val="2"/>
        <scheme val="minor"/>
      </rPr>
      <t>amostragem proporcional à dimensão do estrato</t>
    </r>
    <r>
      <rPr>
        <b/>
        <sz val="16"/>
        <color theme="1"/>
        <rFont val="Calibri"/>
        <family val="2"/>
        <scheme val="minor"/>
      </rPr>
      <t xml:space="preserve"> e um erro de:</t>
    </r>
  </si>
  <si>
    <t>II.2</t>
  </si>
  <si>
    <r>
      <t xml:space="preserve">Cálculo da grandeza da amostra considerando </t>
    </r>
    <r>
      <rPr>
        <b/>
        <sz val="16"/>
        <color theme="8"/>
        <rFont val="Calibri"/>
        <family val="2"/>
        <scheme val="minor"/>
      </rPr>
      <t>amostragem optima</t>
    </r>
    <r>
      <rPr>
        <sz val="16"/>
        <color theme="1"/>
        <rFont val="Calibri"/>
        <family val="2"/>
        <scheme val="minor"/>
      </rPr>
      <t xml:space="preserve"> e um erro de:</t>
    </r>
  </si>
  <si>
    <r>
      <rPr>
        <b/>
        <sz val="11"/>
        <color theme="1"/>
        <rFont val="Calibri"/>
        <family val="2"/>
        <scheme val="minor"/>
      </rPr>
      <t>Pj</t>
    </r>
    <r>
      <rPr>
        <sz val="11"/>
        <color theme="1"/>
        <rFont val="Calibri"/>
        <family val="2"/>
        <scheme val="minor"/>
      </rPr>
      <t xml:space="preserve">   *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Sj</t>
    </r>
  </si>
  <si>
    <t>num</t>
  </si>
  <si>
    <t>num1</t>
  </si>
  <si>
    <r>
      <rPr>
        <b/>
        <sz val="11"/>
        <color theme="1"/>
        <rFont val="Calibri"/>
        <family val="2"/>
        <scheme val="minor"/>
      </rPr>
      <t>Pj</t>
    </r>
    <r>
      <rPr>
        <sz val="11"/>
        <color theme="1"/>
        <rFont val="Calibri"/>
        <family val="2"/>
        <scheme val="minor"/>
      </rPr>
      <t xml:space="preserve">   *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Sj</t>
    </r>
    <r>
      <rPr>
        <b/>
        <vertAlign val="superscript"/>
        <sz val="11"/>
        <rFont val="Calibri"/>
        <family val="2"/>
        <scheme val="minor"/>
      </rPr>
      <t>2</t>
    </r>
  </si>
  <si>
    <t>para um erro de 10% teriamos de medir 99 parcelas (em vez de 50)</t>
  </si>
  <si>
    <t>Na pratica é quase impossivel o proprietário voltar logo ao campo para medir mais umas parcelas extra. Quanto muito 5 anos depois quando repetir o inventáreio adensa a grelha.</t>
  </si>
  <si>
    <t>Agora lançavamos uma grelha a garantir que calhassem 99 parcelas na mata da Amieira e logo se via quantas caiam em cada estrato aproveitando as que ja tinham sido medidas. Isto origina a existencia de duas grelhas o que não é muito simpatico. Ou mesmo a criação de uma grelha diferente para cada estrato. O que se poderia fazer era uma grid multipla (metade da original) e e depois sortear na grid "metade da original" onde vão cair as novas parcelas a ser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</si>
</sst>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33CC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33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vertAlign val="superscript"/>
      <sz val="11"/>
      <color theme="8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9933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7" borderId="0" xfId="0" applyFill="1"/>
    <xf numFmtId="164" fontId="0" fillId="7" borderId="0" xfId="0" applyNumberFormat="1" applyFill="1"/>
    <xf numFmtId="0" fontId="3" fillId="0" borderId="0" xfId="0" applyFont="1" applyFill="1"/>
    <xf numFmtId="164" fontId="3" fillId="0" borderId="0" xfId="0" applyNumberFormat="1" applyFont="1" applyFill="1"/>
    <xf numFmtId="0" fontId="0" fillId="8" borderId="0" xfId="0" applyFill="1"/>
    <xf numFmtId="164" fontId="0" fillId="8" borderId="0" xfId="0" applyNumberFormat="1" applyFill="1"/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164" fontId="1" fillId="0" borderId="0" xfId="0" applyNumberFormat="1" applyFont="1"/>
    <xf numFmtId="1" fontId="0" fillId="0" borderId="0" xfId="0" applyNumberFormat="1" applyAlignment="1">
      <alignment horizontal="center"/>
    </xf>
    <xf numFmtId="164" fontId="0" fillId="2" borderId="0" xfId="0" applyNumberFormat="1" applyFill="1"/>
    <xf numFmtId="0" fontId="9" fillId="2" borderId="0" xfId="0" applyFont="1" applyFill="1"/>
    <xf numFmtId="0" fontId="0" fillId="2" borderId="0" xfId="0" quotePrefix="1" applyFill="1"/>
    <xf numFmtId="164" fontId="13" fillId="2" borderId="0" xfId="0" applyNumberFormat="1" applyFont="1" applyFill="1"/>
    <xf numFmtId="0" fontId="7" fillId="2" borderId="0" xfId="0" applyFont="1" applyFill="1"/>
    <xf numFmtId="0" fontId="11" fillId="2" borderId="0" xfId="0" applyFont="1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3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4" fillId="2" borderId="0" xfId="0" applyFont="1" applyFill="1"/>
    <xf numFmtId="164" fontId="1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quotePrefix="1" applyFont="1" applyFill="1"/>
    <xf numFmtId="0" fontId="17" fillId="2" borderId="0" xfId="0" applyFont="1" applyFill="1"/>
    <xf numFmtId="0" fontId="17" fillId="2" borderId="0" xfId="0" quotePrefix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3" fillId="2" borderId="1" xfId="0" applyFont="1" applyFill="1" applyBorder="1"/>
    <xf numFmtId="0" fontId="21" fillId="0" borderId="0" xfId="0" applyFont="1" applyAlignment="1">
      <alignment horizontal="left"/>
    </xf>
    <xf numFmtId="0" fontId="22" fillId="0" borderId="0" xfId="0" applyFont="1" applyFill="1"/>
    <xf numFmtId="0" fontId="22" fillId="2" borderId="0" xfId="0" applyFont="1" applyFill="1"/>
    <xf numFmtId="0" fontId="0" fillId="2" borderId="0" xfId="0" applyNumberFormat="1" applyFill="1"/>
    <xf numFmtId="0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3" fillId="2" borderId="0" xfId="0" applyFont="1" applyFill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/>
    <xf numFmtId="2" fontId="0" fillId="0" borderId="0" xfId="0" applyNumberForma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4" fillId="0" borderId="0" xfId="0" applyFont="1" applyFill="1"/>
    <xf numFmtId="0" fontId="11" fillId="0" borderId="0" xfId="0" applyFont="1" applyFill="1"/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vertical="center"/>
    </xf>
    <xf numFmtId="164" fontId="3" fillId="2" borderId="0" xfId="0" applyNumberFormat="1" applyFont="1" applyFill="1"/>
    <xf numFmtId="0" fontId="25" fillId="2" borderId="0" xfId="0" applyFont="1" applyFill="1"/>
    <xf numFmtId="0" fontId="22" fillId="0" borderId="0" xfId="0" applyFont="1" applyAlignment="1">
      <alignment horizontal="left"/>
    </xf>
    <xf numFmtId="164" fontId="0" fillId="6" borderId="1" xfId="0" applyNumberFormat="1" applyFill="1" applyBorder="1" applyAlignment="1">
      <alignment vertical="center"/>
    </xf>
    <xf numFmtId="0" fontId="14" fillId="2" borderId="0" xfId="0" applyFont="1" applyFill="1" applyAlignment="1">
      <alignment horizontal="center"/>
    </xf>
    <xf numFmtId="0" fontId="20" fillId="2" borderId="0" xfId="0" quotePrefix="1" applyFont="1" applyFill="1"/>
    <xf numFmtId="0" fontId="2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11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/>
    <xf numFmtId="0" fontId="3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25" fillId="2" borderId="0" xfId="0" quotePrefix="1" applyFont="1" applyFill="1" applyBorder="1"/>
    <xf numFmtId="164" fontId="26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9" fillId="2" borderId="0" xfId="0" applyFont="1" applyFill="1" applyAlignment="1">
      <alignment wrapText="1"/>
    </xf>
    <xf numFmtId="0" fontId="19" fillId="2" borderId="0" xfId="0" applyFont="1" applyFill="1" applyAlignment="1"/>
    <xf numFmtId="0" fontId="1" fillId="10" borderId="1" xfId="0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left"/>
    </xf>
    <xf numFmtId="0" fontId="0" fillId="10" borderId="1" xfId="0" applyFill="1" applyBorder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32" fillId="2" borderId="0" xfId="0" applyNumberFormat="1" applyFont="1" applyFill="1" applyAlignment="1">
      <alignment horizontal="right"/>
    </xf>
    <xf numFmtId="0" fontId="33" fillId="2" borderId="0" xfId="0" applyFont="1" applyFill="1"/>
    <xf numFmtId="0" fontId="30" fillId="2" borderId="1" xfId="0" applyFont="1" applyFill="1" applyBorder="1"/>
    <xf numFmtId="0" fontId="0" fillId="2" borderId="1" xfId="0" applyFill="1" applyBorder="1" applyAlignment="1">
      <alignment horizontal="right"/>
    </xf>
    <xf numFmtId="0" fontId="0" fillId="11" borderId="1" xfId="0" applyFill="1" applyBorder="1"/>
    <xf numFmtId="0" fontId="0" fillId="11" borderId="0" xfId="0" applyFill="1"/>
    <xf numFmtId="0" fontId="31" fillId="2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5">
    <dxf>
      <alignment horizontal="center" readingOrder="0"/>
    </dxf>
    <dxf>
      <numFmt numFmtId="164" formatCode="0.0"/>
    </dxf>
    <dxf>
      <numFmt numFmtId="2" formatCode="0.00"/>
    </dxf>
    <dxf>
      <numFmt numFmtId="165" formatCode="0.000"/>
    </dxf>
    <dxf>
      <numFmt numFmtId="166" formatCode="0.0000"/>
    </dxf>
  </dxfs>
  <tableStyles count="0" defaultTableStyle="TableStyleMedium9" defaultPivotStyle="PivotStyleLight16"/>
  <colors>
    <mruColors>
      <color rgb="FF9933FF"/>
      <color rgb="FF0033CC"/>
      <color rgb="FF0066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55</xdr:row>
          <xdr:rowOff>45720</xdr:rowOff>
        </xdr:from>
        <xdr:to>
          <xdr:col>15</xdr:col>
          <xdr:colOff>449580</xdr:colOff>
          <xdr:row>66</xdr:row>
          <xdr:rowOff>167640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228600</xdr:colOff>
          <xdr:row>15</xdr:row>
          <xdr:rowOff>144780</xdr:rowOff>
        </xdr:from>
        <xdr:to>
          <xdr:col>23</xdr:col>
          <xdr:colOff>571500</xdr:colOff>
          <xdr:row>20</xdr:row>
          <xdr:rowOff>91440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21</xdr:col>
      <xdr:colOff>5214</xdr:colOff>
      <xdr:row>15</xdr:row>
      <xdr:rowOff>221782</xdr:rowOff>
    </xdr:from>
    <xdr:to>
      <xdr:col>21</xdr:col>
      <xdr:colOff>357739</xdr:colOff>
      <xdr:row>19</xdr:row>
      <xdr:rowOff>86226</xdr:rowOff>
    </xdr:to>
    <xdr:sp macro="" textlink="">
      <xdr:nvSpPr>
        <xdr:cNvPr id="2" name="Rectangle 1"/>
        <xdr:cNvSpPr/>
      </xdr:nvSpPr>
      <xdr:spPr>
        <a:xfrm>
          <a:off x="15786635" y="3079282"/>
          <a:ext cx="352525" cy="70665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464419</xdr:colOff>
      <xdr:row>15</xdr:row>
      <xdr:rowOff>168442</xdr:rowOff>
    </xdr:from>
    <xdr:to>
      <xdr:col>22</xdr:col>
      <xdr:colOff>203334</xdr:colOff>
      <xdr:row>17</xdr:row>
      <xdr:rowOff>109086</xdr:rowOff>
    </xdr:to>
    <xdr:sp macro="" textlink="">
      <xdr:nvSpPr>
        <xdr:cNvPr id="4" name="Rectangle 3"/>
        <xdr:cNvSpPr/>
      </xdr:nvSpPr>
      <xdr:spPr>
        <a:xfrm>
          <a:off x="16245840" y="3025942"/>
          <a:ext cx="350520" cy="421907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525780</xdr:colOff>
          <xdr:row>28</xdr:row>
          <xdr:rowOff>45720</xdr:rowOff>
        </xdr:from>
        <xdr:to>
          <xdr:col>31</xdr:col>
          <xdr:colOff>190500</xdr:colOff>
          <xdr:row>31</xdr:row>
          <xdr:rowOff>129540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541020</xdr:colOff>
          <xdr:row>32</xdr:row>
          <xdr:rowOff>45720</xdr:rowOff>
        </xdr:from>
        <xdr:to>
          <xdr:col>31</xdr:col>
          <xdr:colOff>190500</xdr:colOff>
          <xdr:row>36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876300</xdr:colOff>
          <xdr:row>15</xdr:row>
          <xdr:rowOff>266700</xdr:rowOff>
        </xdr:from>
        <xdr:to>
          <xdr:col>19</xdr:col>
          <xdr:colOff>190500</xdr:colOff>
          <xdr:row>20</xdr:row>
          <xdr:rowOff>99060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392229</xdr:colOff>
      <xdr:row>16</xdr:row>
      <xdr:rowOff>89435</xdr:rowOff>
    </xdr:from>
    <xdr:to>
      <xdr:col>13</xdr:col>
      <xdr:colOff>1003834</xdr:colOff>
      <xdr:row>19</xdr:row>
      <xdr:rowOff>58954</xdr:rowOff>
    </xdr:to>
    <xdr:sp macro="" textlink="">
      <xdr:nvSpPr>
        <xdr:cNvPr id="8" name="Rectangle 7"/>
        <xdr:cNvSpPr/>
      </xdr:nvSpPr>
      <xdr:spPr>
        <a:xfrm>
          <a:off x="8192703" y="3247724"/>
          <a:ext cx="611605" cy="510941"/>
        </a:xfrm>
        <a:prstGeom prst="rect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91441</xdr:colOff>
      <xdr:row>34</xdr:row>
      <xdr:rowOff>76200</xdr:rowOff>
    </xdr:from>
    <xdr:to>
      <xdr:col>30</xdr:col>
      <xdr:colOff>30080</xdr:colOff>
      <xdr:row>36</xdr:row>
      <xdr:rowOff>60158</xdr:rowOff>
    </xdr:to>
    <xdr:sp macro="" textlink="">
      <xdr:nvSpPr>
        <xdr:cNvPr id="9" name="Rectangle 8"/>
        <xdr:cNvSpPr/>
      </xdr:nvSpPr>
      <xdr:spPr>
        <a:xfrm>
          <a:off x="19983652" y="6543174"/>
          <a:ext cx="550244" cy="465221"/>
        </a:xfrm>
        <a:prstGeom prst="rect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66173</xdr:colOff>
      <xdr:row>16</xdr:row>
      <xdr:rowOff>135155</xdr:rowOff>
    </xdr:from>
    <xdr:to>
      <xdr:col>14</xdr:col>
      <xdr:colOff>855043</xdr:colOff>
      <xdr:row>20</xdr:row>
      <xdr:rowOff>97055</xdr:rowOff>
    </xdr:to>
    <xdr:sp macro="" textlink="">
      <xdr:nvSpPr>
        <xdr:cNvPr id="3" name="Oval 2"/>
        <xdr:cNvSpPr/>
      </xdr:nvSpPr>
      <xdr:spPr>
        <a:xfrm>
          <a:off x="8979568" y="3293444"/>
          <a:ext cx="788870" cy="683795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22860</xdr:colOff>
      <xdr:row>27</xdr:row>
      <xdr:rowOff>167640</xdr:rowOff>
    </xdr:from>
    <xdr:to>
      <xdr:col>31</xdr:col>
      <xdr:colOff>198120</xdr:colOff>
      <xdr:row>31</xdr:row>
      <xdr:rowOff>129540</xdr:rowOff>
    </xdr:to>
    <xdr:sp macro="" textlink="">
      <xdr:nvSpPr>
        <xdr:cNvPr id="13" name="Oval 12"/>
        <xdr:cNvSpPr/>
      </xdr:nvSpPr>
      <xdr:spPr>
        <a:xfrm>
          <a:off x="12954000" y="2225040"/>
          <a:ext cx="784860" cy="693420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847423</xdr:colOff>
      <xdr:row>17</xdr:row>
      <xdr:rowOff>43715</xdr:rowOff>
    </xdr:from>
    <xdr:to>
      <xdr:col>15</xdr:col>
      <xdr:colOff>295977</xdr:colOff>
      <xdr:row>20</xdr:row>
      <xdr:rowOff>13235</xdr:rowOff>
    </xdr:to>
    <xdr:sp macro="" textlink="">
      <xdr:nvSpPr>
        <xdr:cNvPr id="14" name="Rectangle 13"/>
        <xdr:cNvSpPr/>
      </xdr:nvSpPr>
      <xdr:spPr>
        <a:xfrm>
          <a:off x="9760818" y="3382478"/>
          <a:ext cx="611606" cy="510941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518160</xdr:colOff>
      <xdr:row>28</xdr:row>
      <xdr:rowOff>0</xdr:rowOff>
    </xdr:from>
    <xdr:to>
      <xdr:col>30</xdr:col>
      <xdr:colOff>22860</xdr:colOff>
      <xdr:row>31</xdr:row>
      <xdr:rowOff>129540</xdr:rowOff>
    </xdr:to>
    <xdr:sp macro="" textlink="">
      <xdr:nvSpPr>
        <xdr:cNvPr id="15" name="Rectangle 14"/>
        <xdr:cNvSpPr/>
      </xdr:nvSpPr>
      <xdr:spPr>
        <a:xfrm>
          <a:off x="12230100" y="2240280"/>
          <a:ext cx="723900" cy="678180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15553</xdr:colOff>
      <xdr:row>35</xdr:row>
      <xdr:rowOff>216473</xdr:rowOff>
    </xdr:from>
    <xdr:to>
      <xdr:col>17</xdr:col>
      <xdr:colOff>1105788</xdr:colOff>
      <xdr:row>36</xdr:row>
      <xdr:rowOff>102294</xdr:rowOff>
    </xdr:to>
    <xdr:sp macro="" textlink="">
      <xdr:nvSpPr>
        <xdr:cNvPr id="16" name="Rectangle 15"/>
        <xdr:cNvSpPr/>
      </xdr:nvSpPr>
      <xdr:spPr>
        <a:xfrm>
          <a:off x="12215659" y="7042047"/>
          <a:ext cx="1090235" cy="185758"/>
        </a:xfrm>
        <a:prstGeom prst="rect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37</xdr:row>
          <xdr:rowOff>7620</xdr:rowOff>
        </xdr:from>
        <xdr:to>
          <xdr:col>15</xdr:col>
          <xdr:colOff>487680</xdr:colOff>
          <xdr:row>47</xdr:row>
          <xdr:rowOff>167640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19</xdr:col>
      <xdr:colOff>541020</xdr:colOff>
      <xdr:row>29</xdr:row>
      <xdr:rowOff>129540</xdr:rowOff>
    </xdr:from>
    <xdr:to>
      <xdr:col>21</xdr:col>
      <xdr:colOff>106680</xdr:colOff>
      <xdr:row>31</xdr:row>
      <xdr:rowOff>68580</xdr:rowOff>
    </xdr:to>
    <xdr:sp macro="" textlink="">
      <xdr:nvSpPr>
        <xdr:cNvPr id="18" name="Oval 17"/>
        <xdr:cNvSpPr/>
      </xdr:nvSpPr>
      <xdr:spPr>
        <a:xfrm>
          <a:off x="16436340" y="2552700"/>
          <a:ext cx="784860" cy="304800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15240</xdr:colOff>
      <xdr:row>22</xdr:row>
      <xdr:rowOff>7620</xdr:rowOff>
    </xdr:from>
    <xdr:to>
      <xdr:col>18</xdr:col>
      <xdr:colOff>10027</xdr:colOff>
      <xdr:row>23</xdr:row>
      <xdr:rowOff>20053</xdr:rowOff>
    </xdr:to>
    <xdr:sp macro="" textlink="">
      <xdr:nvSpPr>
        <xdr:cNvPr id="20" name="Rectangle 19"/>
        <xdr:cNvSpPr/>
      </xdr:nvSpPr>
      <xdr:spPr>
        <a:xfrm>
          <a:off x="12347608" y="4248752"/>
          <a:ext cx="1107708" cy="22298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60156</xdr:colOff>
      <xdr:row>0</xdr:row>
      <xdr:rowOff>170447</xdr:rowOff>
    </xdr:from>
    <xdr:to>
      <xdr:col>19</xdr:col>
      <xdr:colOff>50468</xdr:colOff>
      <xdr:row>5</xdr:row>
      <xdr:rowOff>55576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12"/>
            <xdr:cNvSpPr txBox="1"/>
          </xdr:nvSpPr>
          <xdr:spPr>
            <a:xfrm>
              <a:off x="7860630" y="170447"/>
              <a:ext cx="6647785" cy="9078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b="0" i="0">
                        <a:latin typeface="Cambria Math" panose="02040503050406030204" pitchFamily="18" charset="0"/>
                      </a:rPr>
                      <m:t>P</m:t>
                    </m:r>
                    <m:d>
                      <m:d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X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sub>
                            </m:sSub>
                          </m:e>
                        </m:acc>
                        <m:r>
                          <a:rPr lang="en-US" b="0" i="0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b="0" i="0">
                                <a:latin typeface="Cambria Math" panose="02040503050406030204" pitchFamily="18" charset="0"/>
                              </a:rPr>
                              <m:t>z</m:t>
                            </m:r>
                          </m:e>
                          <m:sub>
                            <m:f>
                              <m:fPr>
                                <m:type m:val="lin"/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α</m:t>
                                </m:r>
                              </m:num>
                              <m:den>
                                <m: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sub>
                        </m:sSub>
                        <m:f>
                          <m:f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S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c</m:t>
                                </m:r>
                              </m:sub>
                            </m:sSub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</m:rad>
                          </m:den>
                        </m:f>
                        <m:rad>
                          <m:radPr>
                            <m:degHide m:val="on"/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d>
                                  <m:dPr>
                                    <m:ctrlPr>
                                      <a:rPr lang="en-US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b="0" i="0">
                                        <a:latin typeface="Cambria Math" panose="02040503050406030204" pitchFamily="18" charset="0"/>
                                      </a:rPr>
                                      <m:t>N</m:t>
                                    </m:r>
                                    <m:r>
                                      <a:rPr lang="en-US" b="0" i="0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en-US" b="0" i="0">
                                        <a:latin typeface="Cambria Math" panose="02040503050406030204" pitchFamily="18" charset="0"/>
                                      </a:rPr>
                                      <m:t>n</m:t>
                                    </m:r>
                                  </m:e>
                                </m:d>
                              </m:num>
                              <m:den>
                                <m:r>
                                  <m:rPr>
                                    <m:sty m:val="p"/>
                                  </m:rPr>
                                  <a:rPr lang="en-US" b="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den>
                            </m:f>
                          </m:e>
                        </m:rad>
                        <m:r>
                          <a:rPr lang="en-US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</m:t>
                        </m:r>
                        <m:r>
                          <m:rPr>
                            <m:sty m:val="p"/>
                          </m:rPr>
                          <a:rPr lang="en-US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μ</m:t>
                        </m:r>
                        <m:r>
                          <a:rPr lang="en-US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</m:t>
                        </m:r>
                        <m:acc>
                          <m:accPr>
                            <m:chr m:val="̅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X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sub>
                            </m:sSub>
                          </m:e>
                        </m:acc>
                        <m:r>
                          <a:rPr lang="en-US" b="0" i="0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z</m:t>
                            </m:r>
                          </m:e>
                          <m:sub>
                            <m:f>
                              <m:fPr>
                                <m:type m:val="lin"/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α</m:t>
                                </m:r>
                              </m:num>
                              <m:den>
                                <m:r>
                                  <a:rPr lang="en-US" i="0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sub>
                        </m:sSub>
                        <m:f>
                          <m:f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S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c</m:t>
                                </m:r>
                              </m:sub>
                            </m:sSub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</m:rad>
                          </m:den>
                        </m:f>
                        <m:rad>
                          <m:radPr>
                            <m:degHide m:val="o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d>
                                  <m:dPr>
                                    <m:ctrlPr>
                                      <a:rPr lang="en-US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i="0">
                                        <a:latin typeface="Cambria Math" panose="02040503050406030204" pitchFamily="18" charset="0"/>
                                      </a:rPr>
                                      <m:t>N</m:t>
                                    </m:r>
                                    <m:r>
                                      <a:rPr lang="en-US" i="0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r>
                                      <m:rPr>
                                        <m:sty m:val="p"/>
                                      </m:rPr>
                                      <a:rPr lang="en-US" i="0">
                                        <a:latin typeface="Cambria Math" panose="02040503050406030204" pitchFamily="18" charset="0"/>
                                      </a:rPr>
                                      <m:t>n</m:t>
                                    </m:r>
                                  </m:e>
                                </m:d>
                              </m:num>
                              <m:den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den>
                            </m:f>
                          </m:e>
                        </m:rad>
                        <m:r>
                          <a:rPr lang="en-US" b="0" i="0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d>
                    <m:r>
                      <a:rPr lang="en-US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=1−</m:t>
                    </m:r>
                    <m:r>
                      <m:rPr>
                        <m:sty m:val="p"/>
                      </m:rPr>
                      <a:rPr lang="en-US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α</m:t>
                    </m:r>
                  </m:oMath>
                </m:oMathPara>
              </a14:m>
              <a:endParaRPr lang="en-US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1" name="TextBox 12"/>
            <xdr:cNvSpPr txBox="1"/>
          </xdr:nvSpPr>
          <xdr:spPr>
            <a:xfrm>
              <a:off x="7860630" y="170447"/>
              <a:ext cx="6647785" cy="9078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P((X_n ) ̅−z_(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α∕</a:t>
              </a:r>
              <a:r>
                <a:rPr lang="en-US" b="0" i="0">
                  <a:latin typeface="Cambria Math" panose="02040503050406030204" pitchFamily="18" charset="0"/>
                </a:rPr>
                <a:t>2)  S_c/√n √(((N−n))/N)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≤μ≤(</a:t>
              </a:r>
              <a:r>
                <a:rPr lang="en-US" i="0">
                  <a:latin typeface="Cambria Math" panose="02040503050406030204" pitchFamily="18" charset="0"/>
                </a:rPr>
                <a:t>X_n ) ̅</a:t>
              </a:r>
              <a:r>
                <a:rPr lang="en-US" b="0" i="0">
                  <a:latin typeface="Cambria Math" panose="02040503050406030204" pitchFamily="18" charset="0"/>
                </a:rPr>
                <a:t>+</a:t>
              </a:r>
              <a:r>
                <a:rPr lang="en-US" i="0">
                  <a:latin typeface="Cambria Math" panose="02040503050406030204" pitchFamily="18" charset="0"/>
                </a:rPr>
                <a:t>z_(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α∕</a:t>
              </a:r>
              <a:r>
                <a:rPr lang="en-US" i="0">
                  <a:latin typeface="Cambria Math" panose="02040503050406030204" pitchFamily="18" charset="0"/>
                </a:rPr>
                <a:t>2)  S_c/√n √(((N−n))/N)</a:t>
              </a:r>
              <a:r>
                <a:rPr lang="en-US" b="0" i="0">
                  <a:latin typeface="Cambria Math" panose="02040503050406030204" pitchFamily="18" charset="0"/>
                </a:rPr>
                <a:t>   )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=1−α</a:t>
              </a:r>
              <a:endParaRPr lang="en-US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13</xdr:col>
      <xdr:colOff>280736</xdr:colOff>
      <xdr:row>5</xdr:row>
      <xdr:rowOff>90237</xdr:rowOff>
    </xdr:from>
    <xdr:to>
      <xdr:col>15</xdr:col>
      <xdr:colOff>602268</xdr:colOff>
      <xdr:row>10</xdr:row>
      <xdr:rowOff>65414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Rectangle 21"/>
            <xdr:cNvSpPr/>
          </xdr:nvSpPr>
          <xdr:spPr>
            <a:xfrm>
              <a:off x="8081210" y="1112921"/>
              <a:ext cx="2597505" cy="90762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b="0" i="0">
                            <a:latin typeface="Cambria Math" panose="02040503050406030204" pitchFamily="18" charset="0"/>
                          </a:rPr>
                          <m:t>E</m:t>
                        </m:r>
                        <m:r>
                          <a:rPr lang="en-US" b="0" i="0">
                            <a:latin typeface="Cambria Math" panose="02040503050406030204" pitchFamily="18" charset="0"/>
                          </a:rPr>
                          <m:t>= </m:t>
                        </m:r>
                        <m:r>
                          <m:rPr>
                            <m:sty m:val="p"/>
                          </m:rPr>
                          <a:rPr lang="en-US" i="0">
                            <a:latin typeface="Cambria Math" panose="02040503050406030204" pitchFamily="18" charset="0"/>
                          </a:rPr>
                          <m:t>z</m:t>
                        </m:r>
                      </m:e>
                      <m:sub>
                        <m:f>
                          <m:fPr>
                            <m:type m:val="li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α</m:t>
                            </m:r>
                          </m:num>
                          <m:den>
                            <m:r>
                              <a:rPr lang="en-US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b>
                    </m:sSub>
                    <m:f>
                      <m:f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S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c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e>
                        </m:rad>
                      </m:den>
                    </m:f>
                    <m:rad>
                      <m:radPr>
                        <m:degHide m:val="on"/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  <m:r>
                                  <a:rPr lang="en-US" i="0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</m:d>
                          </m:num>
                          <m:den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2" name="Rectangle 21"/>
            <xdr:cNvSpPr/>
          </xdr:nvSpPr>
          <xdr:spPr>
            <a:xfrm>
              <a:off x="8081210" y="1112921"/>
              <a:ext cx="2597505" cy="90762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</a:rPr>
                <a:t>〖</a:t>
              </a:r>
              <a:r>
                <a:rPr lang="en-US" b="0" i="0">
                  <a:latin typeface="Cambria Math" panose="02040503050406030204" pitchFamily="18" charset="0"/>
                </a:rPr>
                <a:t>E= </a:t>
              </a:r>
              <a:r>
                <a:rPr lang="en-US" i="0">
                  <a:latin typeface="Cambria Math" panose="02040503050406030204" pitchFamily="18" charset="0"/>
                </a:rPr>
                <a:t>z〗_(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α∕</a:t>
              </a:r>
              <a:r>
                <a:rPr lang="en-US" i="0">
                  <a:latin typeface="Cambria Math" panose="02040503050406030204" pitchFamily="18" charset="0"/>
                </a:rPr>
                <a:t>2)  S_c/√n √(((N−n))/N)</a:t>
              </a:r>
              <a:endParaRPr lang="en-US"/>
            </a:p>
          </xdr:txBody>
        </xdr:sp>
      </mc:Fallback>
    </mc:AlternateContent>
    <xdr:clientData/>
  </xdr:twoCellAnchor>
  <xdr:twoCellAnchor>
    <xdr:from>
      <xdr:col>13</xdr:col>
      <xdr:colOff>360947</xdr:colOff>
      <xdr:row>1</xdr:row>
      <xdr:rowOff>79409</xdr:rowOff>
    </xdr:from>
    <xdr:to>
      <xdr:col>13</xdr:col>
      <xdr:colOff>741947</xdr:colOff>
      <xdr:row>4</xdr:row>
      <xdr:rowOff>48928</xdr:rowOff>
    </xdr:to>
    <xdr:sp macro="" textlink="">
      <xdr:nvSpPr>
        <xdr:cNvPr id="23" name="Rectangle 22"/>
        <xdr:cNvSpPr/>
      </xdr:nvSpPr>
      <xdr:spPr>
        <a:xfrm>
          <a:off x="8161421" y="380198"/>
          <a:ext cx="381000" cy="510941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230605</xdr:colOff>
      <xdr:row>0</xdr:row>
      <xdr:rowOff>215366</xdr:rowOff>
    </xdr:from>
    <xdr:to>
      <xdr:col>14</xdr:col>
      <xdr:colOff>681789</xdr:colOff>
      <xdr:row>3</xdr:row>
      <xdr:rowOff>10027</xdr:rowOff>
    </xdr:to>
    <xdr:sp macro="" textlink="">
      <xdr:nvSpPr>
        <xdr:cNvPr id="24" name="Oval 23"/>
        <xdr:cNvSpPr/>
      </xdr:nvSpPr>
      <xdr:spPr>
        <a:xfrm>
          <a:off x="9144000" y="215366"/>
          <a:ext cx="451184" cy="456398"/>
        </a:xfrm>
        <a:prstGeom prst="ellipse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262689</xdr:colOff>
      <xdr:row>5</xdr:row>
      <xdr:rowOff>147187</xdr:rowOff>
    </xdr:from>
    <xdr:to>
      <xdr:col>14</xdr:col>
      <xdr:colOff>713873</xdr:colOff>
      <xdr:row>8</xdr:row>
      <xdr:rowOff>32085</xdr:rowOff>
    </xdr:to>
    <xdr:sp macro="" textlink="">
      <xdr:nvSpPr>
        <xdr:cNvPr id="25" name="Oval 24"/>
        <xdr:cNvSpPr/>
      </xdr:nvSpPr>
      <xdr:spPr>
        <a:xfrm>
          <a:off x="9176084" y="1169871"/>
          <a:ext cx="451184" cy="456398"/>
        </a:xfrm>
        <a:prstGeom prst="ellipse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20053</xdr:colOff>
      <xdr:row>0</xdr:row>
      <xdr:rowOff>297582</xdr:rowOff>
    </xdr:from>
    <xdr:to>
      <xdr:col>15</xdr:col>
      <xdr:colOff>411078</xdr:colOff>
      <xdr:row>2</xdr:row>
      <xdr:rowOff>160421</xdr:rowOff>
    </xdr:to>
    <xdr:sp macro="" textlink="">
      <xdr:nvSpPr>
        <xdr:cNvPr id="26" name="Oval 25"/>
        <xdr:cNvSpPr/>
      </xdr:nvSpPr>
      <xdr:spPr>
        <a:xfrm>
          <a:off x="10096500" y="297582"/>
          <a:ext cx="391025" cy="344102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72190</xdr:colOff>
      <xdr:row>6</xdr:row>
      <xdr:rowOff>58956</xdr:rowOff>
    </xdr:from>
    <xdr:to>
      <xdr:col>15</xdr:col>
      <xdr:colOff>463215</xdr:colOff>
      <xdr:row>8</xdr:row>
      <xdr:rowOff>42111</xdr:rowOff>
    </xdr:to>
    <xdr:sp macro="" textlink="">
      <xdr:nvSpPr>
        <xdr:cNvPr id="27" name="Oval 26"/>
        <xdr:cNvSpPr/>
      </xdr:nvSpPr>
      <xdr:spPr>
        <a:xfrm>
          <a:off x="10148637" y="1292193"/>
          <a:ext cx="391025" cy="344102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282741</xdr:colOff>
      <xdr:row>8</xdr:row>
      <xdr:rowOff>58956</xdr:rowOff>
    </xdr:from>
    <xdr:to>
      <xdr:col>14</xdr:col>
      <xdr:colOff>673766</xdr:colOff>
      <xdr:row>10</xdr:row>
      <xdr:rowOff>42110</xdr:rowOff>
    </xdr:to>
    <xdr:sp macro="" textlink="">
      <xdr:nvSpPr>
        <xdr:cNvPr id="28" name="Oval 27"/>
        <xdr:cNvSpPr/>
      </xdr:nvSpPr>
      <xdr:spPr>
        <a:xfrm>
          <a:off x="9196136" y="1653140"/>
          <a:ext cx="391025" cy="344102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284746</xdr:colOff>
      <xdr:row>2</xdr:row>
      <xdr:rowOff>161224</xdr:rowOff>
    </xdr:from>
    <xdr:to>
      <xdr:col>14</xdr:col>
      <xdr:colOff>675771</xdr:colOff>
      <xdr:row>4</xdr:row>
      <xdr:rowOff>144378</xdr:rowOff>
    </xdr:to>
    <xdr:sp macro="" textlink="">
      <xdr:nvSpPr>
        <xdr:cNvPr id="29" name="Oval 28"/>
        <xdr:cNvSpPr/>
      </xdr:nvSpPr>
      <xdr:spPr>
        <a:xfrm>
          <a:off x="9198141" y="642487"/>
          <a:ext cx="391025" cy="344102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934452</xdr:colOff>
      <xdr:row>1</xdr:row>
      <xdr:rowOff>81414</xdr:rowOff>
    </xdr:from>
    <xdr:to>
      <xdr:col>14</xdr:col>
      <xdr:colOff>270710</xdr:colOff>
      <xdr:row>4</xdr:row>
      <xdr:rowOff>50933</xdr:rowOff>
    </xdr:to>
    <xdr:sp macro="" textlink="">
      <xdr:nvSpPr>
        <xdr:cNvPr id="30" name="Rectangle 29"/>
        <xdr:cNvSpPr/>
      </xdr:nvSpPr>
      <xdr:spPr>
        <a:xfrm>
          <a:off x="8734926" y="382203"/>
          <a:ext cx="449179" cy="510941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956509</xdr:colOff>
      <xdr:row>6</xdr:row>
      <xdr:rowOff>163629</xdr:rowOff>
    </xdr:from>
    <xdr:to>
      <xdr:col>14</xdr:col>
      <xdr:colOff>292767</xdr:colOff>
      <xdr:row>9</xdr:row>
      <xdr:rowOff>133149</xdr:rowOff>
    </xdr:to>
    <xdr:sp macro="" textlink="">
      <xdr:nvSpPr>
        <xdr:cNvPr id="31" name="Rectangle 30"/>
        <xdr:cNvSpPr/>
      </xdr:nvSpPr>
      <xdr:spPr>
        <a:xfrm>
          <a:off x="8756983" y="1396866"/>
          <a:ext cx="449179" cy="510941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892340</xdr:colOff>
      <xdr:row>0</xdr:row>
      <xdr:rowOff>281941</xdr:rowOff>
    </xdr:from>
    <xdr:to>
      <xdr:col>15</xdr:col>
      <xdr:colOff>60157</xdr:colOff>
      <xdr:row>4</xdr:row>
      <xdr:rowOff>130343</xdr:rowOff>
    </xdr:to>
    <xdr:sp macro="" textlink="">
      <xdr:nvSpPr>
        <xdr:cNvPr id="33" name="Rectangle 32"/>
        <xdr:cNvSpPr/>
      </xdr:nvSpPr>
      <xdr:spPr>
        <a:xfrm rot="19540112">
          <a:off x="9805735" y="281941"/>
          <a:ext cx="330869" cy="690613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894346</xdr:colOff>
      <xdr:row>6</xdr:row>
      <xdr:rowOff>43315</xdr:rowOff>
    </xdr:from>
    <xdr:to>
      <xdr:col>15</xdr:col>
      <xdr:colOff>62163</xdr:colOff>
      <xdr:row>10</xdr:row>
      <xdr:rowOff>12033</xdr:rowOff>
    </xdr:to>
    <xdr:sp macro="" textlink="">
      <xdr:nvSpPr>
        <xdr:cNvPr id="34" name="Rectangle 33"/>
        <xdr:cNvSpPr/>
      </xdr:nvSpPr>
      <xdr:spPr>
        <a:xfrm rot="19540112">
          <a:off x="9807741" y="1276552"/>
          <a:ext cx="330869" cy="690613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380998</xdr:colOff>
      <xdr:row>10</xdr:row>
      <xdr:rowOff>72589</xdr:rowOff>
    </xdr:from>
    <xdr:to>
      <xdr:col>14</xdr:col>
      <xdr:colOff>1072814</xdr:colOff>
      <xdr:row>13</xdr:row>
      <xdr:rowOff>103376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Rectangle 34"/>
            <xdr:cNvSpPr/>
          </xdr:nvSpPr>
          <xdr:spPr>
            <a:xfrm>
              <a:off x="8181472" y="2027721"/>
              <a:ext cx="1804737" cy="57220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>
                  <a:latin typeface="Arial" panose="020B0604020202020204" pitchFamily="34" charset="0"/>
                  <a:cs typeface="Arial" panose="020B0604020202020204" pitchFamily="34" charset="0"/>
                </a:rPr>
                <a:t>E%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n-US" sz="2000" b="0" i="0">
                          <a:latin typeface="Cambria Math" panose="02040503050406030204" pitchFamily="18" charset="0"/>
                        </a:rPr>
                        <m:t>E</m:t>
                      </m:r>
                    </m:num>
                    <m:den>
                      <m:acc>
                        <m:accPr>
                          <m:chr m:val="̅"/>
                          <m:ctrlPr>
                            <a:rPr lang="en-US" sz="200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sSub>
                            <m:sSubPr>
                              <m:ctrlPr>
                                <a:rPr lang="en-US" sz="20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m:rPr>
                                  <m:sty m:val="p"/>
                                </m:rPr>
                                <a:rPr lang="en-US" sz="2000" b="0" i="0">
                                  <a:latin typeface="Cambria Math" panose="02040503050406030204" pitchFamily="18" charset="0"/>
                                </a:rPr>
                                <m:t>X</m:t>
                              </m:r>
                            </m:e>
                            <m:sub>
                              <m:r>
                                <m:rPr>
                                  <m:sty m:val="p"/>
                                </m:rPr>
                                <a:rPr lang="en-US" sz="2000" b="0" i="0">
                                  <a:latin typeface="Cambria Math" panose="02040503050406030204" pitchFamily="18" charset="0"/>
                                </a:rPr>
                                <m:t>n</m:t>
                              </m:r>
                            </m:sub>
                          </m:sSub>
                        </m:e>
                      </m:acc>
                    </m:den>
                  </m:f>
                  <m:r>
                    <a:rPr lang="en-US" sz="2000" b="0" i="0">
                      <a:latin typeface="Cambria Math" panose="02040503050406030204" pitchFamily="18" charset="0"/>
                    </a:rPr>
                    <m:t>100</m:t>
                  </m:r>
                </m:oMath>
              </a14:m>
              <a:endParaRPr lang="en-US" sz="20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5" name="Rectangle 34"/>
            <xdr:cNvSpPr/>
          </xdr:nvSpPr>
          <xdr:spPr>
            <a:xfrm>
              <a:off x="8181472" y="2027721"/>
              <a:ext cx="1804737" cy="57220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>
                  <a:latin typeface="Arial" panose="020B0604020202020204" pitchFamily="34" charset="0"/>
                  <a:cs typeface="Arial" panose="020B0604020202020204" pitchFamily="34" charset="0"/>
                </a:rPr>
                <a:t>E% = </a:t>
              </a:r>
              <a:r>
                <a:rPr lang="en-US" sz="2000" b="0" i="0">
                  <a:latin typeface="Cambria Math" panose="02040503050406030204" pitchFamily="18" charset="0"/>
                </a:rPr>
                <a:t>E/(X_n ) ̅  100</a:t>
              </a:r>
              <a:endParaRPr lang="en-US" sz="20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13</xdr:col>
      <xdr:colOff>1054768</xdr:colOff>
      <xdr:row>11</xdr:row>
      <xdr:rowOff>151598</xdr:rowOff>
    </xdr:from>
    <xdr:to>
      <xdr:col>14</xdr:col>
      <xdr:colOff>322847</xdr:colOff>
      <xdr:row>13</xdr:row>
      <xdr:rowOff>120315</xdr:rowOff>
    </xdr:to>
    <xdr:sp macro="" textlink="">
      <xdr:nvSpPr>
        <xdr:cNvPr id="36" name="Rectangle 35"/>
        <xdr:cNvSpPr/>
      </xdr:nvSpPr>
      <xdr:spPr>
        <a:xfrm>
          <a:off x="8855242" y="2287203"/>
          <a:ext cx="381000" cy="32966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10026</xdr:colOff>
      <xdr:row>37</xdr:row>
      <xdr:rowOff>33689</xdr:rowOff>
    </xdr:from>
    <xdr:to>
      <xdr:col>14</xdr:col>
      <xdr:colOff>952500</xdr:colOff>
      <xdr:row>41</xdr:row>
      <xdr:rowOff>60158</xdr:rowOff>
    </xdr:to>
    <xdr:sp macro="" textlink="">
      <xdr:nvSpPr>
        <xdr:cNvPr id="37" name="Rectangle 36"/>
        <xdr:cNvSpPr/>
      </xdr:nvSpPr>
      <xdr:spPr>
        <a:xfrm>
          <a:off x="9023684" y="7182452"/>
          <a:ext cx="942474" cy="748364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444366</xdr:colOff>
      <xdr:row>37</xdr:row>
      <xdr:rowOff>110290</xdr:rowOff>
    </xdr:from>
    <xdr:to>
      <xdr:col>14</xdr:col>
      <xdr:colOff>120315</xdr:colOff>
      <xdr:row>40</xdr:row>
      <xdr:rowOff>120316</xdr:rowOff>
    </xdr:to>
    <xdr:sp macro="" textlink="">
      <xdr:nvSpPr>
        <xdr:cNvPr id="38" name="Oval 37"/>
        <xdr:cNvSpPr/>
      </xdr:nvSpPr>
      <xdr:spPr>
        <a:xfrm>
          <a:off x="8345103" y="7259053"/>
          <a:ext cx="788870" cy="551447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389106</xdr:colOff>
      <xdr:row>55</xdr:row>
      <xdr:rowOff>32425</xdr:rowOff>
    </xdr:from>
    <xdr:to>
      <xdr:col>14</xdr:col>
      <xdr:colOff>470169</xdr:colOff>
      <xdr:row>60</xdr:row>
      <xdr:rowOff>79867</xdr:rowOff>
    </xdr:to>
    <xdr:sp macro="" textlink="">
      <xdr:nvSpPr>
        <xdr:cNvPr id="39" name="Rectangle 38"/>
        <xdr:cNvSpPr/>
      </xdr:nvSpPr>
      <xdr:spPr>
        <a:xfrm>
          <a:off x="8244191" y="10862553"/>
          <a:ext cx="1191638" cy="979676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15240</xdr:colOff>
      <xdr:row>41</xdr:row>
      <xdr:rowOff>162426</xdr:rowOff>
    </xdr:from>
    <xdr:to>
      <xdr:col>14</xdr:col>
      <xdr:colOff>804110</xdr:colOff>
      <xdr:row>44</xdr:row>
      <xdr:rowOff>172452</xdr:rowOff>
    </xdr:to>
    <xdr:sp macro="" textlink="">
      <xdr:nvSpPr>
        <xdr:cNvPr id="40" name="Oval 39"/>
        <xdr:cNvSpPr/>
      </xdr:nvSpPr>
      <xdr:spPr>
        <a:xfrm>
          <a:off x="9028898" y="8033084"/>
          <a:ext cx="788870" cy="551447"/>
        </a:xfrm>
        <a:prstGeom prst="ellipse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764004</xdr:colOff>
      <xdr:row>45</xdr:row>
      <xdr:rowOff>113499</xdr:rowOff>
    </xdr:from>
    <xdr:to>
      <xdr:col>14</xdr:col>
      <xdr:colOff>1094874</xdr:colOff>
      <xdr:row>47</xdr:row>
      <xdr:rowOff>100264</xdr:rowOff>
    </xdr:to>
    <xdr:sp macro="" textlink="">
      <xdr:nvSpPr>
        <xdr:cNvPr id="41" name="Rectangle 40"/>
        <xdr:cNvSpPr/>
      </xdr:nvSpPr>
      <xdr:spPr>
        <a:xfrm>
          <a:off x="9777662" y="8706052"/>
          <a:ext cx="330870" cy="347712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723901</xdr:colOff>
      <xdr:row>42</xdr:row>
      <xdr:rowOff>105876</xdr:rowOff>
    </xdr:from>
    <xdr:to>
      <xdr:col>14</xdr:col>
      <xdr:colOff>0</xdr:colOff>
      <xdr:row>47</xdr:row>
      <xdr:rowOff>180473</xdr:rowOff>
    </xdr:to>
    <xdr:sp macro="" textlink="">
      <xdr:nvSpPr>
        <xdr:cNvPr id="42" name="Rectangle 41"/>
        <xdr:cNvSpPr/>
      </xdr:nvSpPr>
      <xdr:spPr>
        <a:xfrm>
          <a:off x="7692190" y="8157008"/>
          <a:ext cx="1321468" cy="976965"/>
        </a:xfrm>
        <a:prstGeom prst="rect">
          <a:avLst/>
        </a:prstGeom>
        <a:solidFill>
          <a:srgbClr val="9933FF">
            <a:alpha val="9020"/>
          </a:srgbClr>
        </a:solidFill>
        <a:ln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478183</xdr:colOff>
      <xdr:row>48</xdr:row>
      <xdr:rowOff>8056</xdr:rowOff>
    </xdr:from>
    <xdr:to>
      <xdr:col>18</xdr:col>
      <xdr:colOff>657841</xdr:colOff>
      <xdr:row>49</xdr:row>
      <xdr:rowOff>21364</xdr:rowOff>
    </xdr:to>
    <xdr:sp macro="" textlink="">
      <xdr:nvSpPr>
        <xdr:cNvPr id="43" name="Rectangle 42"/>
        <xdr:cNvSpPr/>
      </xdr:nvSpPr>
      <xdr:spPr>
        <a:xfrm>
          <a:off x="13838108" y="9379944"/>
          <a:ext cx="179658" cy="19846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246791</xdr:colOff>
      <xdr:row>36</xdr:row>
      <xdr:rowOff>13383</xdr:rowOff>
    </xdr:from>
    <xdr:to>
      <xdr:col>16</xdr:col>
      <xdr:colOff>426449</xdr:colOff>
      <xdr:row>37</xdr:row>
      <xdr:rowOff>5327</xdr:rowOff>
    </xdr:to>
    <xdr:sp macro="" textlink="">
      <xdr:nvSpPr>
        <xdr:cNvPr id="46" name="Rectangle 45"/>
        <xdr:cNvSpPr/>
      </xdr:nvSpPr>
      <xdr:spPr>
        <a:xfrm>
          <a:off x="11470268" y="7099271"/>
          <a:ext cx="179658" cy="19846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71986</xdr:colOff>
      <xdr:row>57</xdr:row>
      <xdr:rowOff>15726</xdr:rowOff>
    </xdr:from>
    <xdr:to>
      <xdr:col>17</xdr:col>
      <xdr:colOff>1096283</xdr:colOff>
      <xdr:row>58</xdr:row>
      <xdr:rowOff>28159</xdr:rowOff>
    </xdr:to>
    <xdr:sp macro="" textlink="">
      <xdr:nvSpPr>
        <xdr:cNvPr id="47" name="Rectangle 46"/>
        <xdr:cNvSpPr/>
      </xdr:nvSpPr>
      <xdr:spPr>
        <a:xfrm>
          <a:off x="12272092" y="11218747"/>
          <a:ext cx="1024297" cy="19888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84663</xdr:colOff>
      <xdr:row>57</xdr:row>
      <xdr:rowOff>29595</xdr:rowOff>
    </xdr:from>
    <xdr:to>
      <xdr:col>19</xdr:col>
      <xdr:colOff>264321</xdr:colOff>
      <xdr:row>58</xdr:row>
      <xdr:rowOff>21539</xdr:rowOff>
    </xdr:to>
    <xdr:sp macro="" textlink="">
      <xdr:nvSpPr>
        <xdr:cNvPr id="48" name="Rectangle 47"/>
        <xdr:cNvSpPr/>
      </xdr:nvSpPr>
      <xdr:spPr>
        <a:xfrm>
          <a:off x="14505918" y="11232616"/>
          <a:ext cx="179658" cy="17839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741819</xdr:colOff>
      <xdr:row>40</xdr:row>
      <xdr:rowOff>52760</xdr:rowOff>
    </xdr:from>
    <xdr:to>
      <xdr:col>15</xdr:col>
      <xdr:colOff>521240</xdr:colOff>
      <xdr:row>44</xdr:row>
      <xdr:rowOff>63016</xdr:rowOff>
    </xdr:to>
    <xdr:sp macro="" textlink="">
      <xdr:nvSpPr>
        <xdr:cNvPr id="54" name="Rectangle 53"/>
        <xdr:cNvSpPr/>
      </xdr:nvSpPr>
      <xdr:spPr>
        <a:xfrm>
          <a:off x="9707479" y="7956483"/>
          <a:ext cx="938633" cy="772256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84663</xdr:colOff>
      <xdr:row>57</xdr:row>
      <xdr:rowOff>29595</xdr:rowOff>
    </xdr:from>
    <xdr:to>
      <xdr:col>20</xdr:col>
      <xdr:colOff>264321</xdr:colOff>
      <xdr:row>58</xdr:row>
      <xdr:rowOff>21539</xdr:rowOff>
    </xdr:to>
    <xdr:sp macro="" textlink="">
      <xdr:nvSpPr>
        <xdr:cNvPr id="55" name="Rectangle 54"/>
        <xdr:cNvSpPr/>
      </xdr:nvSpPr>
      <xdr:spPr>
        <a:xfrm>
          <a:off x="14505918" y="11232616"/>
          <a:ext cx="179658" cy="17839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713361</xdr:colOff>
      <xdr:row>61</xdr:row>
      <xdr:rowOff>97277</xdr:rowOff>
    </xdr:from>
    <xdr:to>
      <xdr:col>13</xdr:col>
      <xdr:colOff>1100035</xdr:colOff>
      <xdr:row>66</xdr:row>
      <xdr:rowOff>171874</xdr:rowOff>
    </xdr:to>
    <xdr:sp macro="" textlink="">
      <xdr:nvSpPr>
        <xdr:cNvPr id="61" name="Rectangle 60"/>
        <xdr:cNvSpPr/>
      </xdr:nvSpPr>
      <xdr:spPr>
        <a:xfrm>
          <a:off x="7636212" y="12062298"/>
          <a:ext cx="1318908" cy="1006831"/>
        </a:xfrm>
        <a:prstGeom prst="rect">
          <a:avLst/>
        </a:prstGeom>
        <a:solidFill>
          <a:srgbClr val="9933FF">
            <a:alpha val="9020"/>
          </a:srgbClr>
        </a:solidFill>
        <a:ln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1036958</xdr:colOff>
      <xdr:row>54</xdr:row>
      <xdr:rowOff>281325</xdr:rowOff>
    </xdr:from>
    <xdr:to>
      <xdr:col>16</xdr:col>
      <xdr:colOff>1005269</xdr:colOff>
      <xdr:row>55</xdr:row>
      <xdr:rowOff>167146</xdr:rowOff>
    </xdr:to>
    <xdr:sp macro="" textlink="">
      <xdr:nvSpPr>
        <xdr:cNvPr id="62" name="Rectangle 61"/>
        <xdr:cNvSpPr/>
      </xdr:nvSpPr>
      <xdr:spPr>
        <a:xfrm>
          <a:off x="11161830" y="10811516"/>
          <a:ext cx="1014035" cy="185758"/>
        </a:xfrm>
        <a:prstGeom prst="rect">
          <a:avLst/>
        </a:prstGeom>
        <a:noFill/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mb" refreshedDate="45287.41325740741" createdVersion="6" refreshedVersion="6" minRefreshableVersion="3" recordCount="52">
  <cacheSource type="worksheet">
    <worksheetSource ref="A1:G53" sheet="carbono_calculos_erro_amost"/>
  </cacheSource>
  <cacheFields count="7">
    <cacheField name="Estrato" numFmtId="0">
      <sharedItems count="5">
        <s v="PbPb30"/>
        <s v="PbPb50"/>
        <s v="PbPb90"/>
        <s v="PbPbJv"/>
        <s v="PmPm"/>
      </sharedItems>
    </cacheField>
    <cacheField name="ID_PARC" numFmtId="0">
      <sharedItems containsSemiMixedTypes="0" containsString="0" containsNumber="1" containsInteger="1" minValue="37" maxValue="139"/>
    </cacheField>
    <cacheField name="Area" numFmtId="0">
      <sharedItems containsSemiMixedTypes="0" containsString="0" containsNumber="1" containsInteger="1" minValue="500" maxValue="500"/>
    </cacheField>
    <cacheField name="TP_PARC" numFmtId="0">
      <sharedItems/>
    </cacheField>
    <cacheField name="C_Pb" numFmtId="164">
      <sharedItems containsString="0" containsBlank="1" containsNumber="1" minValue="0.75081210046801905" maxValue="63.643349024866048"/>
    </cacheField>
    <cacheField name="C_Pm" numFmtId="0">
      <sharedItems containsString="0" containsBlank="1" containsNumber="1" minValue="0.72845566319882227" maxValue="122.73669410586329"/>
    </cacheField>
    <cacheField name="C_total" numFmtId="164">
      <sharedItems containsSemiMixedTypes="0" containsString="0" containsNumber="1" minValue="1.303056406121337" maxValue="122.73669410586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n v="85"/>
    <n v="500"/>
    <s v="Florestal"/>
    <n v="35.451909197455286"/>
    <m/>
    <n v="35.451909197455286"/>
  </r>
  <r>
    <x v="0"/>
    <n v="86"/>
    <n v="500"/>
    <s v="Florestal"/>
    <n v="53.034783641586607"/>
    <m/>
    <n v="53.034783641586607"/>
  </r>
  <r>
    <x v="0"/>
    <n v="103"/>
    <n v="500"/>
    <s v="Florestal"/>
    <n v="30.219612073810339"/>
    <m/>
    <n v="30.219612073810339"/>
  </r>
  <r>
    <x v="0"/>
    <n v="104"/>
    <n v="500"/>
    <s v="Florestal"/>
    <n v="25.064752250504672"/>
    <m/>
    <n v="25.064752250504672"/>
  </r>
  <r>
    <x v="0"/>
    <n v="114"/>
    <n v="500"/>
    <s v="Florestal"/>
    <n v="30.28931170832977"/>
    <m/>
    <n v="30.28931170832977"/>
  </r>
  <r>
    <x v="1"/>
    <n v="38"/>
    <n v="500"/>
    <s v="Florestal"/>
    <n v="37.350753480406638"/>
    <m/>
    <n v="37.350753480406638"/>
  </r>
  <r>
    <x v="1"/>
    <n v="48"/>
    <n v="500"/>
    <s v="Florestal"/>
    <n v="19.745183723127798"/>
    <m/>
    <n v="19.745183723127798"/>
  </r>
  <r>
    <x v="1"/>
    <n v="49"/>
    <n v="500"/>
    <s v="Florestal"/>
    <n v="63.643349024866048"/>
    <m/>
    <n v="63.643349024866048"/>
  </r>
  <r>
    <x v="1"/>
    <n v="60"/>
    <n v="500"/>
    <s v="Florestal"/>
    <n v="7.9577757613083273"/>
    <m/>
    <n v="7.9577757613083273"/>
  </r>
  <r>
    <x v="1"/>
    <n v="97"/>
    <n v="500"/>
    <s v="Florestal"/>
    <n v="43.865264132195477"/>
    <m/>
    <n v="43.865264132195477"/>
  </r>
  <r>
    <x v="1"/>
    <n v="105"/>
    <n v="500"/>
    <s v="Florestal"/>
    <n v="40.830994718934058"/>
    <m/>
    <n v="40.830994718934058"/>
  </r>
  <r>
    <x v="1"/>
    <n v="107"/>
    <n v="500"/>
    <s v="Florestal"/>
    <n v="10.236112358804039"/>
    <m/>
    <n v="10.236112358804039"/>
  </r>
  <r>
    <x v="1"/>
    <n v="116"/>
    <n v="500"/>
    <s v="Florestal"/>
    <n v="34.909987501749683"/>
    <m/>
    <n v="34.909987501749683"/>
  </r>
  <r>
    <x v="1"/>
    <n v="118"/>
    <n v="500"/>
    <s v="Florestal"/>
    <n v="54.579156431252471"/>
    <m/>
    <n v="54.579156431252471"/>
  </r>
  <r>
    <x v="1"/>
    <n v="119"/>
    <n v="500"/>
    <s v="Florestal"/>
    <n v="9.1776923665725096"/>
    <n v="24.600036916182251"/>
    <n v="33.777729282754763"/>
  </r>
  <r>
    <x v="1"/>
    <n v="129"/>
    <n v="500"/>
    <s v="Florestal"/>
    <n v="18.23922654545343"/>
    <n v="0.72845566319882227"/>
    <n v="18.967682208652253"/>
  </r>
  <r>
    <x v="1"/>
    <n v="138"/>
    <n v="500"/>
    <s v="Florestal"/>
    <n v="54.928213132559392"/>
    <m/>
    <n v="54.928213132559392"/>
  </r>
  <r>
    <x v="2"/>
    <n v="59"/>
    <n v="500"/>
    <s v="Florestal"/>
    <n v="23.987305039623038"/>
    <m/>
    <n v="23.987305039623038"/>
  </r>
  <r>
    <x v="2"/>
    <n v="139"/>
    <n v="500"/>
    <s v="Florestal"/>
    <n v="39.77306762039953"/>
    <m/>
    <n v="39.77306762039953"/>
  </r>
  <r>
    <x v="3"/>
    <n v="37"/>
    <n v="500"/>
    <s v="Florestal"/>
    <n v="15.68703739177467"/>
    <m/>
    <n v="15.68703739177467"/>
  </r>
  <r>
    <x v="3"/>
    <n v="95"/>
    <n v="500"/>
    <s v="Florestal"/>
    <n v="2.310087709709987"/>
    <m/>
    <n v="2.310087709709987"/>
  </r>
  <r>
    <x v="3"/>
    <n v="96"/>
    <n v="500"/>
    <s v="Florestal"/>
    <n v="13.334072420602769"/>
    <m/>
    <n v="13.334072420602769"/>
  </r>
  <r>
    <x v="3"/>
    <n v="106"/>
    <n v="500"/>
    <s v="Florestal"/>
    <n v="4.810878383966056"/>
    <m/>
    <n v="4.810878383966056"/>
  </r>
  <r>
    <x v="3"/>
    <n v="108"/>
    <n v="500"/>
    <s v="Florestal"/>
    <n v="29.64589599809841"/>
    <m/>
    <n v="29.64589599809841"/>
  </r>
  <r>
    <x v="3"/>
    <n v="115"/>
    <n v="500"/>
    <s v="Florestal"/>
    <n v="5.7991406122461173"/>
    <m/>
    <n v="5.7991406122461173"/>
  </r>
  <r>
    <x v="3"/>
    <n v="117"/>
    <n v="500"/>
    <s v="Florestal"/>
    <n v="1.303056406121337"/>
    <m/>
    <n v="1.303056406121337"/>
  </r>
  <r>
    <x v="3"/>
    <n v="126"/>
    <n v="500"/>
    <s v="Florestal"/>
    <n v="4.6676757863721683"/>
    <m/>
    <n v="4.6676757863721683"/>
  </r>
  <r>
    <x v="3"/>
    <n v="127"/>
    <n v="500"/>
    <s v="Florestal"/>
    <n v="7.9080063515267689"/>
    <m/>
    <n v="7.9080063515267689"/>
  </r>
  <r>
    <x v="3"/>
    <n v="128"/>
    <n v="500"/>
    <s v="Florestal"/>
    <n v="6.2392376119378934"/>
    <m/>
    <n v="6.2392376119378934"/>
  </r>
  <r>
    <x v="3"/>
    <n v="137"/>
    <n v="500"/>
    <s v="Florestal"/>
    <n v="36.04088759098353"/>
    <m/>
    <n v="36.04088759098353"/>
  </r>
  <r>
    <x v="4"/>
    <n v="40"/>
    <n v="500"/>
    <s v="Florestal"/>
    <m/>
    <n v="30.72728398347547"/>
    <n v="30.72728398347547"/>
  </r>
  <r>
    <x v="4"/>
    <n v="50"/>
    <n v="500"/>
    <s v="Florestal"/>
    <m/>
    <n v="39.542857077283422"/>
    <n v="39.542857077283422"/>
  </r>
  <r>
    <x v="4"/>
    <n v="51"/>
    <n v="500"/>
    <s v="Florestal"/>
    <m/>
    <n v="49.7464545766939"/>
    <n v="49.7464545766939"/>
  </r>
  <r>
    <x v="4"/>
    <n v="52"/>
    <n v="500"/>
    <s v="Florestal"/>
    <m/>
    <n v="122.73669410586329"/>
    <n v="122.73669410586329"/>
  </r>
  <r>
    <x v="4"/>
    <n v="53"/>
    <n v="500"/>
    <s v="Florestal"/>
    <m/>
    <n v="48.587673285911798"/>
    <n v="48.587673285911798"/>
  </r>
  <r>
    <x v="4"/>
    <n v="61"/>
    <n v="500"/>
    <s v="Florestal"/>
    <m/>
    <n v="52.050198893796697"/>
    <n v="52.050198893796697"/>
  </r>
  <r>
    <x v="4"/>
    <n v="62"/>
    <n v="500"/>
    <s v="Florestal"/>
    <m/>
    <n v="53.340068080008528"/>
    <n v="53.340068080008528"/>
  </r>
  <r>
    <x v="4"/>
    <n v="63"/>
    <n v="500"/>
    <s v="Florestal"/>
    <m/>
    <n v="29.84412285602415"/>
    <n v="29.84412285602415"/>
  </r>
  <r>
    <x v="4"/>
    <n v="64"/>
    <n v="500"/>
    <s v="Florestal"/>
    <m/>
    <n v="67.153820898890174"/>
    <n v="67.153820898890174"/>
  </r>
  <r>
    <x v="4"/>
    <n v="65"/>
    <n v="500"/>
    <s v="Florestal"/>
    <n v="7.3403292939746443"/>
    <n v="27.519656103262129"/>
    <n v="34.85998539723677"/>
  </r>
  <r>
    <x v="4"/>
    <n v="70"/>
    <n v="500"/>
    <s v="Florestal"/>
    <n v="12.135025778628149"/>
    <n v="20.975493701028942"/>
    <n v="33.110519479657093"/>
  </r>
  <r>
    <x v="4"/>
    <n v="71"/>
    <n v="500"/>
    <s v="Florestal"/>
    <n v="7.9635144060591019"/>
    <n v="17.128267184969381"/>
    <n v="25.091781591028482"/>
  </r>
  <r>
    <x v="4"/>
    <n v="72"/>
    <n v="500"/>
    <s v="Florestal"/>
    <m/>
    <n v="55.116452356687518"/>
    <n v="55.116452356687518"/>
  </r>
  <r>
    <x v="4"/>
    <n v="73"/>
    <n v="500"/>
    <s v="Florestal"/>
    <m/>
    <n v="56.252306103877977"/>
    <n v="56.252306103877977"/>
  </r>
  <r>
    <x v="4"/>
    <n v="74"/>
    <n v="500"/>
    <s v="Florestal"/>
    <m/>
    <n v="70.685678688665575"/>
    <n v="70.685678688665575"/>
  </r>
  <r>
    <x v="4"/>
    <n v="75"/>
    <n v="500"/>
    <s v="Florestal"/>
    <m/>
    <n v="96.210765908873498"/>
    <n v="96.210765908873498"/>
  </r>
  <r>
    <x v="4"/>
    <n v="76"/>
    <n v="500"/>
    <s v="Florestal"/>
    <n v="15.653150261713581"/>
    <n v="13.671775655208121"/>
    <n v="29.3249259169217"/>
  </r>
  <r>
    <x v="4"/>
    <n v="81"/>
    <n v="500"/>
    <s v="Florestal"/>
    <m/>
    <n v="3.0397794931660842"/>
    <n v="3.0397794931660842"/>
  </r>
  <r>
    <x v="4"/>
    <n v="82"/>
    <n v="500"/>
    <s v="Florestal"/>
    <m/>
    <n v="33.775956051177857"/>
    <n v="33.775956051177857"/>
  </r>
  <r>
    <x v="4"/>
    <n v="83"/>
    <n v="500"/>
    <s v="Florestal"/>
    <n v="0.75081210046801905"/>
    <n v="28.056519576392859"/>
    <n v="28.807331676860876"/>
  </r>
  <r>
    <x v="4"/>
    <n v="93"/>
    <n v="500"/>
    <s v="Florestal"/>
    <m/>
    <n v="41.619583608124017"/>
    <n v="41.619583608124017"/>
  </r>
  <r>
    <x v="4"/>
    <n v="94"/>
    <n v="500"/>
    <s v="Florestal"/>
    <m/>
    <n v="32.210440399595207"/>
    <n v="32.2104403995952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21:L27" firstHeaderRow="0" firstDataRow="1" firstDataCol="1"/>
  <pivotFields count="7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dataField="1"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tdDev of C_total" fld="6" subtotal="stdDev" baseField="0" baseItem="0"/>
    <dataField name="Average of C_total" fld="6" subtotal="average" baseField="0" baseItem="0"/>
    <dataField name="Count of C_total" fld="6" subtotal="count" baseField="0" baseItem="0"/>
  </dataFields>
  <formats count="5">
    <format dxfId="4">
      <pivotArea collapsedLevelsAreSubtotals="1" fieldPosition="0">
        <references count="2">
          <reference field="4294967294" count="2" selected="0">
            <x v="0"/>
            <x v="1"/>
          </reference>
          <reference field="0" count="0"/>
        </references>
      </pivotArea>
    </format>
    <format dxfId="3">
      <pivotArea collapsedLevelsAreSubtotals="1" fieldPosition="0">
        <references count="2">
          <reference field="4294967294" count="2" selected="0">
            <x v="0"/>
            <x v="1"/>
          </reference>
          <reference field="0" count="0"/>
        </references>
      </pivotArea>
    </format>
    <format dxfId="2">
      <pivotArea collapsedLevelsAreSubtotals="1" fieldPosition="0">
        <references count="2">
          <reference field="4294967294" count="2" selected="0">
            <x v="0"/>
            <x v="1"/>
          </reference>
          <reference field="0" count="0"/>
        </references>
      </pivotArea>
    </format>
    <format dxfId="1">
      <pivotArea collapsedLevelsAreSubtotals="1" fieldPosition="0">
        <references count="2">
          <reference field="4294967294" count="2" selected="0">
            <x v="0"/>
            <x v="1"/>
          </reference>
          <reference field="0" count="0"/>
        </references>
      </pivotArea>
    </format>
    <format dxfId="0">
      <pivotArea collapsedLevelsAreSubtotals="1" fieldPosition="0">
        <references count="2">
          <reference field="4294967294" count="2" selected="0">
            <x v="0"/>
            <x v="1"/>
          </reference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5.bin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6.emf"/><Relationship Id="rId1" Type="http://schemas.openxmlformats.org/officeDocument/2006/relationships/pivotTable" Target="../pivotTables/pivotTable1.xml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6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Relationship Id="rId1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F2" sqref="F2"/>
    </sheetView>
  </sheetViews>
  <sheetFormatPr defaultRowHeight="14.4" x14ac:dyDescent="0.3"/>
  <cols>
    <col min="4" max="4" width="8.88671875" style="7"/>
  </cols>
  <sheetData>
    <row r="1" spans="1:22" x14ac:dyDescent="0.3">
      <c r="A1" s="71" t="s">
        <v>76</v>
      </c>
      <c r="B1" s="8"/>
      <c r="C1" s="8"/>
      <c r="D1" s="9">
        <v>1</v>
      </c>
      <c r="E1" s="68">
        <v>2</v>
      </c>
      <c r="F1" s="68">
        <v>3</v>
      </c>
      <c r="G1" s="68">
        <v>4</v>
      </c>
      <c r="H1" s="68">
        <v>5</v>
      </c>
      <c r="I1" s="68">
        <v>6</v>
      </c>
      <c r="J1" s="68">
        <v>7</v>
      </c>
      <c r="K1" s="68">
        <v>8</v>
      </c>
      <c r="L1" s="68">
        <v>9</v>
      </c>
      <c r="M1" s="68">
        <v>10</v>
      </c>
      <c r="N1" s="68">
        <v>11</v>
      </c>
      <c r="O1" s="68">
        <v>12</v>
      </c>
      <c r="P1" s="68">
        <v>13</v>
      </c>
      <c r="Q1" s="68">
        <v>14</v>
      </c>
      <c r="R1" s="68">
        <v>15</v>
      </c>
      <c r="S1" s="68">
        <v>16</v>
      </c>
      <c r="T1" s="68">
        <v>17</v>
      </c>
      <c r="U1" s="68">
        <v>18</v>
      </c>
      <c r="V1" s="68">
        <v>19</v>
      </c>
    </row>
    <row r="2" spans="1:22" s="1" customFormat="1" x14ac:dyDescent="0.3">
      <c r="A2" s="1" t="s">
        <v>0</v>
      </c>
      <c r="B2" s="1" t="s">
        <v>1</v>
      </c>
      <c r="C2" s="1" t="s">
        <v>2</v>
      </c>
      <c r="D2" s="10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70</v>
      </c>
      <c r="L2" s="1" t="s">
        <v>71</v>
      </c>
      <c r="M2" s="1" t="s">
        <v>72</v>
      </c>
      <c r="N2" s="1" t="s">
        <v>73</v>
      </c>
      <c r="O2" s="1" t="s">
        <v>74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26" t="s">
        <v>17</v>
      </c>
    </row>
    <row r="3" spans="1:22" x14ac:dyDescent="0.3">
      <c r="A3" t="s">
        <v>20</v>
      </c>
      <c r="B3">
        <v>7.2</v>
      </c>
      <c r="C3">
        <v>500</v>
      </c>
      <c r="D3" s="7">
        <v>85</v>
      </c>
      <c r="E3">
        <v>37</v>
      </c>
      <c r="F3">
        <v>33.295269709198017</v>
      </c>
      <c r="G3">
        <v>17.859999847412102</v>
      </c>
      <c r="H3">
        <v>220</v>
      </c>
      <c r="I3">
        <v>13.910689259298829</v>
      </c>
      <c r="J3">
        <v>112.0642281355473</v>
      </c>
      <c r="K3">
        <v>64.247966954178892</v>
      </c>
      <c r="L3">
        <v>18.435273386636609</v>
      </c>
      <c r="M3">
        <v>3.1953855724922762</v>
      </c>
      <c r="N3">
        <v>29.380987794731769</v>
      </c>
      <c r="O3">
        <v>42.880116046166172</v>
      </c>
      <c r="P3">
        <v>8.5281609125956095</v>
      </c>
      <c r="Q3">
        <v>9.2089580194687617</v>
      </c>
      <c r="R3">
        <v>3.495606394470582</v>
      </c>
      <c r="S3">
        <v>55.58468046010551</v>
      </c>
      <c r="T3">
        <v>15.319137934805079</v>
      </c>
      <c r="U3">
        <v>70.903818394910587</v>
      </c>
      <c r="V3">
        <v>35.451909197455286</v>
      </c>
    </row>
    <row r="4" spans="1:22" x14ac:dyDescent="0.3">
      <c r="A4" t="s">
        <v>20</v>
      </c>
      <c r="B4">
        <v>7.2</v>
      </c>
      <c r="C4">
        <v>500</v>
      </c>
      <c r="D4" s="7">
        <v>86</v>
      </c>
      <c r="E4">
        <v>38.4</v>
      </c>
      <c r="F4">
        <v>36.157578853259302</v>
      </c>
      <c r="G4">
        <v>16.139999961853022</v>
      </c>
      <c r="H4">
        <v>320</v>
      </c>
      <c r="I4">
        <v>21.14251422307499</v>
      </c>
      <c r="J4">
        <v>165.0763418248107</v>
      </c>
      <c r="K4">
        <v>98.79235010997472</v>
      </c>
      <c r="L4">
        <v>22.92083501214837</v>
      </c>
      <c r="M4">
        <v>4.3390124366716956</v>
      </c>
      <c r="N4">
        <v>43.36315670268764</v>
      </c>
      <c r="O4">
        <v>61.600942691859537</v>
      </c>
      <c r="P4">
        <v>12.4387511751075</v>
      </c>
      <c r="Q4">
        <v>16.05684516629859</v>
      </c>
      <c r="R4">
        <v>5.4948989426989021</v>
      </c>
      <c r="S4">
        <v>83.152686800857026</v>
      </c>
      <c r="T4">
        <v>22.916880482316198</v>
      </c>
      <c r="U4">
        <v>106.0695672831732</v>
      </c>
      <c r="V4">
        <v>53.034783641586607</v>
      </c>
    </row>
    <row r="5" spans="1:22" x14ac:dyDescent="0.3">
      <c r="A5" t="s">
        <v>20</v>
      </c>
      <c r="B5">
        <v>7.2</v>
      </c>
      <c r="C5">
        <v>500</v>
      </c>
      <c r="D5" s="7">
        <v>103</v>
      </c>
      <c r="E5">
        <v>29.6</v>
      </c>
      <c r="F5">
        <v>28.07259305845642</v>
      </c>
      <c r="G5">
        <v>9.8400001525878853</v>
      </c>
      <c r="H5">
        <v>560</v>
      </c>
      <c r="I5">
        <v>17.351797574979571</v>
      </c>
      <c r="J5">
        <v>88.286647938992914</v>
      </c>
      <c r="K5">
        <v>24.257873586039299</v>
      </c>
      <c r="L5">
        <v>27.799226537940491</v>
      </c>
      <c r="M5">
        <v>9.7619069835103502</v>
      </c>
      <c r="N5">
        <v>36.229547815013127</v>
      </c>
      <c r="O5">
        <v>30.272807607813721</v>
      </c>
      <c r="P5">
        <v>7.6667087239882132</v>
      </c>
      <c r="Q5">
        <v>10.905679980373741</v>
      </c>
      <c r="R5">
        <v>6.2025285200131286</v>
      </c>
      <c r="S5">
        <v>47.381016108200598</v>
      </c>
      <c r="T5">
        <v>13.05820803942008</v>
      </c>
      <c r="U5">
        <v>60.439224147620678</v>
      </c>
      <c r="V5">
        <v>30.219612073810339</v>
      </c>
    </row>
    <row r="6" spans="1:22" x14ac:dyDescent="0.3">
      <c r="A6" t="s">
        <v>20</v>
      </c>
      <c r="B6">
        <v>7.2</v>
      </c>
      <c r="C6">
        <v>500</v>
      </c>
      <c r="D6" s="7">
        <v>104</v>
      </c>
      <c r="E6">
        <v>28.8</v>
      </c>
      <c r="F6">
        <v>27.564051912313388</v>
      </c>
      <c r="G6">
        <v>9.3799998283386348</v>
      </c>
      <c r="H6">
        <v>860</v>
      </c>
      <c r="I6">
        <v>15.34810532127336</v>
      </c>
      <c r="J6">
        <v>73.800870482375913</v>
      </c>
      <c r="K6">
        <v>17.986418459530629</v>
      </c>
      <c r="L6">
        <v>16.72850408636824</v>
      </c>
      <c r="M6">
        <v>15.06881721986484</v>
      </c>
      <c r="N6">
        <v>39.085947936477041</v>
      </c>
      <c r="O6">
        <v>25.430515584149472</v>
      </c>
      <c r="P6">
        <v>6.6614425341899626</v>
      </c>
      <c r="Q6">
        <v>8.252613366409328</v>
      </c>
      <c r="R6">
        <v>5.6156359451838602</v>
      </c>
      <c r="S6">
        <v>39.298764895742657</v>
      </c>
      <c r="T6">
        <v>10.830739605266681</v>
      </c>
      <c r="U6">
        <v>50.129504501009343</v>
      </c>
      <c r="V6">
        <v>25.064752250504672</v>
      </c>
    </row>
    <row r="7" spans="1:22" x14ac:dyDescent="0.3">
      <c r="A7" t="s">
        <v>20</v>
      </c>
      <c r="B7">
        <v>7.2</v>
      </c>
      <c r="C7">
        <v>500</v>
      </c>
      <c r="D7" s="7">
        <v>114</v>
      </c>
      <c r="E7">
        <v>28</v>
      </c>
      <c r="F7">
        <v>21.936408244383969</v>
      </c>
      <c r="G7">
        <v>9.5399999618530202</v>
      </c>
      <c r="H7">
        <v>660</v>
      </c>
      <c r="I7">
        <v>18.147531742151521</v>
      </c>
      <c r="J7">
        <v>91.26704506040268</v>
      </c>
      <c r="K7">
        <v>15.466913051520461</v>
      </c>
      <c r="L7">
        <v>35.968452684372323</v>
      </c>
      <c r="M7">
        <v>11.980145211314399</v>
      </c>
      <c r="N7">
        <v>39.831679324509913</v>
      </c>
      <c r="O7">
        <v>31.774871479125348</v>
      </c>
      <c r="P7">
        <v>8.1370870192982103</v>
      </c>
      <c r="Q7">
        <v>9.3298894148573925</v>
      </c>
      <c r="R7">
        <v>6.3855365477384387</v>
      </c>
      <c r="S7">
        <v>47.490297441721182</v>
      </c>
      <c r="T7">
        <v>13.08832597493836</v>
      </c>
      <c r="U7">
        <v>60.578623416659532</v>
      </c>
      <c r="V7">
        <v>30.28931170832977</v>
      </c>
    </row>
    <row r="8" spans="1:22" x14ac:dyDescent="0.3">
      <c r="A8" t="s">
        <v>18</v>
      </c>
      <c r="B8">
        <v>21.1</v>
      </c>
      <c r="C8">
        <v>500</v>
      </c>
      <c r="D8" s="7">
        <v>38</v>
      </c>
      <c r="E8">
        <v>37.200000000000003</v>
      </c>
      <c r="F8">
        <v>33.439153748703227</v>
      </c>
      <c r="G8">
        <v>14.31999988555908</v>
      </c>
      <c r="H8">
        <v>420</v>
      </c>
      <c r="I8">
        <v>16.34564371126374</v>
      </c>
      <c r="J8">
        <v>115.3495416543707</v>
      </c>
      <c r="K8">
        <v>57.783820404593307</v>
      </c>
      <c r="L8">
        <v>19.813603774836771</v>
      </c>
      <c r="M8">
        <v>8.4972624619154935</v>
      </c>
      <c r="N8">
        <v>37.75211747494059</v>
      </c>
      <c r="O8">
        <v>42.399159803885148</v>
      </c>
      <c r="P8">
        <v>9.0279700919658339</v>
      </c>
      <c r="Q8">
        <v>11.585612921714469</v>
      </c>
      <c r="R8">
        <v>4.5770859768253427</v>
      </c>
      <c r="S8">
        <v>58.561858702424963</v>
      </c>
      <c r="T8">
        <v>16.13964825838832</v>
      </c>
      <c r="U8">
        <v>74.701506960813276</v>
      </c>
      <c r="V8">
        <v>37.350753480406638</v>
      </c>
    </row>
    <row r="9" spans="1:22" x14ac:dyDescent="0.3">
      <c r="A9" t="s">
        <v>18</v>
      </c>
      <c r="B9">
        <v>21.1</v>
      </c>
      <c r="C9">
        <v>500</v>
      </c>
      <c r="D9" s="7">
        <v>48</v>
      </c>
      <c r="E9">
        <v>30.2</v>
      </c>
      <c r="F9">
        <v>21.394847574210349</v>
      </c>
      <c r="G9">
        <v>9.7600000381469805</v>
      </c>
      <c r="H9">
        <v>200</v>
      </c>
      <c r="I9">
        <v>10.112818110772199</v>
      </c>
      <c r="J9">
        <v>56.552293477522987</v>
      </c>
      <c r="K9">
        <v>27.416610139729411</v>
      </c>
      <c r="L9">
        <v>10.57439460180575</v>
      </c>
      <c r="M9">
        <v>2.8589731275449242</v>
      </c>
      <c r="N9">
        <v>18.56128873598783</v>
      </c>
      <c r="O9">
        <v>19.2147545199707</v>
      </c>
      <c r="P9">
        <v>4.5914402881884584</v>
      </c>
      <c r="Q9">
        <v>8.2560130489338839</v>
      </c>
      <c r="R9">
        <v>3.487501046849256</v>
      </c>
      <c r="S9">
        <v>30.958268615753841</v>
      </c>
      <c r="T9">
        <v>8.5320988305017593</v>
      </c>
      <c r="U9">
        <v>39.490367446255597</v>
      </c>
      <c r="V9">
        <v>19.745183723127798</v>
      </c>
    </row>
    <row r="10" spans="1:22" x14ac:dyDescent="0.3">
      <c r="A10" t="s">
        <v>18</v>
      </c>
      <c r="B10">
        <v>21.1</v>
      </c>
      <c r="C10">
        <v>500</v>
      </c>
      <c r="D10" s="7">
        <v>49</v>
      </c>
      <c r="E10">
        <v>35</v>
      </c>
      <c r="F10">
        <v>35.640861260446741</v>
      </c>
      <c r="G10">
        <v>16.240000152587879</v>
      </c>
      <c r="H10">
        <v>380</v>
      </c>
      <c r="I10">
        <v>25.13565507229297</v>
      </c>
      <c r="J10">
        <v>199.09187049603941</v>
      </c>
      <c r="K10">
        <v>119.4005833711726</v>
      </c>
      <c r="L10">
        <v>26.654274859390309</v>
      </c>
      <c r="M10">
        <v>6.1680511312591237</v>
      </c>
      <c r="N10">
        <v>53.037012265476577</v>
      </c>
      <c r="O10">
        <v>74.919324506950957</v>
      </c>
      <c r="P10">
        <v>15.039695704916729</v>
      </c>
      <c r="Q10">
        <v>18.45028619025279</v>
      </c>
      <c r="R10">
        <v>6.4161356572428749</v>
      </c>
      <c r="S10">
        <v>99.78574635444663</v>
      </c>
      <c r="T10">
        <v>27.50095169528549</v>
      </c>
      <c r="U10">
        <v>127.2866980497321</v>
      </c>
      <c r="V10">
        <v>63.643349024866048</v>
      </c>
    </row>
    <row r="11" spans="1:22" x14ac:dyDescent="0.3">
      <c r="A11" t="s">
        <v>18</v>
      </c>
      <c r="B11">
        <v>21.1</v>
      </c>
      <c r="C11">
        <v>500</v>
      </c>
      <c r="D11" s="7">
        <v>60</v>
      </c>
      <c r="E11">
        <v>38</v>
      </c>
      <c r="F11">
        <v>28.379071573215661</v>
      </c>
      <c r="G11">
        <v>11.86666679382323</v>
      </c>
      <c r="H11">
        <v>60</v>
      </c>
      <c r="I11">
        <v>3.7952247400164612</v>
      </c>
      <c r="J11">
        <v>23.979157627041509</v>
      </c>
      <c r="K11">
        <v>12.684845184536361</v>
      </c>
      <c r="L11">
        <v>4.2720436020145529</v>
      </c>
      <c r="M11">
        <v>0.72638354694136398</v>
      </c>
      <c r="N11">
        <v>7.0222688404905984</v>
      </c>
      <c r="O11">
        <v>8.4808937464545089</v>
      </c>
      <c r="P11">
        <v>1.9055000535114179</v>
      </c>
      <c r="Q11">
        <v>2.819434422129159</v>
      </c>
      <c r="R11">
        <v>1.1765858504008531</v>
      </c>
      <c r="S11">
        <v>12.47691401898452</v>
      </c>
      <c r="T11">
        <v>3.4386375036321342</v>
      </c>
      <c r="U11">
        <v>15.915551522616649</v>
      </c>
      <c r="V11">
        <v>7.9577757613083273</v>
      </c>
    </row>
    <row r="12" spans="1:22" x14ac:dyDescent="0.3">
      <c r="A12" t="s">
        <v>18</v>
      </c>
      <c r="B12">
        <v>21.1</v>
      </c>
      <c r="C12">
        <v>500</v>
      </c>
      <c r="D12" s="7">
        <v>97</v>
      </c>
      <c r="E12">
        <v>38</v>
      </c>
      <c r="F12">
        <v>35.090155811262839</v>
      </c>
      <c r="G12">
        <v>16.619999885559061</v>
      </c>
      <c r="H12">
        <v>220</v>
      </c>
      <c r="I12">
        <v>17.01071938453434</v>
      </c>
      <c r="J12">
        <v>137.79500219905299</v>
      </c>
      <c r="K12">
        <v>84.424543834341222</v>
      </c>
      <c r="L12">
        <v>18.75956285725853</v>
      </c>
      <c r="M12">
        <v>2.6690153122955671</v>
      </c>
      <c r="N12">
        <v>34.610895507453279</v>
      </c>
      <c r="O12">
        <v>52.138573729551588</v>
      </c>
      <c r="P12">
        <v>10.34746035154661</v>
      </c>
      <c r="Q12">
        <v>12.37633365141552</v>
      </c>
      <c r="R12">
        <v>4.2609849554949104</v>
      </c>
      <c r="S12">
        <v>68.775892336462022</v>
      </c>
      <c r="T12">
        <v>18.95463592792893</v>
      </c>
      <c r="U12">
        <v>87.730528264390955</v>
      </c>
      <c r="V12">
        <v>43.865264132195477</v>
      </c>
    </row>
    <row r="13" spans="1:22" x14ac:dyDescent="0.3">
      <c r="A13" t="s">
        <v>18</v>
      </c>
      <c r="B13">
        <v>21.1</v>
      </c>
      <c r="C13">
        <v>500</v>
      </c>
      <c r="D13" s="7">
        <v>105</v>
      </c>
      <c r="E13">
        <v>29</v>
      </c>
      <c r="F13">
        <v>30.356534639903391</v>
      </c>
      <c r="G13">
        <v>12.116666475931821</v>
      </c>
      <c r="H13">
        <v>620</v>
      </c>
      <c r="I13">
        <v>20.141999489477641</v>
      </c>
      <c r="J13">
        <v>123.91167404491151</v>
      </c>
      <c r="K13">
        <v>55.642130784865387</v>
      </c>
      <c r="L13">
        <v>23.74531605715616</v>
      </c>
      <c r="M13">
        <v>10.343681773950591</v>
      </c>
      <c r="N13">
        <v>44.524227202889897</v>
      </c>
      <c r="O13">
        <v>44.196740100085421</v>
      </c>
      <c r="P13">
        <v>10.11984810571983</v>
      </c>
      <c r="Q13">
        <v>13.56999190871562</v>
      </c>
      <c r="R13">
        <v>6.2517608085932119</v>
      </c>
      <c r="S13">
        <v>64.018492817394261</v>
      </c>
      <c r="T13">
        <v>17.643496620473861</v>
      </c>
      <c r="U13">
        <v>81.661989437868115</v>
      </c>
      <c r="V13">
        <v>40.830994718934058</v>
      </c>
    </row>
    <row r="14" spans="1:22" x14ac:dyDescent="0.3">
      <c r="A14" t="s">
        <v>18</v>
      </c>
      <c r="B14">
        <v>21.1</v>
      </c>
      <c r="C14">
        <v>500</v>
      </c>
      <c r="D14" s="7">
        <v>107</v>
      </c>
      <c r="E14">
        <v>33</v>
      </c>
      <c r="F14">
        <v>19.15363334005654</v>
      </c>
      <c r="G14">
        <v>9.1333335240681865</v>
      </c>
      <c r="H14">
        <v>180</v>
      </c>
      <c r="I14">
        <v>5.5544498030073326</v>
      </c>
      <c r="J14">
        <v>28.06457596898618</v>
      </c>
      <c r="K14">
        <v>12.57803336208489</v>
      </c>
      <c r="L14">
        <v>5.0330743239004052</v>
      </c>
      <c r="M14">
        <v>2.0992536197388239</v>
      </c>
      <c r="N14">
        <v>10.453468283000889</v>
      </c>
      <c r="O14">
        <v>9.2836663385825062</v>
      </c>
      <c r="P14">
        <v>2.3350857858169212</v>
      </c>
      <c r="Q14">
        <v>4.6716480474961202</v>
      </c>
      <c r="R14">
        <v>2.0937799362858072</v>
      </c>
      <c r="S14">
        <v>16.049094322364439</v>
      </c>
      <c r="T14">
        <v>4.4231303952436383</v>
      </c>
      <c r="U14">
        <v>20.472224717608071</v>
      </c>
      <c r="V14">
        <v>10.236112358804039</v>
      </c>
    </row>
    <row r="15" spans="1:22" x14ac:dyDescent="0.3">
      <c r="A15" t="s">
        <v>18</v>
      </c>
      <c r="B15">
        <v>21.1</v>
      </c>
      <c r="C15">
        <v>500</v>
      </c>
      <c r="D15" s="7">
        <v>116</v>
      </c>
      <c r="E15">
        <v>29</v>
      </c>
      <c r="F15">
        <v>28.41712549610688</v>
      </c>
      <c r="G15">
        <v>11.66000003814699</v>
      </c>
      <c r="H15">
        <v>680</v>
      </c>
      <c r="I15">
        <v>18.862950982033212</v>
      </c>
      <c r="J15">
        <v>106.5820278238312</v>
      </c>
      <c r="K15">
        <v>32.153320238613183</v>
      </c>
      <c r="L15">
        <v>31.791351543323241</v>
      </c>
      <c r="M15">
        <v>11.679537349903841</v>
      </c>
      <c r="N15">
        <v>42.637356041894797</v>
      </c>
      <c r="O15">
        <v>38.023149723969212</v>
      </c>
      <c r="P15">
        <v>9.1184455075154762</v>
      </c>
      <c r="Q15">
        <v>10.51219807478437</v>
      </c>
      <c r="R15">
        <v>6.199659259493024</v>
      </c>
      <c r="S15">
        <v>54.735007058246588</v>
      </c>
      <c r="T15">
        <v>15.08496794525276</v>
      </c>
      <c r="U15">
        <v>69.819975003499366</v>
      </c>
      <c r="V15">
        <v>34.909987501749683</v>
      </c>
    </row>
    <row r="16" spans="1:22" x14ac:dyDescent="0.3">
      <c r="A16" t="s">
        <v>18</v>
      </c>
      <c r="B16">
        <v>21.1</v>
      </c>
      <c r="C16">
        <v>500</v>
      </c>
      <c r="D16" s="7">
        <v>118</v>
      </c>
      <c r="E16">
        <v>41</v>
      </c>
      <c r="F16">
        <v>39.020084323312908</v>
      </c>
      <c r="G16">
        <v>15.83999958038328</v>
      </c>
      <c r="H16">
        <v>300</v>
      </c>
      <c r="I16">
        <v>21.809002935182001</v>
      </c>
      <c r="J16">
        <v>169.70353582520909</v>
      </c>
      <c r="K16">
        <v>101.7088206972749</v>
      </c>
      <c r="L16">
        <v>23.838293574355848</v>
      </c>
      <c r="M16">
        <v>4.1534598420453106</v>
      </c>
      <c r="N16">
        <v>44.156421553578362</v>
      </c>
      <c r="O16">
        <v>63.224122889464283</v>
      </c>
      <c r="P16">
        <v>12.7770339308973</v>
      </c>
      <c r="Q16">
        <v>16.650998683525408</v>
      </c>
      <c r="R16">
        <v>5.6989712950762783</v>
      </c>
      <c r="S16">
        <v>85.574092868065961</v>
      </c>
      <c r="T16">
        <v>23.584219994438978</v>
      </c>
      <c r="U16">
        <v>109.1583128625049</v>
      </c>
      <c r="V16">
        <v>54.579156431252471</v>
      </c>
    </row>
    <row r="17" spans="1:22" x14ac:dyDescent="0.3">
      <c r="A17" t="s">
        <v>18</v>
      </c>
      <c r="B17">
        <v>21.1</v>
      </c>
      <c r="C17">
        <v>500</v>
      </c>
      <c r="D17" s="7">
        <v>119</v>
      </c>
      <c r="E17">
        <v>34</v>
      </c>
      <c r="F17">
        <v>24.008800459500041</v>
      </c>
      <c r="G17">
        <v>9.8499999046325648</v>
      </c>
      <c r="H17">
        <v>120</v>
      </c>
      <c r="I17">
        <v>5.2248573837428927</v>
      </c>
      <c r="J17">
        <v>27.13483879475702</v>
      </c>
      <c r="K17">
        <v>9.2208201213381589</v>
      </c>
      <c r="L17">
        <v>8.5148295397134905</v>
      </c>
      <c r="M17">
        <v>1.4971034491937749</v>
      </c>
      <c r="N17">
        <v>9.3991891337053755</v>
      </c>
      <c r="O17">
        <v>9.2824236186196849</v>
      </c>
      <c r="P17">
        <v>2.322325287165393</v>
      </c>
      <c r="Q17">
        <v>3.2617433070917818</v>
      </c>
      <c r="R17">
        <v>1.845441676628623</v>
      </c>
      <c r="S17">
        <v>14.38960860234009</v>
      </c>
      <c r="T17">
        <v>3.9657761308049291</v>
      </c>
      <c r="U17">
        <v>18.355384733145019</v>
      </c>
      <c r="V17">
        <v>9.1776923665725096</v>
      </c>
    </row>
    <row r="18" spans="1:22" x14ac:dyDescent="0.3">
      <c r="A18" t="s">
        <v>18</v>
      </c>
      <c r="B18">
        <v>21.1</v>
      </c>
      <c r="C18">
        <v>500</v>
      </c>
      <c r="D18" s="7">
        <v>129</v>
      </c>
      <c r="E18">
        <v>41.333333333333343</v>
      </c>
      <c r="F18">
        <v>36.320162674946388</v>
      </c>
      <c r="G18">
        <v>11.133333206176779</v>
      </c>
      <c r="H18">
        <v>80</v>
      </c>
      <c r="I18">
        <v>8.2577787572708381</v>
      </c>
      <c r="J18">
        <v>51.912989632929254</v>
      </c>
      <c r="K18">
        <v>34.090139697173512</v>
      </c>
      <c r="L18">
        <v>3.9365977358567701</v>
      </c>
      <c r="M18">
        <v>0.55819625778069559</v>
      </c>
      <c r="N18">
        <v>13.88625219989896</v>
      </c>
      <c r="O18">
        <v>17.636011774514721</v>
      </c>
      <c r="P18">
        <v>3.9411205585031359</v>
      </c>
      <c r="Q18">
        <v>8.2888638660297662</v>
      </c>
      <c r="R18">
        <v>2.6722183473097392</v>
      </c>
      <c r="S18">
        <v>28.59709398785423</v>
      </c>
      <c r="T18">
        <v>7.8813591030526249</v>
      </c>
      <c r="U18">
        <v>36.478453090906847</v>
      </c>
      <c r="V18">
        <v>18.23922654545343</v>
      </c>
    </row>
    <row r="19" spans="1:22" x14ac:dyDescent="0.3">
      <c r="A19" t="s">
        <v>18</v>
      </c>
      <c r="B19">
        <v>21.1</v>
      </c>
      <c r="C19">
        <v>500</v>
      </c>
      <c r="D19" s="7">
        <v>138</v>
      </c>
      <c r="E19">
        <v>36</v>
      </c>
      <c r="F19">
        <v>32.328678665014579</v>
      </c>
      <c r="G19">
        <v>13.640000152587859</v>
      </c>
      <c r="H19">
        <v>520</v>
      </c>
      <c r="I19">
        <v>25.381099661547459</v>
      </c>
      <c r="J19">
        <v>171.2056912837273</v>
      </c>
      <c r="K19">
        <v>72.837683657343163</v>
      </c>
      <c r="L19">
        <v>45.409817270884432</v>
      </c>
      <c r="M19">
        <v>8.5031166494898773</v>
      </c>
      <c r="N19">
        <v>52.958190355499752</v>
      </c>
      <c r="O19">
        <v>62.881940323732998</v>
      </c>
      <c r="P19">
        <v>13.77966761046207</v>
      </c>
      <c r="Q19">
        <v>16.024909068088569</v>
      </c>
      <c r="R19">
        <v>7.2145258552141609</v>
      </c>
      <c r="S19">
        <v>86.121375247035715</v>
      </c>
      <c r="T19">
        <v>23.735051018083041</v>
      </c>
      <c r="U19">
        <v>109.8564262651188</v>
      </c>
      <c r="V19">
        <v>54.928213132559392</v>
      </c>
    </row>
    <row r="20" spans="1:22" x14ac:dyDescent="0.3">
      <c r="A20" t="s">
        <v>21</v>
      </c>
      <c r="B20">
        <v>1.4</v>
      </c>
      <c r="C20">
        <v>500</v>
      </c>
      <c r="D20" s="7">
        <v>59</v>
      </c>
      <c r="E20">
        <v>35</v>
      </c>
      <c r="F20">
        <v>38.223717098775211</v>
      </c>
      <c r="G20">
        <v>15.6749999523163</v>
      </c>
      <c r="H20">
        <v>80</v>
      </c>
      <c r="I20">
        <v>9.1800639079340129</v>
      </c>
      <c r="J20">
        <v>73.386735730319614</v>
      </c>
      <c r="K20">
        <v>51.475241125877083</v>
      </c>
      <c r="L20">
        <v>4.5908927554137344</v>
      </c>
      <c r="M20">
        <v>0.56470635763632515</v>
      </c>
      <c r="N20">
        <v>17.320601849028801</v>
      </c>
      <c r="O20">
        <v>26.936117564084391</v>
      </c>
      <c r="P20">
        <v>5.3376981141577531</v>
      </c>
      <c r="Q20">
        <v>8.2651788374918311</v>
      </c>
      <c r="R20">
        <v>2.4081501955122659</v>
      </c>
      <c r="S20">
        <v>37.609446597088493</v>
      </c>
      <c r="T20">
        <v>10.365163482157589</v>
      </c>
      <c r="U20">
        <v>47.974610079246077</v>
      </c>
      <c r="V20">
        <v>23.987305039623038</v>
      </c>
    </row>
    <row r="21" spans="1:22" x14ac:dyDescent="0.3">
      <c r="A21" t="s">
        <v>21</v>
      </c>
      <c r="B21">
        <v>1.4</v>
      </c>
      <c r="C21">
        <v>500</v>
      </c>
      <c r="D21" s="7">
        <v>139</v>
      </c>
      <c r="E21">
        <v>38.200000000000003</v>
      </c>
      <c r="F21">
        <v>31.654873514388171</v>
      </c>
      <c r="G21">
        <v>13.039999961853001</v>
      </c>
      <c r="H21">
        <v>380</v>
      </c>
      <c r="I21">
        <v>18.010460090533481</v>
      </c>
      <c r="J21">
        <v>120.25730924246091</v>
      </c>
      <c r="K21">
        <v>55.446162653965231</v>
      </c>
      <c r="L21">
        <v>26.584953332471081</v>
      </c>
      <c r="M21">
        <v>7.2592389519446927</v>
      </c>
      <c r="N21">
        <v>38.226193256024636</v>
      </c>
      <c r="O21">
        <v>43.174321397567788</v>
      </c>
      <c r="P21">
        <v>9.459041694389402</v>
      </c>
      <c r="Q21">
        <v>13.88908124259976</v>
      </c>
      <c r="R21">
        <v>5.2963772601139283</v>
      </c>
      <c r="S21">
        <v>62.359779900281481</v>
      </c>
      <c r="T21">
        <v>17.186355340517579</v>
      </c>
      <c r="U21">
        <v>79.54613524079906</v>
      </c>
      <c r="V21">
        <v>39.77306762039953</v>
      </c>
    </row>
    <row r="22" spans="1:22" x14ac:dyDescent="0.3">
      <c r="A22" t="s">
        <v>22</v>
      </c>
      <c r="B22">
        <v>11.1</v>
      </c>
      <c r="C22">
        <v>500</v>
      </c>
      <c r="D22" s="7">
        <v>37</v>
      </c>
      <c r="E22">
        <v>32</v>
      </c>
      <c r="F22">
        <v>18.494796188068921</v>
      </c>
      <c r="G22">
        <v>7.0999999046325701</v>
      </c>
      <c r="H22">
        <v>780</v>
      </c>
      <c r="I22">
        <v>11.487904938112401</v>
      </c>
      <c r="J22">
        <v>43.966673326352478</v>
      </c>
      <c r="K22">
        <v>1.84689382204658</v>
      </c>
      <c r="L22">
        <v>14.69673882144858</v>
      </c>
      <c r="M22">
        <v>11.40895925745226</v>
      </c>
      <c r="N22">
        <v>27.42304068285733</v>
      </c>
      <c r="O22">
        <v>14.5267841685554</v>
      </c>
      <c r="P22">
        <v>4.2964707722216904</v>
      </c>
      <c r="Q22">
        <v>5.1146385940767516</v>
      </c>
      <c r="R22">
        <v>4.9541203414360053</v>
      </c>
      <c r="S22">
        <v>24.59554310406816</v>
      </c>
      <c r="T22">
        <v>6.7785316794811852</v>
      </c>
      <c r="U22">
        <v>31.37407478354935</v>
      </c>
      <c r="V22">
        <v>15.68703739177467</v>
      </c>
    </row>
    <row r="23" spans="1:22" x14ac:dyDescent="0.3">
      <c r="A23" t="s">
        <v>22</v>
      </c>
      <c r="B23">
        <v>11.1</v>
      </c>
      <c r="C23">
        <v>500</v>
      </c>
      <c r="D23" s="7">
        <v>95</v>
      </c>
      <c r="E23">
        <v>22</v>
      </c>
      <c r="F23">
        <v>10.157337344419011</v>
      </c>
      <c r="G23">
        <v>5.8800000190734858</v>
      </c>
      <c r="H23">
        <v>240</v>
      </c>
      <c r="I23">
        <v>2.008966050787945</v>
      </c>
      <c r="J23">
        <v>6.1670909981023261</v>
      </c>
      <c r="K23">
        <v>0</v>
      </c>
      <c r="L23">
        <v>0.40684649348667018</v>
      </c>
      <c r="M23">
        <v>2.981058607748118</v>
      </c>
      <c r="N23">
        <v>5.7602445046156561</v>
      </c>
      <c r="O23">
        <v>2.0119406901853258</v>
      </c>
      <c r="P23">
        <v>0.67196213867119081</v>
      </c>
      <c r="Q23">
        <v>0.61730188852939827</v>
      </c>
      <c r="R23">
        <v>0.99271996394753126</v>
      </c>
      <c r="S23">
        <v>3.621962542662255</v>
      </c>
      <c r="T23">
        <v>0.99821287675771764</v>
      </c>
      <c r="U23">
        <v>4.6201754194199731</v>
      </c>
      <c r="V23">
        <v>2.310087709709987</v>
      </c>
    </row>
    <row r="24" spans="1:22" x14ac:dyDescent="0.3">
      <c r="A24" t="s">
        <v>22</v>
      </c>
      <c r="B24">
        <v>11.1</v>
      </c>
      <c r="C24">
        <v>500</v>
      </c>
      <c r="D24" s="7">
        <v>96</v>
      </c>
      <c r="E24">
        <v>22</v>
      </c>
      <c r="F24">
        <v>19.268335551761201</v>
      </c>
      <c r="G24">
        <v>7.1249998807907122</v>
      </c>
      <c r="H24">
        <v>920</v>
      </c>
      <c r="I24">
        <v>10.28979595042864</v>
      </c>
      <c r="J24">
        <v>37.70515397914577</v>
      </c>
      <c r="K24">
        <v>0</v>
      </c>
      <c r="L24">
        <v>10.016712680097839</v>
      </c>
      <c r="M24">
        <v>12.84443008385713</v>
      </c>
      <c r="N24">
        <v>27.68844129904793</v>
      </c>
      <c r="O24">
        <v>12.58773186068189</v>
      </c>
      <c r="P24">
        <v>3.8266249030145638</v>
      </c>
      <c r="Q24">
        <v>3.829397174975663</v>
      </c>
      <c r="R24">
        <v>4.4892247125437228</v>
      </c>
      <c r="S24">
        <v>20.90635374820128</v>
      </c>
      <c r="T24">
        <v>5.7617910930042724</v>
      </c>
      <c r="U24">
        <v>26.66814484120555</v>
      </c>
      <c r="V24">
        <v>13.334072420602769</v>
      </c>
    </row>
    <row r="25" spans="1:22" x14ac:dyDescent="0.3">
      <c r="A25" t="s">
        <v>22</v>
      </c>
      <c r="B25">
        <v>11.1</v>
      </c>
      <c r="C25">
        <v>500</v>
      </c>
      <c r="D25" s="7">
        <v>106</v>
      </c>
      <c r="E25">
        <v>26</v>
      </c>
      <c r="F25">
        <v>14.394240492583901</v>
      </c>
      <c r="G25">
        <v>5.5</v>
      </c>
      <c r="H25">
        <v>440</v>
      </c>
      <c r="I25">
        <v>4.1643460057446857</v>
      </c>
      <c r="J25">
        <v>12.47458348359309</v>
      </c>
      <c r="K25">
        <v>0</v>
      </c>
      <c r="L25">
        <v>1.901521963697707</v>
      </c>
      <c r="M25">
        <v>5.182426119173253</v>
      </c>
      <c r="N25">
        <v>10.573061519895379</v>
      </c>
      <c r="O25">
        <v>3.9749710381771548</v>
      </c>
      <c r="P25">
        <v>1.341602084597511</v>
      </c>
      <c r="Q25">
        <v>1.4429942773054469</v>
      </c>
      <c r="R25">
        <v>2.1249609685657762</v>
      </c>
      <c r="S25">
        <v>7.5429262840483782</v>
      </c>
      <c r="T25">
        <v>2.078830483883733</v>
      </c>
      <c r="U25">
        <v>9.6217567679321121</v>
      </c>
      <c r="V25">
        <v>4.810878383966056</v>
      </c>
    </row>
    <row r="26" spans="1:22" x14ac:dyDescent="0.3">
      <c r="A26" t="s">
        <v>22</v>
      </c>
      <c r="B26">
        <v>11.1</v>
      </c>
      <c r="C26">
        <v>500</v>
      </c>
      <c r="D26" s="7">
        <v>108</v>
      </c>
      <c r="E26">
        <v>34</v>
      </c>
      <c r="F26">
        <v>27.158442480853701</v>
      </c>
      <c r="G26">
        <v>11.580000114440899</v>
      </c>
      <c r="H26">
        <v>420</v>
      </c>
      <c r="I26">
        <v>15.748191314660341</v>
      </c>
      <c r="J26">
        <v>90.345089855422103</v>
      </c>
      <c r="K26">
        <v>30.87022668432806</v>
      </c>
      <c r="L26">
        <v>27.39788405368077</v>
      </c>
      <c r="M26">
        <v>6.6249621103290091</v>
      </c>
      <c r="N26">
        <v>32.076979117413273</v>
      </c>
      <c r="O26">
        <v>32.091685179933393</v>
      </c>
      <c r="P26">
        <v>7.6258834231259263</v>
      </c>
      <c r="Q26">
        <v>9.2501521204658061</v>
      </c>
      <c r="R26">
        <v>5.1396553275381089</v>
      </c>
      <c r="S26">
        <v>46.4814926279373</v>
      </c>
      <c r="T26">
        <v>12.810299368259519</v>
      </c>
      <c r="U26">
        <v>59.291791996196821</v>
      </c>
      <c r="V26">
        <v>29.64589599809841</v>
      </c>
    </row>
    <row r="27" spans="1:22" x14ac:dyDescent="0.3">
      <c r="A27" t="s">
        <v>22</v>
      </c>
      <c r="B27">
        <v>11.1</v>
      </c>
      <c r="C27">
        <v>500</v>
      </c>
      <c r="D27" s="7">
        <v>115</v>
      </c>
      <c r="E27">
        <v>26</v>
      </c>
      <c r="F27">
        <v>15.82932394444445</v>
      </c>
      <c r="G27">
        <v>5.7400000572204579</v>
      </c>
      <c r="H27">
        <v>500</v>
      </c>
      <c r="I27">
        <v>4.7746946163050152</v>
      </c>
      <c r="J27">
        <v>15.393195333539079</v>
      </c>
      <c r="K27">
        <v>1.0816629307310039</v>
      </c>
      <c r="L27">
        <v>2.391916248276365</v>
      </c>
      <c r="M27">
        <v>5.3976991762832967</v>
      </c>
      <c r="N27">
        <v>11.91961615453171</v>
      </c>
      <c r="O27">
        <v>4.9602958115623386</v>
      </c>
      <c r="P27">
        <v>1.60725377803923</v>
      </c>
      <c r="Q27">
        <v>1.8076178421452249</v>
      </c>
      <c r="R27">
        <v>2.324498720463207</v>
      </c>
      <c r="S27">
        <v>9.0924123741707703</v>
      </c>
      <c r="T27">
        <v>2.5058688503214639</v>
      </c>
      <c r="U27">
        <v>11.598281224492229</v>
      </c>
      <c r="V27">
        <v>5.7991406122461173</v>
      </c>
    </row>
    <row r="28" spans="1:22" x14ac:dyDescent="0.3">
      <c r="A28" t="s">
        <v>22</v>
      </c>
      <c r="B28">
        <v>11.1</v>
      </c>
      <c r="C28">
        <v>500</v>
      </c>
      <c r="D28" s="7">
        <v>117</v>
      </c>
      <c r="E28">
        <v>26</v>
      </c>
      <c r="F28">
        <v>10.896826781915671</v>
      </c>
      <c r="G28">
        <v>4.5</v>
      </c>
      <c r="H28">
        <v>180</v>
      </c>
      <c r="I28">
        <v>1.2280800109695691</v>
      </c>
      <c r="J28">
        <v>3.049530948894057</v>
      </c>
      <c r="K28">
        <v>0</v>
      </c>
      <c r="L28">
        <v>0.2266748666922079</v>
      </c>
      <c r="M28">
        <v>1.284655518954235</v>
      </c>
      <c r="N28">
        <v>2.8228560822018491</v>
      </c>
      <c r="O28">
        <v>0.93700297918018416</v>
      </c>
      <c r="P28">
        <v>0.34835024655289248</v>
      </c>
      <c r="Q28">
        <v>0.380863847658307</v>
      </c>
      <c r="R28">
        <v>0.72518178733732808</v>
      </c>
      <c r="S28">
        <v>2.0430486141758188</v>
      </c>
      <c r="T28">
        <v>0.56306419806685581</v>
      </c>
      <c r="U28">
        <v>2.6061128122426749</v>
      </c>
      <c r="V28">
        <v>1.303056406121337</v>
      </c>
    </row>
    <row r="29" spans="1:22" x14ac:dyDescent="0.3">
      <c r="A29" t="s">
        <v>22</v>
      </c>
      <c r="B29">
        <v>11.1</v>
      </c>
      <c r="C29">
        <v>500</v>
      </c>
      <c r="D29" s="7">
        <v>126</v>
      </c>
      <c r="E29">
        <v>24</v>
      </c>
      <c r="F29">
        <v>11.801652503522069</v>
      </c>
      <c r="G29">
        <v>4.2200000286102277</v>
      </c>
      <c r="H29">
        <v>480</v>
      </c>
      <c r="I29">
        <v>4.2623715686294839</v>
      </c>
      <c r="J29">
        <v>10.85770837321191</v>
      </c>
      <c r="K29">
        <v>0</v>
      </c>
      <c r="L29">
        <v>1.343307801427287</v>
      </c>
      <c r="M29">
        <v>4.5515292603535</v>
      </c>
      <c r="N29">
        <v>9.5144005717846234</v>
      </c>
      <c r="O29">
        <v>3.2968520421007002</v>
      </c>
      <c r="P29">
        <v>1.208757761286668</v>
      </c>
      <c r="Q29">
        <v>1.532587718170225</v>
      </c>
      <c r="R29">
        <v>2.4889606573712322</v>
      </c>
      <c r="S29">
        <v>7.3184004176421569</v>
      </c>
      <c r="T29">
        <v>2.0169511551021788</v>
      </c>
      <c r="U29">
        <v>9.3353515727443366</v>
      </c>
      <c r="V29">
        <v>4.6676757863721683</v>
      </c>
    </row>
    <row r="30" spans="1:22" x14ac:dyDescent="0.3">
      <c r="A30" t="s">
        <v>22</v>
      </c>
      <c r="B30">
        <v>11.1</v>
      </c>
      <c r="C30">
        <v>500</v>
      </c>
      <c r="D30" s="7">
        <v>127</v>
      </c>
      <c r="E30">
        <v>32</v>
      </c>
      <c r="F30">
        <v>19.48032340701668</v>
      </c>
      <c r="G30">
        <v>7.4200001716613784</v>
      </c>
      <c r="H30">
        <v>360</v>
      </c>
      <c r="I30">
        <v>5.7366542276743013</v>
      </c>
      <c r="J30">
        <v>22.242229628744369</v>
      </c>
      <c r="K30">
        <v>1.037560965125458</v>
      </c>
      <c r="L30">
        <v>7.7610057235575827</v>
      </c>
      <c r="M30">
        <v>5.5055559107197114</v>
      </c>
      <c r="N30">
        <v>13.44366294006133</v>
      </c>
      <c r="O30">
        <v>7.3670525123208623</v>
      </c>
      <c r="P30">
        <v>2.1611263212808351</v>
      </c>
      <c r="Q30">
        <v>2.571997420331531</v>
      </c>
      <c r="R30">
        <v>2.4598311453136912</v>
      </c>
      <c r="S30">
        <v>12.398881077966079</v>
      </c>
      <c r="T30">
        <v>3.4171316250874528</v>
      </c>
      <c r="U30">
        <v>15.81601270305354</v>
      </c>
      <c r="V30">
        <v>7.9080063515267689</v>
      </c>
    </row>
    <row r="31" spans="1:22" x14ac:dyDescent="0.3">
      <c r="A31" t="s">
        <v>22</v>
      </c>
      <c r="B31">
        <v>11.1</v>
      </c>
      <c r="C31">
        <v>500</v>
      </c>
      <c r="D31" s="7">
        <v>128</v>
      </c>
      <c r="E31">
        <v>26</v>
      </c>
      <c r="F31">
        <v>14.99029682193834</v>
      </c>
      <c r="G31">
        <v>5.1399999618530279</v>
      </c>
      <c r="H31">
        <v>480</v>
      </c>
      <c r="I31">
        <v>5.3690761079770457</v>
      </c>
      <c r="J31">
        <v>15.611078309521311</v>
      </c>
      <c r="K31">
        <v>0</v>
      </c>
      <c r="L31">
        <v>3.1320163356474922</v>
      </c>
      <c r="M31">
        <v>6.0435307316623188</v>
      </c>
      <c r="N31">
        <v>12.47906197387382</v>
      </c>
      <c r="O31">
        <v>4.8699538293105684</v>
      </c>
      <c r="P31">
        <v>1.6630584325708759</v>
      </c>
      <c r="Q31">
        <v>2.060703754584531</v>
      </c>
      <c r="R31">
        <v>2.851778308136717</v>
      </c>
      <c r="S31">
        <v>9.7824358920318168</v>
      </c>
      <c r="T31">
        <v>2.696039331843969</v>
      </c>
      <c r="U31">
        <v>12.47847522387579</v>
      </c>
      <c r="V31">
        <v>6.2392376119378934</v>
      </c>
    </row>
    <row r="32" spans="1:22" x14ac:dyDescent="0.3">
      <c r="A32" t="s">
        <v>22</v>
      </c>
      <c r="B32">
        <v>11.1</v>
      </c>
      <c r="C32">
        <v>500</v>
      </c>
      <c r="D32" s="7">
        <v>137</v>
      </c>
      <c r="E32">
        <v>36</v>
      </c>
      <c r="F32">
        <v>29.54277993644541</v>
      </c>
      <c r="G32">
        <v>12.93333339691163</v>
      </c>
      <c r="H32">
        <v>240</v>
      </c>
      <c r="I32">
        <v>16.1602902000276</v>
      </c>
      <c r="J32">
        <v>110.0206481571937</v>
      </c>
      <c r="K32">
        <v>60.108416919037943</v>
      </c>
      <c r="L32">
        <v>19.144021406264141</v>
      </c>
      <c r="M32">
        <v>2.893063195717029</v>
      </c>
      <c r="N32">
        <v>30.768209831891578</v>
      </c>
      <c r="O32">
        <v>39.616104818883763</v>
      </c>
      <c r="P32">
        <v>8.5823802982894417</v>
      </c>
      <c r="Q32">
        <v>12.19813820199677</v>
      </c>
      <c r="R32">
        <v>4.693890549178299</v>
      </c>
      <c r="S32">
        <v>56.508133570058838</v>
      </c>
      <c r="T32">
        <v>15.57364161190822</v>
      </c>
      <c r="U32">
        <v>72.08177518196706</v>
      </c>
      <c r="V32">
        <v>36.04088759098353</v>
      </c>
    </row>
    <row r="33" spans="1:22" x14ac:dyDescent="0.3">
      <c r="A33" t="s">
        <v>19</v>
      </c>
      <c r="B33">
        <v>19.2</v>
      </c>
      <c r="C33">
        <v>500</v>
      </c>
      <c r="D33" s="7">
        <v>65</v>
      </c>
      <c r="E33">
        <v>36</v>
      </c>
      <c r="F33">
        <v>32.600000381469748</v>
      </c>
      <c r="G33">
        <v>16.600000381469702</v>
      </c>
      <c r="H33">
        <v>60</v>
      </c>
      <c r="I33">
        <v>3.36737900287106</v>
      </c>
      <c r="J33">
        <v>22.652977889969431</v>
      </c>
      <c r="K33">
        <v>11.526465789710169</v>
      </c>
      <c r="L33">
        <v>4.6263591545118476</v>
      </c>
      <c r="M33">
        <v>0.73522664005090865</v>
      </c>
      <c r="N33">
        <v>6.5001529457474181</v>
      </c>
      <c r="O33">
        <v>8.2965472941357952</v>
      </c>
      <c r="P33">
        <v>1.796653423689933</v>
      </c>
      <c r="Q33">
        <v>2.2119301103283018</v>
      </c>
      <c r="R33">
        <v>1.000348707129888</v>
      </c>
      <c r="S33">
        <v>11.50882611159399</v>
      </c>
      <c r="T33">
        <v>3.171832476355303</v>
      </c>
      <c r="U33">
        <v>14.68065858794929</v>
      </c>
      <c r="V33">
        <v>7.3403292939746443</v>
      </c>
    </row>
    <row r="34" spans="1:22" x14ac:dyDescent="0.3">
      <c r="A34" t="s">
        <v>19</v>
      </c>
      <c r="B34">
        <v>19.2</v>
      </c>
      <c r="C34">
        <v>500</v>
      </c>
      <c r="D34" s="7">
        <v>70</v>
      </c>
      <c r="E34">
        <v>33</v>
      </c>
      <c r="F34">
        <v>38.982703937561453</v>
      </c>
      <c r="G34">
        <v>15</v>
      </c>
      <c r="H34">
        <v>60</v>
      </c>
      <c r="I34">
        <v>4.8971537715907614</v>
      </c>
      <c r="J34">
        <v>36.780128345368638</v>
      </c>
      <c r="K34">
        <v>25.49493780784152</v>
      </c>
      <c r="L34">
        <v>2.046573397409718</v>
      </c>
      <c r="M34">
        <v>0.47861690055974498</v>
      </c>
      <c r="N34">
        <v>9.2386171401173947</v>
      </c>
      <c r="O34">
        <v>13.27182785201407</v>
      </c>
      <c r="P34">
        <v>2.7163740443679432</v>
      </c>
      <c r="Q34">
        <v>4.4035759352826362</v>
      </c>
      <c r="R34">
        <v>1.350977176372389</v>
      </c>
      <c r="S34">
        <v>19.026380963669091</v>
      </c>
      <c r="T34">
        <v>5.2436705935872032</v>
      </c>
      <c r="U34">
        <v>24.270051557256298</v>
      </c>
      <c r="V34">
        <v>12.135025778628149</v>
      </c>
    </row>
    <row r="35" spans="1:22" x14ac:dyDescent="0.3">
      <c r="A35" t="s">
        <v>19</v>
      </c>
      <c r="B35">
        <v>19.2</v>
      </c>
      <c r="C35">
        <v>500</v>
      </c>
      <c r="D35" s="7">
        <v>71</v>
      </c>
      <c r="E35">
        <v>36</v>
      </c>
      <c r="F35">
        <v>41.700000762939453</v>
      </c>
      <c r="G35">
        <v>13.8999996185303</v>
      </c>
      <c r="H35">
        <v>80</v>
      </c>
      <c r="I35">
        <v>3.59056562222808</v>
      </c>
      <c r="J35">
        <v>23.508234442216072</v>
      </c>
      <c r="K35">
        <v>13.987242307639219</v>
      </c>
      <c r="L35">
        <v>2.2895048984338922</v>
      </c>
      <c r="M35">
        <v>1.201174576252843</v>
      </c>
      <c r="N35">
        <v>7.2314872361429554</v>
      </c>
      <c r="O35">
        <v>8.2634956414093548</v>
      </c>
      <c r="P35">
        <v>1.8086971107295651</v>
      </c>
      <c r="Q35">
        <v>3.10196206878418</v>
      </c>
      <c r="R35">
        <v>1.1204538703318709</v>
      </c>
      <c r="S35">
        <v>12.4859115805254</v>
      </c>
      <c r="T35">
        <v>3.441117231592802</v>
      </c>
      <c r="U35">
        <v>15.9270288121182</v>
      </c>
      <c r="V35">
        <v>7.9635144060591019</v>
      </c>
    </row>
    <row r="36" spans="1:22" x14ac:dyDescent="0.3">
      <c r="A36" t="s">
        <v>19</v>
      </c>
      <c r="B36">
        <v>19.2</v>
      </c>
      <c r="C36">
        <v>500</v>
      </c>
      <c r="D36" s="7">
        <v>76</v>
      </c>
      <c r="E36">
        <v>42.5</v>
      </c>
      <c r="F36">
        <v>41.946543662436461</v>
      </c>
      <c r="G36">
        <v>15.75</v>
      </c>
      <c r="H36">
        <v>60</v>
      </c>
      <c r="I36">
        <v>5.7691972514926517</v>
      </c>
      <c r="J36">
        <v>47.133699265538823</v>
      </c>
      <c r="K36">
        <v>33.50072611571462</v>
      </c>
      <c r="L36">
        <v>2.367945369237566</v>
      </c>
      <c r="M36">
        <v>0.75944378531305323</v>
      </c>
      <c r="N36">
        <v>11.26502778058663</v>
      </c>
      <c r="O36">
        <v>17.159104335059091</v>
      </c>
      <c r="P36">
        <v>3.3468859746679849</v>
      </c>
      <c r="Q36">
        <v>5.8658905298900939</v>
      </c>
      <c r="R36">
        <v>1.5174169596252449</v>
      </c>
      <c r="S36">
        <v>24.54241182457443</v>
      </c>
      <c r="T36">
        <v>6.763888698852714</v>
      </c>
      <c r="U36">
        <v>31.306300523427151</v>
      </c>
      <c r="V36">
        <v>15.653150261713581</v>
      </c>
    </row>
    <row r="37" spans="1:22" x14ac:dyDescent="0.3">
      <c r="A37" t="s">
        <v>19</v>
      </c>
      <c r="B37">
        <v>19.2</v>
      </c>
      <c r="C37">
        <v>500</v>
      </c>
      <c r="D37" s="7">
        <v>83</v>
      </c>
      <c r="E37">
        <v>20.5</v>
      </c>
      <c r="F37">
        <v>12.491297085193329</v>
      </c>
      <c r="G37">
        <v>8.5000002384185649</v>
      </c>
      <c r="H37">
        <v>40</v>
      </c>
      <c r="I37">
        <v>0.49019056473937811</v>
      </c>
      <c r="J37">
        <v>2.3352401513114311</v>
      </c>
      <c r="K37">
        <v>0</v>
      </c>
      <c r="L37">
        <v>0.73086551593492233</v>
      </c>
      <c r="M37">
        <v>0.78132910115780319</v>
      </c>
      <c r="N37">
        <v>1.6043746353765089</v>
      </c>
      <c r="O37">
        <v>0.84731591096715453</v>
      </c>
      <c r="P37">
        <v>0.22555708972779329</v>
      </c>
      <c r="Q37">
        <v>0.15925658269236681</v>
      </c>
      <c r="R37">
        <v>0.17061800566318011</v>
      </c>
      <c r="S37">
        <v>1.1771904993227009</v>
      </c>
      <c r="T37">
        <v>0.32443370161333651</v>
      </c>
      <c r="U37">
        <v>1.5016242009360381</v>
      </c>
      <c r="V37">
        <v>0.75081210046801905</v>
      </c>
    </row>
    <row r="38" spans="1:22" x14ac:dyDescent="0.3">
      <c r="A38" t="s">
        <v>19</v>
      </c>
      <c r="B38">
        <v>19.2</v>
      </c>
      <c r="C38">
        <v>500</v>
      </c>
      <c r="D38" s="7">
        <v>84</v>
      </c>
      <c r="E38">
        <v>41.8</v>
      </c>
      <c r="F38">
        <v>46.600247467104317</v>
      </c>
      <c r="G38">
        <v>22.160000228881859</v>
      </c>
      <c r="H38">
        <v>220</v>
      </c>
      <c r="I38">
        <v>25.234478156478229</v>
      </c>
      <c r="J38">
        <v>257.09098111143942</v>
      </c>
      <c r="K38">
        <v>186.32957781820849</v>
      </c>
      <c r="L38">
        <v>17.397735100442841</v>
      </c>
      <c r="M38">
        <v>2.6607437324708312</v>
      </c>
      <c r="N38">
        <v>53.363668192788019</v>
      </c>
      <c r="O38">
        <v>101.074593902188</v>
      </c>
      <c r="P38">
        <v>17.721430260570219</v>
      </c>
      <c r="Q38">
        <v>22.400501957534232</v>
      </c>
      <c r="R38">
        <v>5.4009592588962514</v>
      </c>
      <c r="S38">
        <v>128.8760551186185</v>
      </c>
      <c r="T38">
        <v>35.518240790691252</v>
      </c>
      <c r="U38">
        <v>164.3942959093097</v>
      </c>
      <c r="V38">
        <v>82.197147954654852</v>
      </c>
    </row>
  </sheetData>
  <sortState ref="A2:S37">
    <sortCondition ref="D2:D3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C13" sqref="C13"/>
    </sheetView>
  </sheetViews>
  <sheetFormatPr defaultRowHeight="14.4" x14ac:dyDescent="0.3"/>
  <sheetData>
    <row r="1" spans="1:18" x14ac:dyDescent="0.3">
      <c r="A1" s="71" t="s">
        <v>76</v>
      </c>
      <c r="D1" s="69">
        <v>1</v>
      </c>
      <c r="E1" s="69">
        <v>2</v>
      </c>
      <c r="F1" s="69">
        <v>3</v>
      </c>
      <c r="G1" s="69">
        <v>4</v>
      </c>
      <c r="H1" s="69">
        <v>5</v>
      </c>
      <c r="I1" s="69">
        <v>6</v>
      </c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12</v>
      </c>
      <c r="P1" s="69">
        <v>13</v>
      </c>
      <c r="Q1" s="69">
        <v>14</v>
      </c>
      <c r="R1" s="69">
        <v>15</v>
      </c>
    </row>
    <row r="2" spans="1:18" s="1" customFormat="1" x14ac:dyDescent="0.3">
      <c r="A2" s="5" t="s">
        <v>0</v>
      </c>
      <c r="B2" s="5" t="s">
        <v>1</v>
      </c>
      <c r="C2" s="5" t="s">
        <v>2</v>
      </c>
      <c r="D2" s="10" t="s">
        <v>3</v>
      </c>
      <c r="E2" s="67" t="s">
        <v>17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</row>
    <row r="3" spans="1:18" x14ac:dyDescent="0.3">
      <c r="A3" s="6" t="s">
        <v>19</v>
      </c>
      <c r="B3" s="6">
        <v>19.2</v>
      </c>
      <c r="C3" s="6">
        <v>500</v>
      </c>
      <c r="D3" s="7">
        <v>40</v>
      </c>
      <c r="E3" s="6">
        <v>30.72728398347547</v>
      </c>
      <c r="F3" s="6">
        <v>36</v>
      </c>
      <c r="G3" s="6">
        <v>29.11071963037632</v>
      </c>
      <c r="H3" s="6">
        <v>6.7400000572204544</v>
      </c>
      <c r="I3" s="6">
        <v>200</v>
      </c>
      <c r="J3" s="6">
        <v>11.62914714197224</v>
      </c>
      <c r="K3" s="6">
        <v>45.94882599524378</v>
      </c>
      <c r="L3" s="6">
        <v>17.954561612263511</v>
      </c>
      <c r="M3" s="6">
        <v>2.9680176578469029</v>
      </c>
      <c r="N3" s="6">
        <v>30.168884426488528</v>
      </c>
      <c r="O3" s="6">
        <v>6.908418041453495</v>
      </c>
      <c r="P3" s="6">
        <v>57.999881738052437</v>
      </c>
      <c r="Q3" s="6">
        <v>3.4546862288984941</v>
      </c>
      <c r="R3" s="6">
        <v>61.454567966950933</v>
      </c>
    </row>
    <row r="4" spans="1:18" x14ac:dyDescent="0.3">
      <c r="A4" s="6" t="s">
        <v>19</v>
      </c>
      <c r="B4" s="6">
        <v>19.2</v>
      </c>
      <c r="C4" s="6">
        <v>500</v>
      </c>
      <c r="D4" s="7">
        <v>50</v>
      </c>
      <c r="E4" s="6">
        <v>39.542857077283422</v>
      </c>
      <c r="F4" s="6">
        <v>44.8</v>
      </c>
      <c r="G4" s="6">
        <v>37.305542565564508</v>
      </c>
      <c r="H4" s="6">
        <v>8.0200000762939432</v>
      </c>
      <c r="I4" s="6">
        <v>280</v>
      </c>
      <c r="J4" s="6">
        <v>15.32038515167263</v>
      </c>
      <c r="K4" s="6">
        <v>59.773141549700213</v>
      </c>
      <c r="L4" s="6">
        <v>23.518641314477279</v>
      </c>
      <c r="M4" s="6">
        <v>3.948753172314468</v>
      </c>
      <c r="N4" s="6">
        <v>37.910301522142852</v>
      </c>
      <c r="O4" s="6">
        <v>9.0673381437743519</v>
      </c>
      <c r="P4" s="6">
        <v>74.445034152708942</v>
      </c>
      <c r="Q4" s="6">
        <v>4.6406800018578878</v>
      </c>
      <c r="R4" s="6">
        <v>79.08571415456683</v>
      </c>
    </row>
    <row r="5" spans="1:18" x14ac:dyDescent="0.3">
      <c r="A5" s="6" t="s">
        <v>19</v>
      </c>
      <c r="B5" s="6">
        <v>19.2</v>
      </c>
      <c r="C5" s="6">
        <v>500</v>
      </c>
      <c r="D5" s="7">
        <v>51</v>
      </c>
      <c r="E5" s="6">
        <v>49.7464545766939</v>
      </c>
      <c r="F5" s="6">
        <v>47</v>
      </c>
      <c r="G5" s="6">
        <v>44.371635734664743</v>
      </c>
      <c r="H5" s="6">
        <v>10.93999996185304</v>
      </c>
      <c r="I5" s="6">
        <v>100</v>
      </c>
      <c r="J5" s="6">
        <v>15.46324936192036</v>
      </c>
      <c r="K5" s="6">
        <v>78.920675236806105</v>
      </c>
      <c r="L5" s="6">
        <v>31.863013988798158</v>
      </c>
      <c r="M5" s="6">
        <v>4.1541881924552424</v>
      </c>
      <c r="N5" s="6">
        <v>52.156374662991233</v>
      </c>
      <c r="O5" s="6">
        <v>8.0728636503453899</v>
      </c>
      <c r="P5" s="6">
        <v>96.246440494590018</v>
      </c>
      <c r="Q5" s="6">
        <v>3.2464686587977871</v>
      </c>
      <c r="R5" s="6">
        <v>99.492909153387799</v>
      </c>
    </row>
    <row r="6" spans="1:18" x14ac:dyDescent="0.3">
      <c r="A6" s="6" t="s">
        <v>19</v>
      </c>
      <c r="B6" s="6">
        <v>19.2</v>
      </c>
      <c r="C6" s="6">
        <v>500</v>
      </c>
      <c r="D6" s="7">
        <v>52</v>
      </c>
      <c r="E6" s="6">
        <v>122.73669410586329</v>
      </c>
      <c r="F6" s="6">
        <v>47</v>
      </c>
      <c r="G6" s="6">
        <v>57.043255093415972</v>
      </c>
      <c r="H6" s="6">
        <v>11.539999961853059</v>
      </c>
      <c r="I6" s="6">
        <v>240</v>
      </c>
      <c r="J6" s="6">
        <v>32.807596581533943</v>
      </c>
      <c r="K6" s="6">
        <v>165.11106793971621</v>
      </c>
      <c r="L6" s="6">
        <v>63.585894165181926</v>
      </c>
      <c r="M6" s="6">
        <v>8.2560802038393177</v>
      </c>
      <c r="N6" s="6">
        <v>148.93046062451259</v>
      </c>
      <c r="O6" s="6">
        <v>18.1873413874589</v>
      </c>
      <c r="P6" s="6">
        <v>238.95977638099279</v>
      </c>
      <c r="Q6" s="6">
        <v>6.5136118307339199</v>
      </c>
      <c r="R6" s="6">
        <v>245.4733882117267</v>
      </c>
    </row>
    <row r="7" spans="1:18" x14ac:dyDescent="0.3">
      <c r="A7" s="6" t="s">
        <v>19</v>
      </c>
      <c r="B7" s="6">
        <v>19.2</v>
      </c>
      <c r="C7" s="6">
        <v>500</v>
      </c>
      <c r="D7" s="7">
        <v>53</v>
      </c>
      <c r="E7" s="6">
        <v>48.587673285911798</v>
      </c>
      <c r="F7" s="6">
        <v>41.6</v>
      </c>
      <c r="G7" s="6">
        <v>36.206898636251907</v>
      </c>
      <c r="H7" s="6">
        <v>9.7999999999999883</v>
      </c>
      <c r="I7" s="6">
        <v>220</v>
      </c>
      <c r="J7" s="6">
        <v>16.480740059371549</v>
      </c>
      <c r="K7" s="6">
        <v>83.397753918167538</v>
      </c>
      <c r="L7" s="6">
        <v>36.049919906537937</v>
      </c>
      <c r="M7" s="6">
        <v>4.9110382534161907</v>
      </c>
      <c r="N7" s="6">
        <v>43.57317588890853</v>
      </c>
      <c r="O7" s="6">
        <v>8.181204822020014</v>
      </c>
      <c r="P7" s="6">
        <v>92.715338870882675</v>
      </c>
      <c r="Q7" s="6">
        <v>4.4600077009409089</v>
      </c>
      <c r="R7" s="6">
        <v>97.175346571823596</v>
      </c>
    </row>
    <row r="8" spans="1:18" x14ac:dyDescent="0.3">
      <c r="A8" s="6" t="s">
        <v>19</v>
      </c>
      <c r="B8" s="6">
        <v>19.2</v>
      </c>
      <c r="C8" s="6">
        <v>500</v>
      </c>
      <c r="D8" s="7">
        <v>61</v>
      </c>
      <c r="E8" s="6">
        <v>52.050198893796697</v>
      </c>
      <c r="F8" s="6">
        <v>47</v>
      </c>
      <c r="G8" s="6">
        <v>45.181367984163337</v>
      </c>
      <c r="H8" s="6">
        <v>10.359999847412119</v>
      </c>
      <c r="I8" s="6">
        <v>100</v>
      </c>
      <c r="J8" s="6">
        <v>16.03277263388004</v>
      </c>
      <c r="K8" s="6">
        <v>80.077744615844253</v>
      </c>
      <c r="L8" s="6">
        <v>31.671392067522241</v>
      </c>
      <c r="M8" s="6">
        <v>4.1758954951613534</v>
      </c>
      <c r="N8" s="6">
        <v>56.37879633868981</v>
      </c>
      <c r="O8" s="6">
        <v>8.587051272159151</v>
      </c>
      <c r="P8" s="6">
        <v>100.8131351735326</v>
      </c>
      <c r="Q8" s="6">
        <v>3.2872626140608281</v>
      </c>
      <c r="R8" s="6">
        <v>104.10039778759339</v>
      </c>
    </row>
    <row r="9" spans="1:18" x14ac:dyDescent="0.3">
      <c r="A9" s="6" t="s">
        <v>19</v>
      </c>
      <c r="B9" s="6">
        <v>19.2</v>
      </c>
      <c r="C9" s="6">
        <v>500</v>
      </c>
      <c r="D9" s="7">
        <v>62</v>
      </c>
      <c r="E9" s="6">
        <v>53.340068080008528</v>
      </c>
      <c r="F9" s="6">
        <v>47</v>
      </c>
      <c r="G9" s="6">
        <v>44.287983764194131</v>
      </c>
      <c r="H9" s="6">
        <v>10.879999923706061</v>
      </c>
      <c r="I9" s="6">
        <v>120</v>
      </c>
      <c r="J9" s="6">
        <v>16.890286001483251</v>
      </c>
      <c r="K9" s="6">
        <v>85.225631817497373</v>
      </c>
      <c r="L9" s="6">
        <v>34.553814278803792</v>
      </c>
      <c r="M9" s="6">
        <v>4.5645213874513759</v>
      </c>
      <c r="N9" s="6">
        <v>55.057026536339642</v>
      </c>
      <c r="O9" s="6">
        <v>8.8309134105558957</v>
      </c>
      <c r="P9" s="6">
        <v>103.00627561315071</v>
      </c>
      <c r="Q9" s="6">
        <v>3.673860546866361</v>
      </c>
      <c r="R9" s="6">
        <v>106.6801361600171</v>
      </c>
    </row>
    <row r="10" spans="1:18" x14ac:dyDescent="0.3">
      <c r="A10" s="6" t="s">
        <v>19</v>
      </c>
      <c r="B10" s="6">
        <v>19.2</v>
      </c>
      <c r="C10" s="6">
        <v>500</v>
      </c>
      <c r="D10" s="7">
        <v>63</v>
      </c>
      <c r="E10" s="6">
        <v>29.84412285602415</v>
      </c>
      <c r="F10" s="6">
        <v>41</v>
      </c>
      <c r="G10" s="6">
        <v>32.54475411633269</v>
      </c>
      <c r="H10" s="6">
        <v>9.5400001525878864</v>
      </c>
      <c r="I10" s="6">
        <v>160</v>
      </c>
      <c r="J10" s="6">
        <v>10.854952831021301</v>
      </c>
      <c r="K10" s="6">
        <v>51.302906146420909</v>
      </c>
      <c r="L10" s="6">
        <v>22.035787496698781</v>
      </c>
      <c r="M10" s="6">
        <v>3.19773648603186</v>
      </c>
      <c r="N10" s="6">
        <v>25.734174998956679</v>
      </c>
      <c r="O10" s="6">
        <v>5.5458000472727198</v>
      </c>
      <c r="P10" s="6">
        <v>56.513499028960027</v>
      </c>
      <c r="Q10" s="6">
        <v>3.1747466830882658</v>
      </c>
      <c r="R10" s="6">
        <v>59.6882457120483</v>
      </c>
    </row>
    <row r="11" spans="1:18" x14ac:dyDescent="0.3">
      <c r="A11" s="6" t="s">
        <v>19</v>
      </c>
      <c r="B11" s="6">
        <v>19.2</v>
      </c>
      <c r="C11" s="6">
        <v>500</v>
      </c>
      <c r="D11" s="7">
        <v>64</v>
      </c>
      <c r="E11" s="6">
        <v>67.153820898890174</v>
      </c>
      <c r="F11" s="6">
        <v>47</v>
      </c>
      <c r="G11" s="6">
        <v>46.890867793846837</v>
      </c>
      <c r="H11" s="6">
        <v>13.32000007629396</v>
      </c>
      <c r="I11" s="6">
        <v>120</v>
      </c>
      <c r="J11" s="6">
        <v>19.031795646624019</v>
      </c>
      <c r="K11" s="6">
        <v>111.24643650680019</v>
      </c>
      <c r="L11" s="6">
        <v>47.060413501183497</v>
      </c>
      <c r="M11" s="6">
        <v>5.5255391279815598</v>
      </c>
      <c r="N11" s="6">
        <v>68.783136225605645</v>
      </c>
      <c r="O11" s="6">
        <v>9.0681630610469703</v>
      </c>
      <c r="P11" s="6">
        <v>130.43725191581771</v>
      </c>
      <c r="Q11" s="6">
        <v>3.8703898819626699</v>
      </c>
      <c r="R11" s="6">
        <v>134.30764179778041</v>
      </c>
    </row>
    <row r="12" spans="1:18" x14ac:dyDescent="0.3">
      <c r="A12" s="6" t="s">
        <v>19</v>
      </c>
      <c r="B12" s="6">
        <v>19.2</v>
      </c>
      <c r="C12" s="6">
        <v>500</v>
      </c>
      <c r="D12" s="7">
        <v>65</v>
      </c>
      <c r="E12" s="6">
        <v>27.519656103262129</v>
      </c>
      <c r="F12" s="6">
        <v>43.5</v>
      </c>
      <c r="G12" s="6">
        <v>34.08659055096053</v>
      </c>
      <c r="H12" s="6">
        <v>11.824999928474419</v>
      </c>
      <c r="I12" s="6">
        <v>120</v>
      </c>
      <c r="J12" s="6">
        <v>9.4931195935688564</v>
      </c>
      <c r="K12" s="6">
        <v>49.178368332627372</v>
      </c>
      <c r="L12" s="6">
        <v>22.007488615568771</v>
      </c>
      <c r="M12" s="6">
        <v>2.9509221180401539</v>
      </c>
      <c r="N12" s="6">
        <v>22.827624672854441</v>
      </c>
      <c r="O12" s="6">
        <v>4.5948524653076372</v>
      </c>
      <c r="P12" s="6">
        <v>52.380887871770987</v>
      </c>
      <c r="Q12" s="6">
        <v>2.658424334753259</v>
      </c>
      <c r="R12" s="6">
        <v>55.039312206524251</v>
      </c>
    </row>
    <row r="13" spans="1:18" x14ac:dyDescent="0.3">
      <c r="A13" s="6" t="s">
        <v>19</v>
      </c>
      <c r="B13" s="6">
        <v>19.2</v>
      </c>
      <c r="C13" s="6">
        <v>500</v>
      </c>
      <c r="D13" s="7">
        <v>70</v>
      </c>
      <c r="E13" s="6">
        <v>20.975493701028942</v>
      </c>
      <c r="F13" s="6">
        <v>34</v>
      </c>
      <c r="G13" s="6">
        <v>31.85596459150926</v>
      </c>
      <c r="H13" s="6">
        <v>9.3999999364217093</v>
      </c>
      <c r="I13" s="6">
        <v>140</v>
      </c>
      <c r="J13" s="6">
        <v>8.0280453976746902</v>
      </c>
      <c r="K13" s="6">
        <v>36.319771931920357</v>
      </c>
      <c r="L13" s="6">
        <v>15.74583968149684</v>
      </c>
      <c r="M13" s="6">
        <v>2.3917514464642502</v>
      </c>
      <c r="N13" s="6">
        <v>17.145761360185421</v>
      </c>
      <c r="O13" s="6">
        <v>4.138865436532428</v>
      </c>
      <c r="P13" s="6">
        <v>39.422217924678939</v>
      </c>
      <c r="Q13" s="6">
        <v>2.5287694773789311</v>
      </c>
      <c r="R13" s="6">
        <v>41.950987402057869</v>
      </c>
    </row>
    <row r="14" spans="1:18" x14ac:dyDescent="0.3">
      <c r="A14" s="6" t="s">
        <v>19</v>
      </c>
      <c r="B14" s="6">
        <v>19.2</v>
      </c>
      <c r="C14" s="6">
        <v>500</v>
      </c>
      <c r="D14" s="7">
        <v>71</v>
      </c>
      <c r="E14" s="6">
        <v>17.128267184969381</v>
      </c>
      <c r="F14" s="6">
        <v>34</v>
      </c>
      <c r="G14" s="6">
        <v>27.32986029034403</v>
      </c>
      <c r="H14" s="6">
        <v>6.675000071525572</v>
      </c>
      <c r="I14" s="6">
        <v>180</v>
      </c>
      <c r="J14" s="6">
        <v>7.682309332900263</v>
      </c>
      <c r="K14" s="6">
        <v>26.915040454100929</v>
      </c>
      <c r="L14" s="6">
        <v>10.85915410371253</v>
      </c>
      <c r="M14" s="6">
        <v>2.033526243755341</v>
      </c>
      <c r="N14" s="6">
        <v>13.938702883884909</v>
      </c>
      <c r="O14" s="6">
        <v>4.6450590090546404</v>
      </c>
      <c r="P14" s="6">
        <v>31.476442240407419</v>
      </c>
      <c r="Q14" s="6">
        <v>2.7800921295313472</v>
      </c>
      <c r="R14" s="6">
        <v>34.256534369938763</v>
      </c>
    </row>
    <row r="15" spans="1:18" x14ac:dyDescent="0.3">
      <c r="A15" s="6" t="s">
        <v>19</v>
      </c>
      <c r="B15" s="6">
        <v>19.2</v>
      </c>
      <c r="C15" s="6">
        <v>500</v>
      </c>
      <c r="D15" s="7">
        <v>72</v>
      </c>
      <c r="E15" s="6">
        <v>55.116452356687518</v>
      </c>
      <c r="F15" s="6">
        <v>40</v>
      </c>
      <c r="G15" s="6">
        <v>43.94989235403704</v>
      </c>
      <c r="H15" s="6">
        <v>8.9400000572204483</v>
      </c>
      <c r="I15" s="6">
        <v>100</v>
      </c>
      <c r="J15" s="6">
        <v>15.17069624422653</v>
      </c>
      <c r="K15" s="6">
        <v>76.22277319345649</v>
      </c>
      <c r="L15" s="6">
        <v>28.726251844383601</v>
      </c>
      <c r="M15" s="6">
        <v>3.7042707215991828</v>
      </c>
      <c r="N15" s="6">
        <v>66.54931519444672</v>
      </c>
      <c r="O15" s="6">
        <v>8.4295180228436077</v>
      </c>
      <c r="P15" s="6">
        <v>107.4093557832731</v>
      </c>
      <c r="Q15" s="6">
        <v>2.8235489301019299</v>
      </c>
      <c r="R15" s="6">
        <v>110.23290471337501</v>
      </c>
    </row>
    <row r="16" spans="1:18" x14ac:dyDescent="0.3">
      <c r="A16" s="6" t="s">
        <v>19</v>
      </c>
      <c r="B16" s="6">
        <v>19.2</v>
      </c>
      <c r="C16" s="6">
        <v>500</v>
      </c>
      <c r="D16" s="7">
        <v>73</v>
      </c>
      <c r="E16" s="6">
        <v>56.252306103877977</v>
      </c>
      <c r="F16" s="6">
        <v>47</v>
      </c>
      <c r="G16" s="6">
        <v>41.681446949248553</v>
      </c>
      <c r="H16" s="6">
        <v>12.06000003814696</v>
      </c>
      <c r="I16" s="6">
        <v>180</v>
      </c>
      <c r="J16" s="6">
        <v>17.568398794635769</v>
      </c>
      <c r="K16" s="6">
        <v>95.126611047460386</v>
      </c>
      <c r="L16" s="6">
        <v>41.083109796852057</v>
      </c>
      <c r="M16" s="6">
        <v>5.2614026063181978</v>
      </c>
      <c r="N16" s="6">
        <v>53.351479723641162</v>
      </c>
      <c r="O16" s="6">
        <v>8.4819395769142645</v>
      </c>
      <c r="P16" s="6">
        <v>108.1779317037257</v>
      </c>
      <c r="Q16" s="6">
        <v>4.3266805040302954</v>
      </c>
      <c r="R16" s="6">
        <v>112.504612207756</v>
      </c>
    </row>
    <row r="17" spans="1:18" x14ac:dyDescent="0.3">
      <c r="A17" t="s">
        <v>19</v>
      </c>
      <c r="B17">
        <v>19.2</v>
      </c>
      <c r="C17">
        <v>500</v>
      </c>
      <c r="D17" s="7">
        <v>74</v>
      </c>
      <c r="E17">
        <v>70.685678688665575</v>
      </c>
      <c r="F17">
        <v>47</v>
      </c>
      <c r="G17">
        <v>46.683454814145882</v>
      </c>
      <c r="H17">
        <v>13.7</v>
      </c>
      <c r="I17">
        <v>140</v>
      </c>
      <c r="J17">
        <v>20.633210549654279</v>
      </c>
      <c r="K17">
        <v>120.14051079133939</v>
      </c>
      <c r="L17">
        <v>51.69844209201031</v>
      </c>
      <c r="M17">
        <v>6.1331832634720094</v>
      </c>
      <c r="N17">
        <v>69.426403576593913</v>
      </c>
      <c r="O17">
        <v>9.7187702798983917</v>
      </c>
      <c r="P17">
        <v>136.97679921197459</v>
      </c>
      <c r="Q17">
        <v>4.3945581653565222</v>
      </c>
      <c r="R17">
        <v>141.37135737733121</v>
      </c>
    </row>
    <row r="18" spans="1:18" x14ac:dyDescent="0.3">
      <c r="A18" t="s">
        <v>19</v>
      </c>
      <c r="B18">
        <v>19.2</v>
      </c>
      <c r="C18">
        <v>500</v>
      </c>
      <c r="D18" s="7">
        <v>75</v>
      </c>
      <c r="E18">
        <v>96.210765908873498</v>
      </c>
      <c r="F18">
        <v>47</v>
      </c>
      <c r="G18">
        <v>41.128111629583927</v>
      </c>
      <c r="H18">
        <v>12.02000007629394</v>
      </c>
      <c r="I18">
        <v>420</v>
      </c>
      <c r="J18">
        <v>32.752140598215163</v>
      </c>
      <c r="K18">
        <v>166.66102021177781</v>
      </c>
      <c r="L18">
        <v>72.479425639063976</v>
      </c>
      <c r="M18">
        <v>9.8708732140620103</v>
      </c>
      <c r="N18">
        <v>85.036165929277217</v>
      </c>
      <c r="O18">
        <v>16.08529049300634</v>
      </c>
      <c r="P18">
        <v>183.47175527540961</v>
      </c>
      <c r="Q18">
        <v>8.9497765423374442</v>
      </c>
      <c r="R18">
        <v>192.421531817747</v>
      </c>
    </row>
    <row r="19" spans="1:18" x14ac:dyDescent="0.3">
      <c r="A19" t="s">
        <v>19</v>
      </c>
      <c r="B19">
        <v>19.2</v>
      </c>
      <c r="C19">
        <v>500</v>
      </c>
      <c r="D19" s="7">
        <v>76</v>
      </c>
      <c r="E19">
        <v>13.671775655208121</v>
      </c>
      <c r="F19">
        <v>33</v>
      </c>
      <c r="G19">
        <v>25.575599006357539</v>
      </c>
      <c r="H19">
        <v>8.8000001907348597</v>
      </c>
      <c r="I19">
        <v>100</v>
      </c>
      <c r="J19">
        <v>5.2326879271391249</v>
      </c>
      <c r="K19">
        <v>23.19637359288949</v>
      </c>
      <c r="L19">
        <v>10.076390212479939</v>
      </c>
      <c r="M19">
        <v>1.5598615213710849</v>
      </c>
      <c r="N19">
        <v>11.275071415192491</v>
      </c>
      <c r="O19">
        <v>2.7359127539258452</v>
      </c>
      <c r="P19">
        <v>25.64723590296936</v>
      </c>
      <c r="Q19">
        <v>1.696315407446874</v>
      </c>
      <c r="R19">
        <v>27.343551310416231</v>
      </c>
    </row>
    <row r="20" spans="1:18" x14ac:dyDescent="0.3">
      <c r="A20" t="s">
        <v>19</v>
      </c>
      <c r="B20">
        <v>19.2</v>
      </c>
      <c r="C20">
        <v>500</v>
      </c>
      <c r="D20" s="7">
        <v>81</v>
      </c>
      <c r="E20">
        <v>3.0397794931660842</v>
      </c>
      <c r="F20">
        <v>36</v>
      </c>
      <c r="G20">
        <v>13.62887535837379</v>
      </c>
      <c r="H20">
        <v>4.2500001192092904</v>
      </c>
      <c r="I20">
        <v>80</v>
      </c>
      <c r="J20">
        <v>1.6171427062574399</v>
      </c>
      <c r="K20">
        <v>4.4632655811770388</v>
      </c>
      <c r="L20">
        <v>1.8113154136914169</v>
      </c>
      <c r="M20">
        <v>0.42752277044955372</v>
      </c>
      <c r="N20">
        <v>1.9554519552775449</v>
      </c>
      <c r="O20">
        <v>1.067848749511807</v>
      </c>
      <c r="P20">
        <v>5.2621388889303216</v>
      </c>
      <c r="Q20">
        <v>0.8174200974018464</v>
      </c>
      <c r="R20">
        <v>6.0795589863321684</v>
      </c>
    </row>
    <row r="21" spans="1:18" x14ac:dyDescent="0.3">
      <c r="A21" t="s">
        <v>19</v>
      </c>
      <c r="B21">
        <v>19.2</v>
      </c>
      <c r="C21">
        <v>500</v>
      </c>
      <c r="D21" s="7">
        <v>82</v>
      </c>
      <c r="E21">
        <v>33.775956051177857</v>
      </c>
      <c r="F21">
        <v>46</v>
      </c>
      <c r="G21">
        <v>33.765485627613593</v>
      </c>
      <c r="H21">
        <v>11.5</v>
      </c>
      <c r="I21">
        <v>160</v>
      </c>
      <c r="J21">
        <v>11.51034005170675</v>
      </c>
      <c r="K21">
        <v>59.564754236425678</v>
      </c>
      <c r="L21">
        <v>26.391940539350479</v>
      </c>
      <c r="M21">
        <v>3.572773474193653</v>
      </c>
      <c r="N21">
        <v>28.795035496697711</v>
      </c>
      <c r="O21">
        <v>5.5261346179408948</v>
      </c>
      <c r="P21">
        <v>64.28588412818273</v>
      </c>
      <c r="Q21">
        <v>3.2660279741729772</v>
      </c>
      <c r="R21">
        <v>67.551912102355715</v>
      </c>
    </row>
    <row r="22" spans="1:18" x14ac:dyDescent="0.3">
      <c r="A22" t="s">
        <v>19</v>
      </c>
      <c r="B22">
        <v>19.2</v>
      </c>
      <c r="C22">
        <v>500</v>
      </c>
      <c r="D22" s="7">
        <v>83</v>
      </c>
      <c r="E22">
        <v>28.056519576392859</v>
      </c>
      <c r="F22">
        <v>47</v>
      </c>
      <c r="G22">
        <v>43.451150595791432</v>
      </c>
      <c r="H22">
        <v>10.466666539510101</v>
      </c>
      <c r="I22">
        <v>60</v>
      </c>
      <c r="J22">
        <v>8.8970021198525799</v>
      </c>
      <c r="K22">
        <v>43.951703060641051</v>
      </c>
      <c r="L22">
        <v>17.575956925530679</v>
      </c>
      <c r="M22">
        <v>2.3542991313336792</v>
      </c>
      <c r="N22">
        <v>29.545605585565159</v>
      </c>
      <c r="O22">
        <v>4.7396565524324297</v>
      </c>
      <c r="P22">
        <v>54.21551819486195</v>
      </c>
      <c r="Q22">
        <v>1.89752095792376</v>
      </c>
      <c r="R22">
        <v>56.11303915278571</v>
      </c>
    </row>
    <row r="23" spans="1:18" x14ac:dyDescent="0.3">
      <c r="A23" t="s">
        <v>19</v>
      </c>
      <c r="B23">
        <v>19.2</v>
      </c>
      <c r="C23">
        <v>500</v>
      </c>
      <c r="D23" s="7">
        <v>93</v>
      </c>
      <c r="E23">
        <v>41.619583608124017</v>
      </c>
      <c r="F23">
        <v>46</v>
      </c>
      <c r="G23">
        <v>36.056945955054687</v>
      </c>
      <c r="H23">
        <v>9.966666698455807</v>
      </c>
      <c r="I23">
        <v>180</v>
      </c>
      <c r="J23">
        <v>14.63655466510372</v>
      </c>
      <c r="K23">
        <v>70.157916472044249</v>
      </c>
      <c r="L23">
        <v>29.855415215836182</v>
      </c>
      <c r="M23">
        <v>4.242589727891203</v>
      </c>
      <c r="N23">
        <v>37.634473679562049</v>
      </c>
      <c r="O23">
        <v>7.5285887244225229</v>
      </c>
      <c r="P23">
        <v>79.261067347711943</v>
      </c>
      <c r="Q23">
        <v>3.9780998685360962</v>
      </c>
      <c r="R23">
        <v>83.239167216248035</v>
      </c>
    </row>
    <row r="24" spans="1:18" x14ac:dyDescent="0.3">
      <c r="A24" t="s">
        <v>19</v>
      </c>
      <c r="B24">
        <v>19.2</v>
      </c>
      <c r="C24">
        <v>500</v>
      </c>
      <c r="D24" s="7">
        <v>94</v>
      </c>
      <c r="E24">
        <v>32.210440399595207</v>
      </c>
      <c r="F24">
        <v>39</v>
      </c>
      <c r="G24">
        <v>34.005128386681022</v>
      </c>
      <c r="H24">
        <v>8.2250000238418508</v>
      </c>
      <c r="I24">
        <v>140</v>
      </c>
      <c r="J24">
        <v>11.59202123929154</v>
      </c>
      <c r="K24">
        <v>52.214589990826063</v>
      </c>
      <c r="L24">
        <v>21.482678760114162</v>
      </c>
      <c r="M24">
        <v>3.1800761458491871</v>
      </c>
      <c r="N24">
        <v>30.34901559254487</v>
      </c>
      <c r="O24">
        <v>6.2999315269198206</v>
      </c>
      <c r="P24">
        <v>61.311702025428033</v>
      </c>
      <c r="Q24">
        <v>3.1091787737623959</v>
      </c>
      <c r="R24">
        <v>64.420880799190428</v>
      </c>
    </row>
    <row r="25" spans="1:18" x14ac:dyDescent="0.3">
      <c r="A25" t="s">
        <v>18</v>
      </c>
      <c r="B25">
        <v>21.1</v>
      </c>
      <c r="C25">
        <v>500</v>
      </c>
      <c r="D25" s="7">
        <v>119</v>
      </c>
      <c r="E25">
        <v>24.600036916182251</v>
      </c>
      <c r="F25">
        <v>43</v>
      </c>
      <c r="G25">
        <v>35.145993934691049</v>
      </c>
      <c r="H25">
        <v>10.03333346048991</v>
      </c>
      <c r="I25">
        <v>140</v>
      </c>
      <c r="J25">
        <v>8.9808083914832366</v>
      </c>
      <c r="K25">
        <v>41.717941843246123</v>
      </c>
      <c r="L25">
        <v>17.95272861764575</v>
      </c>
      <c r="M25">
        <v>2.6540902842294298</v>
      </c>
      <c r="N25">
        <v>21.286541640358379</v>
      </c>
      <c r="O25">
        <v>4.6191824260286092</v>
      </c>
      <c r="P25">
        <v>46.51254296826216</v>
      </c>
      <c r="Q25">
        <v>2.6875308641023379</v>
      </c>
      <c r="R25">
        <v>49.200073832364502</v>
      </c>
    </row>
    <row r="26" spans="1:18" x14ac:dyDescent="0.3">
      <c r="A26" t="s">
        <v>18</v>
      </c>
      <c r="B26">
        <v>21.1</v>
      </c>
      <c r="C26">
        <v>500</v>
      </c>
      <c r="D26" s="7">
        <v>129</v>
      </c>
      <c r="E26">
        <v>0.72845566319882227</v>
      </c>
      <c r="F26">
        <v>26</v>
      </c>
      <c r="G26">
        <v>11.447707321062429</v>
      </c>
      <c r="H26">
        <v>3.1999999284744249</v>
      </c>
      <c r="I26">
        <v>40</v>
      </c>
      <c r="J26">
        <v>0.41170572639091252</v>
      </c>
      <c r="K26">
        <v>1.0276203677922839</v>
      </c>
      <c r="L26">
        <v>0.43194242294523788</v>
      </c>
      <c r="M26">
        <v>0.11480989711048011</v>
      </c>
      <c r="N26">
        <v>0.36195405869299591</v>
      </c>
      <c r="O26">
        <v>0.27277525745347331</v>
      </c>
      <c r="P26">
        <v>1.1814816362021869</v>
      </c>
      <c r="Q26">
        <v>0.27542969019545721</v>
      </c>
      <c r="R26">
        <v>1.456911326397645</v>
      </c>
    </row>
  </sheetData>
  <sortState ref="A2:R25">
    <sortCondition ref="D2:D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78"/>
  <sheetViews>
    <sheetView tabSelected="1" topLeftCell="G62" zoomScale="94" zoomScaleNormal="65" workbookViewId="0">
      <selection activeCell="Q78" sqref="Q78"/>
    </sheetView>
  </sheetViews>
  <sheetFormatPr defaultRowHeight="14.4" x14ac:dyDescent="0.3"/>
  <cols>
    <col min="1" max="3" width="8.88671875" style="7"/>
    <col min="4" max="4" width="8.88671875" style="17"/>
    <col min="8" max="8" width="8.88671875" style="17"/>
    <col min="12" max="12" width="3.44140625" customWidth="1"/>
    <col min="13" max="13" width="13.5546875" customWidth="1"/>
    <col min="14" max="14" width="16.21875" customWidth="1"/>
    <col min="15" max="15" width="16.88671875" customWidth="1"/>
    <col min="16" max="16" width="15.21875" customWidth="1"/>
    <col min="17" max="17" width="15" customWidth="1"/>
    <col min="18" max="19" width="16.21875" customWidth="1"/>
    <col min="25" max="25" width="6.44140625" customWidth="1"/>
    <col min="27" max="27" width="1.5546875" customWidth="1"/>
    <col min="31" max="31" width="8.77734375" customWidth="1"/>
  </cols>
  <sheetData>
    <row r="1" spans="1:35" ht="23.4" x14ac:dyDescent="0.45">
      <c r="A1" s="7" t="s">
        <v>30</v>
      </c>
      <c r="B1" s="7" t="s">
        <v>27</v>
      </c>
      <c r="C1" s="7" t="s">
        <v>28</v>
      </c>
      <c r="D1" s="7" t="s">
        <v>29</v>
      </c>
      <c r="E1" s="7" t="s">
        <v>32</v>
      </c>
      <c r="F1" s="7" t="s">
        <v>33</v>
      </c>
      <c r="G1" s="7" t="s">
        <v>34</v>
      </c>
      <c r="I1" s="72" t="s">
        <v>81</v>
      </c>
      <c r="U1" s="17"/>
      <c r="V1" s="17"/>
      <c r="W1" s="80"/>
      <c r="X1" s="80"/>
      <c r="Y1" s="80"/>
      <c r="Z1" s="80"/>
      <c r="AA1" s="80"/>
      <c r="AB1" s="80"/>
      <c r="AC1" s="80"/>
      <c r="AD1" s="80"/>
      <c r="AE1" s="81"/>
      <c r="AF1" s="80"/>
      <c r="AG1" s="82"/>
      <c r="AH1" s="17"/>
      <c r="AI1" s="17"/>
    </row>
    <row r="2" spans="1:35" x14ac:dyDescent="0.3">
      <c r="A2" s="12" t="s">
        <v>20</v>
      </c>
      <c r="B2" s="12">
        <v>85</v>
      </c>
      <c r="C2" s="12">
        <v>500</v>
      </c>
      <c r="D2" s="12" t="s">
        <v>31</v>
      </c>
      <c r="E2" s="13">
        <f>VLOOKUP(B2,Pb!$D$3:$V$38,19,FALSE)</f>
        <v>35.451909197455286</v>
      </c>
      <c r="F2" s="15"/>
      <c r="G2" s="14">
        <f>E2+F2</f>
        <v>35.451909197455286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17"/>
      <c r="V2" s="17"/>
      <c r="W2" s="83"/>
      <c r="X2" s="83"/>
      <c r="Y2" s="84"/>
      <c r="Z2" s="83"/>
      <c r="AA2" s="83"/>
      <c r="AB2" s="18"/>
      <c r="AC2" s="84"/>
      <c r="AD2" s="85"/>
      <c r="AE2" s="18"/>
      <c r="AF2" s="83"/>
      <c r="AG2" s="17"/>
      <c r="AH2" s="17"/>
      <c r="AI2" s="17"/>
    </row>
    <row r="3" spans="1:35" x14ac:dyDescent="0.3">
      <c r="A3" s="12" t="s">
        <v>20</v>
      </c>
      <c r="B3" s="12">
        <v>86</v>
      </c>
      <c r="C3" s="12">
        <v>500</v>
      </c>
      <c r="D3" s="12" t="s">
        <v>31</v>
      </c>
      <c r="E3" s="13">
        <f>VLOOKUP(B3,Pb!$D$3:$V$38,19,FALSE)</f>
        <v>53.034783641586607</v>
      </c>
      <c r="F3" s="15"/>
      <c r="G3" s="14">
        <f t="shared" ref="G3:G33" si="0">E3+F3</f>
        <v>53.034783641586607</v>
      </c>
      <c r="H3" s="6"/>
      <c r="I3" s="6"/>
      <c r="J3" s="40" t="s">
        <v>64</v>
      </c>
      <c r="K3" s="39">
        <v>60</v>
      </c>
      <c r="L3" s="6"/>
      <c r="M3" s="6"/>
      <c r="N3" s="6"/>
      <c r="O3" s="6"/>
      <c r="P3" s="6"/>
      <c r="Q3" s="6"/>
      <c r="R3" s="6"/>
      <c r="S3" s="6"/>
      <c r="U3" s="17"/>
      <c r="V3" s="17"/>
      <c r="W3" s="83"/>
      <c r="X3" s="83"/>
      <c r="Y3" s="84"/>
      <c r="Z3" s="85"/>
      <c r="AA3" s="85"/>
      <c r="AB3" s="18"/>
      <c r="AC3" s="84"/>
      <c r="AD3" s="85"/>
      <c r="AE3" s="18"/>
      <c r="AF3" s="83"/>
      <c r="AG3" s="17"/>
      <c r="AH3" s="17"/>
      <c r="AI3" s="17"/>
    </row>
    <row r="4" spans="1:35" x14ac:dyDescent="0.3">
      <c r="A4" s="12" t="s">
        <v>20</v>
      </c>
      <c r="B4" s="12">
        <v>103</v>
      </c>
      <c r="C4" s="12">
        <v>500</v>
      </c>
      <c r="D4" s="12" t="s">
        <v>31</v>
      </c>
      <c r="E4" s="13">
        <f>VLOOKUP(B4,Pb!$D$3:$V$38,19,FALSE)</f>
        <v>30.219612073810339</v>
      </c>
      <c r="F4" s="15"/>
      <c r="G4" s="14">
        <f t="shared" si="0"/>
        <v>30.219612073810339</v>
      </c>
      <c r="H4" s="6"/>
      <c r="I4" s="6"/>
      <c r="J4" s="39" t="s">
        <v>7</v>
      </c>
      <c r="K4" s="6">
        <f>K3*10000/500</f>
        <v>1200</v>
      </c>
      <c r="L4" s="6"/>
      <c r="M4" s="31" t="s">
        <v>63</v>
      </c>
      <c r="N4" s="6"/>
      <c r="O4" s="6"/>
      <c r="P4" s="6"/>
      <c r="Q4" s="6"/>
      <c r="R4" s="6"/>
      <c r="S4" s="6"/>
      <c r="U4" s="17"/>
      <c r="V4" s="17"/>
      <c r="W4" s="83"/>
      <c r="X4" s="83"/>
      <c r="Y4" s="84"/>
      <c r="Z4" s="85"/>
      <c r="AA4" s="85"/>
      <c r="AB4" s="18"/>
      <c r="AC4" s="84"/>
      <c r="AD4" s="85"/>
      <c r="AE4" s="18"/>
      <c r="AF4" s="83"/>
      <c r="AG4" s="17"/>
      <c r="AH4" s="17"/>
      <c r="AI4" s="17"/>
    </row>
    <row r="5" spans="1:35" x14ac:dyDescent="0.3">
      <c r="A5" s="12" t="s">
        <v>20</v>
      </c>
      <c r="B5" s="12">
        <v>104</v>
      </c>
      <c r="C5" s="12">
        <v>500</v>
      </c>
      <c r="D5" s="12" t="s">
        <v>31</v>
      </c>
      <c r="E5" s="13">
        <f>VLOOKUP(B5,Pb!$D$3:$V$38,19,FALSE)</f>
        <v>25.064752250504672</v>
      </c>
      <c r="F5" s="15"/>
      <c r="G5" s="14">
        <f t="shared" si="0"/>
        <v>25.064752250504672</v>
      </c>
      <c r="H5" s="29"/>
      <c r="I5" s="6"/>
      <c r="J5" s="30" t="s">
        <v>25</v>
      </c>
      <c r="K5" s="30">
        <f>COUNT(G2:G53)</f>
        <v>50</v>
      </c>
      <c r="L5" s="30"/>
      <c r="M5" s="31" t="s">
        <v>56</v>
      </c>
      <c r="N5" s="6"/>
      <c r="O5" s="6"/>
      <c r="P5" s="6"/>
      <c r="Q5" s="6"/>
      <c r="R5" s="6"/>
      <c r="S5" s="6"/>
      <c r="U5" s="17"/>
      <c r="V5" s="17"/>
      <c r="W5" s="83"/>
      <c r="X5" s="83"/>
      <c r="Y5" s="84"/>
      <c r="Z5" s="83"/>
      <c r="AA5" s="83"/>
      <c r="AB5" s="18"/>
      <c r="AC5" s="84"/>
      <c r="AD5" s="85"/>
      <c r="AE5" s="18"/>
      <c r="AF5" s="83"/>
      <c r="AG5" s="17"/>
      <c r="AH5" s="17"/>
      <c r="AI5" s="17"/>
    </row>
    <row r="6" spans="1:35" x14ac:dyDescent="0.3">
      <c r="A6" s="12" t="s">
        <v>20</v>
      </c>
      <c r="B6" s="12">
        <v>114</v>
      </c>
      <c r="C6" s="12">
        <v>500</v>
      </c>
      <c r="D6" s="12" t="s">
        <v>31</v>
      </c>
      <c r="E6" s="13">
        <f>VLOOKUP(B6,Pb!$D$3:$V$38,19,FALSE)</f>
        <v>30.28931170832977</v>
      </c>
      <c r="F6" s="15"/>
      <c r="G6" s="14">
        <f t="shared" si="0"/>
        <v>30.28931170832977</v>
      </c>
      <c r="H6" s="29"/>
      <c r="I6" s="6"/>
      <c r="J6" s="41" t="s">
        <v>26</v>
      </c>
      <c r="K6" s="32">
        <f>AVERAGE(G2:G53)</f>
        <v>35.12866454642915</v>
      </c>
      <c r="L6" s="32"/>
      <c r="M6" s="31" t="s">
        <v>57</v>
      </c>
      <c r="N6" s="6"/>
      <c r="O6" s="6"/>
      <c r="P6" s="6"/>
      <c r="Q6" s="6"/>
      <c r="R6" s="6"/>
      <c r="S6" s="6"/>
      <c r="U6" s="17"/>
      <c r="V6" s="17"/>
      <c r="W6" s="83"/>
      <c r="X6" s="83"/>
      <c r="Y6" s="17"/>
      <c r="Z6" s="17"/>
      <c r="AA6" s="17"/>
      <c r="AB6" s="86"/>
      <c r="AC6" s="17"/>
      <c r="AD6" s="17"/>
      <c r="AE6" s="17"/>
      <c r="AF6" s="17"/>
      <c r="AG6" s="87"/>
      <c r="AH6" s="87"/>
      <c r="AI6" s="17"/>
    </row>
    <row r="7" spans="1:35" ht="15" thickBot="1" x14ac:dyDescent="0.35">
      <c r="A7" s="15" t="s">
        <v>18</v>
      </c>
      <c r="B7" s="15">
        <v>38</v>
      </c>
      <c r="C7" s="15">
        <v>500</v>
      </c>
      <c r="D7" s="15" t="s">
        <v>31</v>
      </c>
      <c r="E7" s="13">
        <f>VLOOKUP(B7,Pb!$D$3:$V$38,19,FALSE)</f>
        <v>37.350753480406638</v>
      </c>
      <c r="F7" s="15"/>
      <c r="G7" s="16">
        <f t="shared" si="0"/>
        <v>37.350753480406638</v>
      </c>
      <c r="H7" s="29"/>
      <c r="I7" s="6"/>
      <c r="J7" s="42" t="s">
        <v>35</v>
      </c>
      <c r="K7" s="33">
        <f>STDEV(G2:G53)</f>
        <v>24.029913005257907</v>
      </c>
      <c r="L7" s="33"/>
      <c r="M7" s="31" t="s">
        <v>58</v>
      </c>
      <c r="N7" s="6"/>
      <c r="O7" s="6"/>
      <c r="P7" s="6"/>
      <c r="Q7" s="6"/>
      <c r="R7" s="6"/>
      <c r="S7" s="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 x14ac:dyDescent="0.3">
      <c r="A8" s="15" t="s">
        <v>18</v>
      </c>
      <c r="B8" s="15">
        <v>48</v>
      </c>
      <c r="C8" s="15">
        <v>500</v>
      </c>
      <c r="D8" s="15" t="s">
        <v>31</v>
      </c>
      <c r="E8" s="13">
        <f>VLOOKUP(B8,Pb!$D$3:$V$38,19,FALSE)</f>
        <v>19.745183723127798</v>
      </c>
      <c r="F8" s="15"/>
      <c r="G8" s="16">
        <f t="shared" si="0"/>
        <v>19.745183723127798</v>
      </c>
      <c r="H8" s="29"/>
      <c r="I8" s="6"/>
      <c r="J8" s="34" t="s">
        <v>51</v>
      </c>
      <c r="K8" s="34">
        <f>_xlfn.NORM.S.INV(0.975)</f>
        <v>1.9599639845400536</v>
      </c>
      <c r="L8" s="34"/>
      <c r="M8" s="31" t="s">
        <v>59</v>
      </c>
      <c r="N8" s="6"/>
      <c r="O8" s="6"/>
      <c r="P8" s="6"/>
      <c r="Q8" s="136" t="s">
        <v>86</v>
      </c>
      <c r="R8" s="137"/>
      <c r="S8" s="13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5" x14ac:dyDescent="0.3">
      <c r="A9" s="15" t="s">
        <v>18</v>
      </c>
      <c r="B9" s="15">
        <v>49</v>
      </c>
      <c r="C9" s="15">
        <v>500</v>
      </c>
      <c r="D9" s="15" t="s">
        <v>31</v>
      </c>
      <c r="E9" s="13">
        <f>VLOOKUP(B9,Pb!$D$3:$V$38,19,FALSE)</f>
        <v>63.643349024866048</v>
      </c>
      <c r="F9" s="15"/>
      <c r="G9" s="16">
        <f t="shared" si="0"/>
        <v>63.643349024866048</v>
      </c>
      <c r="H9" s="29"/>
      <c r="I9" s="6"/>
      <c r="J9" s="35" t="s">
        <v>77</v>
      </c>
      <c r="K9" s="35">
        <f>K8*K7/SQRT(K5)</f>
        <v>6.6606296665553959</v>
      </c>
      <c r="L9" s="35"/>
      <c r="M9" s="31" t="s">
        <v>83</v>
      </c>
      <c r="N9" s="6"/>
      <c r="O9" s="6"/>
      <c r="P9" s="6"/>
      <c r="Q9" s="139"/>
      <c r="R9" s="140"/>
      <c r="S9" s="14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x14ac:dyDescent="0.3">
      <c r="A10" s="15" t="s">
        <v>18</v>
      </c>
      <c r="B10" s="15">
        <v>60</v>
      </c>
      <c r="C10" s="15">
        <v>500</v>
      </c>
      <c r="D10" s="15" t="s">
        <v>31</v>
      </c>
      <c r="E10" s="13">
        <f>VLOOKUP(B10,Pb!$D$3:$V$38,19,FALSE)</f>
        <v>7.9577757613083273</v>
      </c>
      <c r="F10" s="15"/>
      <c r="G10" s="16">
        <f t="shared" si="0"/>
        <v>7.9577757613083273</v>
      </c>
      <c r="H10" s="29"/>
      <c r="I10" s="6"/>
      <c r="J10" s="6"/>
      <c r="K10" s="6"/>
      <c r="L10" s="6"/>
      <c r="M10" s="6"/>
      <c r="N10" s="6"/>
      <c r="O10" s="6"/>
      <c r="P10" s="6"/>
      <c r="Q10" s="139"/>
      <c r="R10" s="140"/>
      <c r="S10" s="141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 x14ac:dyDescent="0.3">
      <c r="A11" s="15" t="s">
        <v>18</v>
      </c>
      <c r="B11" s="15">
        <v>97</v>
      </c>
      <c r="C11" s="15">
        <v>500</v>
      </c>
      <c r="D11" s="15" t="s">
        <v>31</v>
      </c>
      <c r="E11" s="13">
        <f>VLOOKUP(B11,Pb!$D$3:$V$38,19,FALSE)</f>
        <v>43.865264132195477</v>
      </c>
      <c r="F11" s="15"/>
      <c r="G11" s="16">
        <f t="shared" si="0"/>
        <v>43.865264132195477</v>
      </c>
      <c r="H11" s="29"/>
      <c r="I11" s="6"/>
      <c r="J11" s="6" t="s">
        <v>36</v>
      </c>
      <c r="K11" s="37">
        <f>K9/K6*100</f>
        <v>18.960668595164268</v>
      </c>
      <c r="L11" s="36"/>
      <c r="M11" s="31" t="s">
        <v>84</v>
      </c>
      <c r="N11" s="6"/>
      <c r="O11" s="6"/>
      <c r="P11" s="6"/>
      <c r="Q11" s="139"/>
      <c r="R11" s="140"/>
      <c r="S11" s="141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x14ac:dyDescent="0.3">
      <c r="A12" s="15" t="s">
        <v>18</v>
      </c>
      <c r="B12" s="15">
        <v>105</v>
      </c>
      <c r="C12" s="15">
        <v>500</v>
      </c>
      <c r="D12" s="15" t="s">
        <v>31</v>
      </c>
      <c r="E12" s="13">
        <f>VLOOKUP(B12,Pb!$D$3:$V$38,19,FALSE)</f>
        <v>40.830994718934058</v>
      </c>
      <c r="F12" s="15"/>
      <c r="G12" s="16">
        <f t="shared" si="0"/>
        <v>40.830994718934058</v>
      </c>
      <c r="H12" s="29"/>
      <c r="I12" s="38" t="s">
        <v>60</v>
      </c>
      <c r="J12" s="6" t="s">
        <v>61</v>
      </c>
      <c r="K12" s="37">
        <f>K6-K9</f>
        <v>28.468034879873755</v>
      </c>
      <c r="L12" s="37"/>
      <c r="M12" s="31" t="s">
        <v>85</v>
      </c>
      <c r="N12" s="6"/>
      <c r="O12" s="6"/>
      <c r="P12" s="6"/>
      <c r="Q12" s="139"/>
      <c r="R12" s="140"/>
      <c r="S12" s="141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x14ac:dyDescent="0.3">
      <c r="A13" s="15" t="s">
        <v>18</v>
      </c>
      <c r="B13" s="15">
        <v>107</v>
      </c>
      <c r="C13" s="15">
        <v>500</v>
      </c>
      <c r="D13" s="15" t="s">
        <v>31</v>
      </c>
      <c r="E13" s="13">
        <f>VLOOKUP(B13,Pb!$D$3:$V$38,19,FALSE)</f>
        <v>10.236112358804039</v>
      </c>
      <c r="F13" s="15"/>
      <c r="G13" s="16">
        <f t="shared" si="0"/>
        <v>10.236112358804039</v>
      </c>
      <c r="H13" s="29"/>
      <c r="I13" s="38"/>
      <c r="J13" s="6" t="s">
        <v>62</v>
      </c>
      <c r="K13" s="37">
        <f>K6+K9</f>
        <v>41.789294212984544</v>
      </c>
      <c r="L13" s="37"/>
      <c r="M13" s="31" t="s">
        <v>100</v>
      </c>
      <c r="N13" s="6"/>
      <c r="O13" s="6"/>
      <c r="P13" s="6"/>
      <c r="Q13" s="139"/>
      <c r="R13" s="140"/>
      <c r="S13" s="141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88"/>
      <c r="AH13" s="88"/>
      <c r="AI13" s="17"/>
    </row>
    <row r="14" spans="1:35" ht="15" thickBot="1" x14ac:dyDescent="0.35">
      <c r="A14" s="15" t="s">
        <v>18</v>
      </c>
      <c r="B14" s="15">
        <v>116</v>
      </c>
      <c r="C14" s="15">
        <v>500</v>
      </c>
      <c r="D14" s="15" t="s">
        <v>31</v>
      </c>
      <c r="E14" s="13">
        <f>VLOOKUP(B14,Pb!$D$3:$V$38,19,FALSE)</f>
        <v>34.909987501749683</v>
      </c>
      <c r="F14" s="15"/>
      <c r="G14" s="16">
        <f t="shared" si="0"/>
        <v>34.909987501749683</v>
      </c>
      <c r="Q14" s="142"/>
      <c r="R14" s="143"/>
      <c r="S14" s="144"/>
    </row>
    <row r="15" spans="1:35" x14ac:dyDescent="0.3">
      <c r="A15" s="15" t="s">
        <v>18</v>
      </c>
      <c r="B15" s="15">
        <v>118</v>
      </c>
      <c r="C15" s="15">
        <v>500</v>
      </c>
      <c r="D15" s="15" t="s">
        <v>31</v>
      </c>
      <c r="E15" s="13">
        <f>VLOOKUP(B15,Pb!$D$3:$V$38,19,FALSE)</f>
        <v>54.579156431252471</v>
      </c>
      <c r="F15" s="15"/>
      <c r="G15" s="16">
        <f t="shared" si="0"/>
        <v>54.579156431252471</v>
      </c>
      <c r="AB15" s="136" t="s">
        <v>87</v>
      </c>
      <c r="AC15" s="137"/>
      <c r="AD15" s="137"/>
      <c r="AE15" s="137"/>
      <c r="AF15" s="138"/>
    </row>
    <row r="16" spans="1:35" ht="23.4" x14ac:dyDescent="0.45">
      <c r="A16" s="15" t="s">
        <v>18</v>
      </c>
      <c r="B16" s="15">
        <v>119</v>
      </c>
      <c r="C16" s="15">
        <v>500</v>
      </c>
      <c r="D16" s="15" t="s">
        <v>31</v>
      </c>
      <c r="E16" s="13">
        <f>VLOOKUP(B16,Pb!$D$3:$V$38,19,FALSE)</f>
        <v>9.1776923665725096</v>
      </c>
      <c r="F16" s="15">
        <f>VLOOKUP(B16,Pm!$D$3:$R$26,2,FALSE)</f>
        <v>24.600036916182251</v>
      </c>
      <c r="G16" s="16">
        <f t="shared" si="0"/>
        <v>33.777729282754763</v>
      </c>
      <c r="H16" s="6"/>
      <c r="I16" s="73" t="s">
        <v>82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39"/>
      <c r="AC16" s="140"/>
      <c r="AD16" s="140"/>
      <c r="AE16" s="140"/>
      <c r="AF16" s="141"/>
    </row>
    <row r="17" spans="1:34" x14ac:dyDescent="0.3">
      <c r="A17" s="15" t="s">
        <v>18</v>
      </c>
      <c r="B17" s="15">
        <v>129</v>
      </c>
      <c r="C17" s="15">
        <v>500</v>
      </c>
      <c r="D17" s="15" t="s">
        <v>31</v>
      </c>
      <c r="E17" s="13">
        <f>VLOOKUP(B17,Pb!$D$3:$V$38,19,FALSE)</f>
        <v>18.23922654545343</v>
      </c>
      <c r="F17" s="15">
        <f>VLOOKUP(B17,Pm!$D$3:$R$26,2,FALSE)</f>
        <v>0.72845566319882227</v>
      </c>
      <c r="G17" s="16">
        <f t="shared" si="0"/>
        <v>18.967682208652253</v>
      </c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139"/>
      <c r="AC17" s="140"/>
      <c r="AD17" s="140"/>
      <c r="AE17" s="140"/>
      <c r="AF17" s="141"/>
    </row>
    <row r="18" spans="1:34" x14ac:dyDescent="0.3">
      <c r="A18" s="15" t="s">
        <v>18</v>
      </c>
      <c r="B18" s="15">
        <v>138</v>
      </c>
      <c r="C18" s="15">
        <v>500</v>
      </c>
      <c r="D18" s="15" t="s">
        <v>31</v>
      </c>
      <c r="E18" s="13">
        <f>VLOOKUP(B18,Pb!$D$3:$V$38,19,FALSE)</f>
        <v>54.928213132559392</v>
      </c>
      <c r="F18" s="15"/>
      <c r="G18" s="16">
        <f t="shared" si="0"/>
        <v>54.928213132559392</v>
      </c>
      <c r="H18" s="2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139"/>
      <c r="AC18" s="140"/>
      <c r="AD18" s="140"/>
      <c r="AE18" s="140"/>
      <c r="AF18" s="141"/>
      <c r="AG18" s="27"/>
    </row>
    <row r="19" spans="1:34" x14ac:dyDescent="0.3">
      <c r="A19" s="21" t="s">
        <v>21</v>
      </c>
      <c r="B19" s="21">
        <v>59</v>
      </c>
      <c r="C19" s="21">
        <v>500</v>
      </c>
      <c r="D19" s="21" t="s">
        <v>31</v>
      </c>
      <c r="E19" s="13">
        <f>VLOOKUP(B19,Pb!$D$3:$V$38,19,FALSE)</f>
        <v>23.987305039623038</v>
      </c>
      <c r="F19" s="15"/>
      <c r="G19" s="22"/>
      <c r="H19" s="91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139"/>
      <c r="AC19" s="140"/>
      <c r="AD19" s="140"/>
      <c r="AE19" s="140"/>
      <c r="AF19" s="141"/>
    </row>
    <row r="20" spans="1:34" x14ac:dyDescent="0.3">
      <c r="A20" s="21" t="s">
        <v>21</v>
      </c>
      <c r="B20" s="21">
        <v>139</v>
      </c>
      <c r="C20" s="21">
        <v>500</v>
      </c>
      <c r="D20" s="21" t="s">
        <v>31</v>
      </c>
      <c r="E20" s="13">
        <f>VLOOKUP(B20,Pb!$D$3:$V$38,19,FALSE)</f>
        <v>39.77306762039953</v>
      </c>
      <c r="F20" s="15"/>
      <c r="G20" s="22"/>
      <c r="H20" s="91"/>
      <c r="I20" s="92" t="s">
        <v>80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139"/>
      <c r="AC20" s="140"/>
      <c r="AD20" s="140"/>
      <c r="AE20" s="140"/>
      <c r="AF20" s="141"/>
      <c r="AG20" s="28"/>
      <c r="AH20" s="28"/>
    </row>
    <row r="21" spans="1:34" x14ac:dyDescent="0.3">
      <c r="A21" s="19" t="s">
        <v>22</v>
      </c>
      <c r="B21" s="19">
        <v>37</v>
      </c>
      <c r="C21" s="19">
        <v>500</v>
      </c>
      <c r="D21" s="19" t="s">
        <v>31</v>
      </c>
      <c r="E21" s="13">
        <f>VLOOKUP(B21,Pb!$D$3:$V$38,19,FALSE)</f>
        <v>15.68703739177467</v>
      </c>
      <c r="F21" s="15"/>
      <c r="G21" s="20">
        <f t="shared" si="0"/>
        <v>15.68703739177467</v>
      </c>
      <c r="H21" s="29"/>
      <c r="I21" s="2" t="s">
        <v>23</v>
      </c>
      <c r="J21" t="s">
        <v>43</v>
      </c>
      <c r="K21" t="s">
        <v>39</v>
      </c>
      <c r="L21" t="s">
        <v>75</v>
      </c>
      <c r="M21" s="6"/>
      <c r="N21" s="6"/>
      <c r="O21" s="6"/>
      <c r="P21" s="6"/>
      <c r="Q21" s="74"/>
      <c r="R21" s="74"/>
      <c r="S21" s="74"/>
      <c r="T21" s="6"/>
      <c r="U21" s="6"/>
      <c r="V21" s="6"/>
      <c r="W21" s="6"/>
      <c r="X21" s="6"/>
      <c r="Y21" s="6"/>
      <c r="Z21" s="6"/>
      <c r="AA21" s="6"/>
      <c r="AB21" s="139"/>
      <c r="AC21" s="140"/>
      <c r="AD21" s="140"/>
      <c r="AE21" s="140"/>
      <c r="AF21" s="141"/>
    </row>
    <row r="22" spans="1:34" x14ac:dyDescent="0.3">
      <c r="A22" s="19" t="s">
        <v>22</v>
      </c>
      <c r="B22" s="19">
        <v>95</v>
      </c>
      <c r="C22" s="19">
        <v>500</v>
      </c>
      <c r="D22" s="19" t="s">
        <v>31</v>
      </c>
      <c r="E22" s="13">
        <f>VLOOKUP(B22,Pb!$D$3:$V$38,19,FALSE)</f>
        <v>2.310087709709987</v>
      </c>
      <c r="F22" s="15"/>
      <c r="G22" s="20">
        <f t="shared" si="0"/>
        <v>2.310087709709987</v>
      </c>
      <c r="H22" s="29"/>
      <c r="I22" s="3" t="s">
        <v>20</v>
      </c>
      <c r="J22" s="11">
        <v>10.828583729418593</v>
      </c>
      <c r="K22" s="11">
        <v>34.812073774337335</v>
      </c>
      <c r="L22" s="4">
        <v>5</v>
      </c>
      <c r="M22" s="6"/>
      <c r="N22" s="6"/>
      <c r="O22" s="6"/>
      <c r="P22" s="61" t="s">
        <v>66</v>
      </c>
      <c r="Q22" s="61" t="s">
        <v>66</v>
      </c>
      <c r="R22" s="61"/>
      <c r="S22" s="64"/>
      <c r="T22" s="61" t="s">
        <v>66</v>
      </c>
      <c r="U22" s="6"/>
      <c r="V22" s="6"/>
      <c r="W22" s="62" t="s">
        <v>68</v>
      </c>
      <c r="X22" s="6"/>
      <c r="Y22" s="6"/>
      <c r="Z22" s="6"/>
      <c r="AA22" s="6"/>
      <c r="AB22" s="139"/>
      <c r="AC22" s="140"/>
      <c r="AD22" s="140"/>
      <c r="AE22" s="140"/>
      <c r="AF22" s="141"/>
    </row>
    <row r="23" spans="1:34" ht="16.2" x14ac:dyDescent="0.3">
      <c r="A23" s="19" t="s">
        <v>22</v>
      </c>
      <c r="B23" s="19">
        <v>96</v>
      </c>
      <c r="C23" s="19">
        <v>500</v>
      </c>
      <c r="D23" s="19" t="s">
        <v>31</v>
      </c>
      <c r="E23" s="13">
        <f>VLOOKUP(B23,Pb!$D$3:$V$38,19,FALSE)</f>
        <v>13.334072420602769</v>
      </c>
      <c r="F23" s="15"/>
      <c r="G23" s="20">
        <f t="shared" si="0"/>
        <v>13.334072420602769</v>
      </c>
      <c r="H23" s="29"/>
      <c r="I23" s="3" t="s">
        <v>18</v>
      </c>
      <c r="J23" s="11">
        <v>17.976662506640245</v>
      </c>
      <c r="K23" s="11">
        <v>35.066016813050915</v>
      </c>
      <c r="L23" s="4">
        <v>12</v>
      </c>
      <c r="M23" s="6"/>
      <c r="N23" s="6"/>
      <c r="O23" s="48" t="s">
        <v>37</v>
      </c>
      <c r="P23" s="48" t="s">
        <v>41</v>
      </c>
      <c r="Q23" s="48" t="s">
        <v>38</v>
      </c>
      <c r="R23" s="48" t="s">
        <v>40</v>
      </c>
      <c r="S23" s="48" t="s">
        <v>42</v>
      </c>
      <c r="T23" s="48" t="s">
        <v>44</v>
      </c>
      <c r="U23" s="49" t="s">
        <v>55</v>
      </c>
      <c r="V23" s="50" t="s">
        <v>46</v>
      </c>
      <c r="W23" s="48" t="s">
        <v>45</v>
      </c>
      <c r="X23" s="51" t="s">
        <v>67</v>
      </c>
      <c r="Y23" s="6"/>
      <c r="AA23" s="89"/>
      <c r="AB23" s="139"/>
      <c r="AC23" s="140"/>
      <c r="AD23" s="140"/>
      <c r="AE23" s="140"/>
      <c r="AF23" s="141"/>
    </row>
    <row r="24" spans="1:34" x14ac:dyDescent="0.3">
      <c r="A24" s="19" t="s">
        <v>22</v>
      </c>
      <c r="B24" s="19">
        <v>106</v>
      </c>
      <c r="C24" s="19">
        <v>500</v>
      </c>
      <c r="D24" s="19" t="s">
        <v>31</v>
      </c>
      <c r="E24" s="13">
        <f>VLOOKUP(B24,Pb!$D$3:$V$38,19,FALSE)</f>
        <v>4.810878383966056</v>
      </c>
      <c r="F24" s="15"/>
      <c r="G24" s="20">
        <f t="shared" si="0"/>
        <v>4.810878383966056</v>
      </c>
      <c r="H24" s="29"/>
      <c r="I24" s="3" t="s">
        <v>21</v>
      </c>
      <c r="J24" s="11">
        <v>11.162219767067922</v>
      </c>
      <c r="K24" s="11">
        <v>31.880186330011284</v>
      </c>
      <c r="L24" s="4">
        <v>2</v>
      </c>
      <c r="M24" s="6"/>
      <c r="N24" s="52" t="s">
        <v>20</v>
      </c>
      <c r="O24" s="53">
        <v>7.2</v>
      </c>
      <c r="P24" s="53">
        <f>COUNTIF($A$2:$A$53,"PbPb30")</f>
        <v>5</v>
      </c>
      <c r="Q24" s="76">
        <v>34.812073774337335</v>
      </c>
      <c r="R24" s="55">
        <f>O24/$O$29</f>
        <v>0.12000000000000001</v>
      </c>
      <c r="S24" s="54">
        <f>Q24*R24</f>
        <v>4.177448852920481</v>
      </c>
      <c r="T24" s="75">
        <v>10.828583729418593</v>
      </c>
      <c r="U24" s="55">
        <f>R24^2</f>
        <v>1.4400000000000003E-2</v>
      </c>
      <c r="V24" s="54">
        <f>T24^2</f>
        <v>117.25822558502908</v>
      </c>
      <c r="W24" s="53">
        <f>O24*10000/500</f>
        <v>144</v>
      </c>
      <c r="X24" s="56">
        <f>U24*V24/P24*(W24-P24)/W24</f>
        <v>0.32597786712638094</v>
      </c>
      <c r="Y24" s="6"/>
      <c r="AA24" s="90"/>
      <c r="AB24" s="139"/>
      <c r="AC24" s="140"/>
      <c r="AD24" s="140"/>
      <c r="AE24" s="140"/>
      <c r="AF24" s="141"/>
    </row>
    <row r="25" spans="1:34" x14ac:dyDescent="0.3">
      <c r="A25" s="19" t="s">
        <v>22</v>
      </c>
      <c r="B25" s="19">
        <v>108</v>
      </c>
      <c r="C25" s="19">
        <v>500</v>
      </c>
      <c r="D25" s="19" t="s">
        <v>31</v>
      </c>
      <c r="E25" s="13">
        <f>VLOOKUP(B25,Pb!$D$3:$V$38,19,FALSE)</f>
        <v>29.64589599809841</v>
      </c>
      <c r="F25" s="15"/>
      <c r="G25" s="20">
        <f t="shared" si="0"/>
        <v>29.64589599809841</v>
      </c>
      <c r="H25" s="29"/>
      <c r="I25" s="3" t="s">
        <v>22</v>
      </c>
      <c r="J25" s="11">
        <v>11.424612301508855</v>
      </c>
      <c r="K25" s="11">
        <v>11.613270569394519</v>
      </c>
      <c r="L25" s="4">
        <v>11</v>
      </c>
      <c r="M25" s="6"/>
      <c r="N25" s="57" t="s">
        <v>18</v>
      </c>
      <c r="O25" s="53">
        <v>21.1</v>
      </c>
      <c r="P25" s="53">
        <f>COUNTIF($A$2:$A$53,"PbPb50")</f>
        <v>12</v>
      </c>
      <c r="Q25" s="76">
        <v>35.066016813050915</v>
      </c>
      <c r="R25" s="55">
        <f>O25/$O$29</f>
        <v>0.35166666666666668</v>
      </c>
      <c r="S25" s="54">
        <f>Q25*R25</f>
        <v>12.331549245922906</v>
      </c>
      <c r="T25" s="75">
        <v>17.976662506640245</v>
      </c>
      <c r="U25" s="55">
        <f t="shared" ref="U25:U27" si="1">R25^2</f>
        <v>0.12366944444444446</v>
      </c>
      <c r="V25" s="54">
        <f t="shared" ref="V25:V26" si="2">T25^2</f>
        <v>323.16039487764516</v>
      </c>
      <c r="W25" s="53">
        <f t="shared" ref="W25:W27" si="3">O25*10000/500</f>
        <v>422</v>
      </c>
      <c r="X25" s="56">
        <f t="shared" ref="X25:X27" si="4">U25*V25/P25*(W25-P25)/W25</f>
        <v>3.2357182593593845</v>
      </c>
      <c r="Y25" s="6"/>
      <c r="AA25" s="90"/>
      <c r="AB25" s="139"/>
      <c r="AC25" s="140"/>
      <c r="AD25" s="140"/>
      <c r="AE25" s="140"/>
      <c r="AF25" s="141"/>
    </row>
    <row r="26" spans="1:34" x14ac:dyDescent="0.3">
      <c r="A26" s="19" t="s">
        <v>22</v>
      </c>
      <c r="B26" s="19">
        <v>115</v>
      </c>
      <c r="C26" s="19">
        <v>500</v>
      </c>
      <c r="D26" s="19" t="s">
        <v>31</v>
      </c>
      <c r="E26" s="13">
        <f>VLOOKUP(B26,Pb!$D$3:$V$38,19,FALSE)</f>
        <v>5.7991406122461173</v>
      </c>
      <c r="F26" s="15"/>
      <c r="G26" s="20">
        <f t="shared" si="0"/>
        <v>5.7991406122461173</v>
      </c>
      <c r="H26" s="29"/>
      <c r="I26" s="3" t="s">
        <v>19</v>
      </c>
      <c r="J26" s="11">
        <v>25.62143759415223</v>
      </c>
      <c r="K26" s="11">
        <v>46.992485474082741</v>
      </c>
      <c r="L26" s="4">
        <v>22</v>
      </c>
      <c r="M26" s="6"/>
      <c r="N26" s="58" t="s">
        <v>22</v>
      </c>
      <c r="O26" s="53">
        <v>11.1</v>
      </c>
      <c r="P26" s="53">
        <f>COUNTIF($A$2:$A$53,"PbPbJv")</f>
        <v>11</v>
      </c>
      <c r="Q26" s="76">
        <v>11.613270569394519</v>
      </c>
      <c r="R26" s="55">
        <f>O26/$O$29</f>
        <v>0.185</v>
      </c>
      <c r="S26" s="54">
        <f t="shared" ref="S26:S27" si="5">Q26*R26</f>
        <v>2.148455055337986</v>
      </c>
      <c r="T26" s="75">
        <v>11.424612301508855</v>
      </c>
      <c r="U26" s="55">
        <f t="shared" si="1"/>
        <v>3.4224999999999998E-2</v>
      </c>
      <c r="V26" s="54">
        <f t="shared" si="2"/>
        <v>130.52176623978747</v>
      </c>
      <c r="W26" s="53">
        <f t="shared" si="3"/>
        <v>222</v>
      </c>
      <c r="X26" s="56">
        <f t="shared" si="4"/>
        <v>0.38597857160379573</v>
      </c>
      <c r="Y26" s="6"/>
      <c r="AA26" s="90"/>
      <c r="AB26" s="139"/>
      <c r="AC26" s="140"/>
      <c r="AD26" s="140"/>
      <c r="AE26" s="140"/>
      <c r="AF26" s="141"/>
    </row>
    <row r="27" spans="1:34" ht="15" thickBot="1" x14ac:dyDescent="0.35">
      <c r="A27" s="19" t="s">
        <v>22</v>
      </c>
      <c r="B27" s="19">
        <v>117</v>
      </c>
      <c r="C27" s="19">
        <v>500</v>
      </c>
      <c r="D27" s="19" t="s">
        <v>31</v>
      </c>
      <c r="E27" s="13">
        <f>VLOOKUP(B27,Pb!$D$3:$V$38,19,FALSE)</f>
        <v>1.303056406121337</v>
      </c>
      <c r="F27" s="15"/>
      <c r="G27" s="20">
        <f t="shared" si="0"/>
        <v>1.303056406121337</v>
      </c>
      <c r="H27" s="29"/>
      <c r="I27" s="3" t="s">
        <v>24</v>
      </c>
      <c r="J27" s="4">
        <v>23.614256189794634</v>
      </c>
      <c r="K27" s="4">
        <v>35.003723076566921</v>
      </c>
      <c r="L27" s="4">
        <v>52</v>
      </c>
      <c r="N27" s="59" t="s">
        <v>19</v>
      </c>
      <c r="O27" s="53">
        <v>19.2</v>
      </c>
      <c r="P27" s="53">
        <f>COUNTIF($A$2:$A$53,"PmPm")</f>
        <v>22</v>
      </c>
      <c r="Q27" s="76">
        <v>46.992485474082741</v>
      </c>
      <c r="R27" s="55">
        <f>O27/$O$29</f>
        <v>0.32</v>
      </c>
      <c r="S27" s="54">
        <f t="shared" si="5"/>
        <v>15.037595351706477</v>
      </c>
      <c r="T27" s="75">
        <v>25.62143759415223</v>
      </c>
      <c r="U27" s="55">
        <f t="shared" si="1"/>
        <v>0.1024</v>
      </c>
      <c r="V27" s="54">
        <f>T27^2</f>
        <v>656.45806439103717</v>
      </c>
      <c r="W27" s="53">
        <f t="shared" si="3"/>
        <v>384</v>
      </c>
      <c r="X27" s="56">
        <f t="shared" si="4"/>
        <v>2.8804584158734001</v>
      </c>
      <c r="Y27" s="6"/>
      <c r="AA27" s="90"/>
      <c r="AB27" s="142"/>
      <c r="AC27" s="143"/>
      <c r="AD27" s="143"/>
      <c r="AE27" s="143"/>
      <c r="AF27" s="144"/>
    </row>
    <row r="28" spans="1:34" x14ac:dyDescent="0.3">
      <c r="A28" s="19" t="s">
        <v>22</v>
      </c>
      <c r="B28" s="19">
        <v>126</v>
      </c>
      <c r="C28" s="19">
        <v>500</v>
      </c>
      <c r="D28" s="19" t="s">
        <v>31</v>
      </c>
      <c r="E28" s="13">
        <f>VLOOKUP(B28,Pb!$D$3:$V$38,19,FALSE)</f>
        <v>4.6676757863721683</v>
      </c>
      <c r="F28" s="15"/>
      <c r="G28" s="20">
        <f t="shared" si="0"/>
        <v>4.6676757863721683</v>
      </c>
      <c r="H28" s="29"/>
      <c r="I28" s="6"/>
      <c r="J28" s="6"/>
      <c r="K28" s="6"/>
      <c r="L28" s="6"/>
      <c r="M28" s="6"/>
      <c r="N28" s="70" t="s">
        <v>21</v>
      </c>
      <c r="O28" s="53"/>
      <c r="P28" s="53"/>
      <c r="Q28" s="76"/>
      <c r="R28" s="55"/>
      <c r="S28" s="54"/>
      <c r="T28" s="75"/>
      <c r="U28" s="55"/>
      <c r="V28" s="54"/>
      <c r="W28" s="53"/>
      <c r="X28" s="56"/>
      <c r="Y28" s="6"/>
      <c r="AA28" s="90"/>
      <c r="AB28" s="6"/>
      <c r="AC28" s="6"/>
      <c r="AD28" s="6"/>
      <c r="AE28" s="6"/>
      <c r="AF28" s="6"/>
    </row>
    <row r="29" spans="1:34" ht="16.2" x14ac:dyDescent="0.3">
      <c r="A29" s="19" t="s">
        <v>22</v>
      </c>
      <c r="B29" s="19">
        <v>127</v>
      </c>
      <c r="C29" s="19">
        <v>500</v>
      </c>
      <c r="D29" s="19" t="s">
        <v>31</v>
      </c>
      <c r="E29" s="13">
        <f>VLOOKUP(B29,Pb!$D$3:$V$38,19,FALSE)</f>
        <v>7.9080063515267689</v>
      </c>
      <c r="F29" s="15"/>
      <c r="G29" s="20">
        <f t="shared" si="0"/>
        <v>7.9080063515267689</v>
      </c>
      <c r="H29" s="29"/>
      <c r="I29" s="6"/>
      <c r="J29" s="6"/>
      <c r="K29" s="6"/>
      <c r="L29" s="6"/>
      <c r="M29" s="6"/>
      <c r="N29" s="6"/>
      <c r="O29" s="60">
        <v>60</v>
      </c>
      <c r="P29" s="43">
        <f>SUM(P24:P28)</f>
        <v>50</v>
      </c>
      <c r="Q29" s="6"/>
      <c r="R29" s="6"/>
      <c r="S29" s="44">
        <f>SUM(S24:S28)</f>
        <v>33.695048505887847</v>
      </c>
      <c r="T29" s="6"/>
      <c r="U29" s="6"/>
      <c r="V29" s="6"/>
      <c r="W29" s="95">
        <f>SUM(W24:W28)</f>
        <v>1172</v>
      </c>
      <c r="X29" s="45">
        <f>SUM(X24:X28)</f>
        <v>6.8281331139629611</v>
      </c>
      <c r="Y29" s="45" t="s">
        <v>52</v>
      </c>
      <c r="AA29" s="90"/>
      <c r="AB29" s="6"/>
      <c r="AC29" s="6"/>
      <c r="AD29" s="6"/>
      <c r="AE29" s="6"/>
      <c r="AF29" s="6"/>
    </row>
    <row r="30" spans="1:34" x14ac:dyDescent="0.3">
      <c r="A30" s="19" t="s">
        <v>22</v>
      </c>
      <c r="B30" s="19">
        <v>128</v>
      </c>
      <c r="C30" s="19">
        <v>500</v>
      </c>
      <c r="D30" s="19" t="s">
        <v>31</v>
      </c>
      <c r="E30" s="13">
        <f>VLOOKUP(B30,Pb!$D$3:$V$38,19,FALSE)</f>
        <v>6.2392376119378934</v>
      </c>
      <c r="F30" s="15"/>
      <c r="G30" s="20">
        <f t="shared" si="0"/>
        <v>6.2392376119378934</v>
      </c>
      <c r="H30" s="29"/>
      <c r="I30" s="6"/>
      <c r="J30" s="6"/>
      <c r="K30" s="6"/>
      <c r="L30" s="6"/>
      <c r="M30" s="6"/>
      <c r="N30" s="6"/>
      <c r="O30" s="6"/>
      <c r="P30" s="6"/>
      <c r="Q30" s="6"/>
      <c r="R30" s="6"/>
      <c r="S30" s="63" t="s">
        <v>69</v>
      </c>
      <c r="T30" s="6"/>
      <c r="U30" s="6"/>
      <c r="V30" s="6"/>
      <c r="W30" s="6"/>
      <c r="X30" s="34">
        <f>SQRT(X29)</f>
        <v>2.6130696726193432</v>
      </c>
      <c r="Y30" s="34" t="s">
        <v>47</v>
      </c>
      <c r="Z30" s="6"/>
      <c r="AA30" s="6"/>
      <c r="AB30" s="6"/>
      <c r="AC30" s="6"/>
      <c r="AD30" s="6"/>
      <c r="AE30" s="6"/>
      <c r="AF30" s="6"/>
    </row>
    <row r="31" spans="1:34" ht="15" thickBot="1" x14ac:dyDescent="0.35">
      <c r="A31" s="19" t="s">
        <v>22</v>
      </c>
      <c r="B31" s="19">
        <v>137</v>
      </c>
      <c r="C31" s="19">
        <v>500</v>
      </c>
      <c r="D31" s="19" t="s">
        <v>31</v>
      </c>
      <c r="E31" s="13">
        <f>VLOOKUP(B31,Pb!$D$3:$V$38,19,FALSE)</f>
        <v>36.04088759098353</v>
      </c>
      <c r="F31" s="15"/>
      <c r="G31" s="20">
        <f t="shared" si="0"/>
        <v>36.04088759098353</v>
      </c>
      <c r="H31" s="29"/>
      <c r="I31" s="6"/>
      <c r="J31" s="6"/>
      <c r="K31" s="6"/>
      <c r="L31" s="6"/>
      <c r="M31" s="6"/>
      <c r="N31" s="6"/>
      <c r="O31" s="25" t="s">
        <v>53</v>
      </c>
      <c r="P31" s="3">
        <f>O29*10000/500</f>
        <v>1200</v>
      </c>
      <c r="Q31" s="31" t="s">
        <v>65</v>
      </c>
      <c r="R31" s="6"/>
      <c r="S31" s="6"/>
      <c r="T31" s="65" t="s">
        <v>51</v>
      </c>
      <c r="U31" s="6">
        <f>_xlfn.NORM.S.INV(0.975)</f>
        <v>1.9599639845400536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4" x14ac:dyDescent="0.3">
      <c r="A32" s="23" t="s">
        <v>19</v>
      </c>
      <c r="B32" s="23">
        <v>40</v>
      </c>
      <c r="C32" s="23">
        <v>500</v>
      </c>
      <c r="D32" s="23" t="s">
        <v>31</v>
      </c>
      <c r="E32" s="13"/>
      <c r="F32" s="15">
        <f>VLOOKUP(B32,Pm!$D$3:$R$26,2,FALSE)</f>
        <v>30.72728398347547</v>
      </c>
      <c r="G32" s="24">
        <f t="shared" si="0"/>
        <v>30.72728398347547</v>
      </c>
      <c r="H32" s="29"/>
      <c r="I32" s="136" t="s">
        <v>79</v>
      </c>
      <c r="J32" s="137"/>
      <c r="K32" s="137"/>
      <c r="L32" s="137"/>
      <c r="M32" s="137"/>
      <c r="N32" s="137"/>
      <c r="O32" s="137"/>
      <c r="P32" s="137"/>
      <c r="Q32" s="137"/>
      <c r="R32" s="138"/>
      <c r="S32" s="6"/>
      <c r="T32" s="6"/>
      <c r="U32" s="6"/>
      <c r="V32" s="6"/>
      <c r="W32" s="6" t="s">
        <v>48</v>
      </c>
      <c r="X32" s="6">
        <f>X30*U31</f>
        <v>5.1215224474277816</v>
      </c>
      <c r="Y32" s="6"/>
      <c r="Z32" s="6"/>
      <c r="AA32" s="6"/>
      <c r="AB32" s="6"/>
      <c r="AC32" s="6"/>
      <c r="AD32" s="6"/>
      <c r="AE32" s="6"/>
      <c r="AF32" s="6"/>
    </row>
    <row r="33" spans="1:35" x14ac:dyDescent="0.3">
      <c r="A33" s="23" t="s">
        <v>19</v>
      </c>
      <c r="B33" s="23">
        <v>50</v>
      </c>
      <c r="C33" s="23">
        <v>500</v>
      </c>
      <c r="D33" s="23" t="s">
        <v>31</v>
      </c>
      <c r="E33" s="13"/>
      <c r="F33" s="15">
        <f>VLOOKUP(B33,Pm!$D$3:$R$26,2,FALSE)</f>
        <v>39.542857077283422</v>
      </c>
      <c r="G33" s="24">
        <f t="shared" si="0"/>
        <v>39.542857077283422</v>
      </c>
      <c r="H33" s="29"/>
      <c r="I33" s="139"/>
      <c r="J33" s="140"/>
      <c r="K33" s="140"/>
      <c r="L33" s="140"/>
      <c r="M33" s="140"/>
      <c r="N33" s="140"/>
      <c r="O33" s="140"/>
      <c r="P33" s="140"/>
      <c r="Q33" s="140"/>
      <c r="R33" s="141"/>
      <c r="S33" s="6"/>
      <c r="T33" s="6"/>
      <c r="U33" s="6"/>
      <c r="V33" s="6"/>
      <c r="W33" s="6" t="s">
        <v>49</v>
      </c>
      <c r="X33" s="46">
        <f>X32/S29*100</f>
        <v>15.199629246810108</v>
      </c>
      <c r="Y33" s="6"/>
      <c r="Z33" s="6"/>
      <c r="AA33" s="6"/>
      <c r="AB33" s="6"/>
      <c r="AC33" s="6"/>
      <c r="AD33" s="6"/>
      <c r="AE33" s="6"/>
      <c r="AF33" s="6"/>
    </row>
    <row r="34" spans="1:35" x14ac:dyDescent="0.3">
      <c r="A34" s="23" t="s">
        <v>19</v>
      </c>
      <c r="B34" s="23">
        <v>51</v>
      </c>
      <c r="C34" s="23">
        <v>500</v>
      </c>
      <c r="D34" s="23" t="s">
        <v>31</v>
      </c>
      <c r="E34" s="13"/>
      <c r="F34" s="15">
        <f>VLOOKUP(B34,Pm!$D$3:$R$26,2,FALSE)</f>
        <v>49.7464545766939</v>
      </c>
      <c r="G34" s="24">
        <f t="shared" ref="G34:G53" si="6">E34+F34</f>
        <v>49.7464545766939</v>
      </c>
      <c r="H34" s="29"/>
      <c r="I34" s="139"/>
      <c r="J34" s="140"/>
      <c r="K34" s="140"/>
      <c r="L34" s="140"/>
      <c r="M34" s="140"/>
      <c r="N34" s="140"/>
      <c r="O34" s="140"/>
      <c r="P34" s="140"/>
      <c r="Q34" s="140"/>
      <c r="R34" s="14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5" ht="15" thickBot="1" x14ac:dyDescent="0.35">
      <c r="A35" s="23" t="s">
        <v>19</v>
      </c>
      <c r="B35" s="23">
        <v>52</v>
      </c>
      <c r="C35" s="23">
        <v>500</v>
      </c>
      <c r="D35" s="23" t="s">
        <v>31</v>
      </c>
      <c r="E35" s="13"/>
      <c r="F35" s="15">
        <f>VLOOKUP(B35,Pm!$D$3:$R$26,2,FALSE)</f>
        <v>122.73669410586329</v>
      </c>
      <c r="G35" s="24">
        <f t="shared" si="6"/>
        <v>122.73669410586329</v>
      </c>
      <c r="H35" s="29"/>
      <c r="I35" s="142"/>
      <c r="J35" s="143"/>
      <c r="K35" s="143"/>
      <c r="L35" s="143"/>
      <c r="M35" s="143"/>
      <c r="N35" s="143"/>
      <c r="O35" s="143"/>
      <c r="P35" s="143"/>
      <c r="Q35" s="143"/>
      <c r="R35" s="144"/>
      <c r="S35" s="6"/>
      <c r="T35" s="6"/>
      <c r="U35" s="6"/>
      <c r="V35" s="6"/>
      <c r="W35" s="6" t="s">
        <v>50</v>
      </c>
      <c r="X35" s="36">
        <f>S29-X32</f>
        <v>28.573526058460065</v>
      </c>
      <c r="Y35" s="36">
        <f>S29+X32</f>
        <v>38.816570953315626</v>
      </c>
      <c r="Z35" s="6"/>
      <c r="AA35" s="6"/>
      <c r="AB35" s="6"/>
      <c r="AC35" s="6"/>
      <c r="AD35" s="6"/>
      <c r="AE35" s="6"/>
      <c r="AF35" s="6"/>
    </row>
    <row r="36" spans="1:35" ht="23.4" x14ac:dyDescent="0.45">
      <c r="A36" s="23" t="s">
        <v>19</v>
      </c>
      <c r="B36" s="23">
        <v>53</v>
      </c>
      <c r="C36" s="23">
        <v>500</v>
      </c>
      <c r="D36" s="23" t="s">
        <v>31</v>
      </c>
      <c r="E36" s="13"/>
      <c r="F36" s="15">
        <f>VLOOKUP(B36,Pm!$D$3:$R$26,2,FALSE)</f>
        <v>48.587673285911798</v>
      </c>
      <c r="G36" s="24">
        <f t="shared" si="6"/>
        <v>48.587673285911798</v>
      </c>
      <c r="H36" s="126" t="s">
        <v>104</v>
      </c>
      <c r="I36" s="127" t="s">
        <v>105</v>
      </c>
      <c r="J36" s="6"/>
      <c r="K36" s="6"/>
      <c r="L36" s="6"/>
      <c r="M36" s="6"/>
      <c r="T36" s="93">
        <v>10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5" ht="16.2" x14ac:dyDescent="0.3">
      <c r="A37" s="23" t="s">
        <v>19</v>
      </c>
      <c r="B37" s="23">
        <v>61</v>
      </c>
      <c r="C37" s="23">
        <v>500</v>
      </c>
      <c r="D37" s="23" t="s">
        <v>31</v>
      </c>
      <c r="E37" s="13"/>
      <c r="F37" s="15">
        <f>VLOOKUP(B37,Pm!$D$3:$R$26,2,FALSE)</f>
        <v>52.050198893796697</v>
      </c>
      <c r="G37" s="24">
        <f t="shared" si="6"/>
        <v>52.050198893796697</v>
      </c>
      <c r="I37" s="6"/>
      <c r="J37" s="6"/>
      <c r="K37" s="6"/>
      <c r="L37" s="6"/>
      <c r="M37" s="6"/>
      <c r="N37" s="6"/>
      <c r="O37" s="6"/>
      <c r="P37" s="6"/>
      <c r="Q37" s="78" t="s">
        <v>88</v>
      </c>
      <c r="R37" s="48" t="s">
        <v>42</v>
      </c>
      <c r="S37" s="9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5" x14ac:dyDescent="0.3">
      <c r="A38" s="23" t="s">
        <v>19</v>
      </c>
      <c r="B38" s="23">
        <v>62</v>
      </c>
      <c r="C38" s="23">
        <v>500</v>
      </c>
      <c r="D38" s="23" t="s">
        <v>31</v>
      </c>
      <c r="E38" s="13"/>
      <c r="F38" s="15">
        <f>VLOOKUP(B38,Pm!$D$3:$R$26,2,FALSE)</f>
        <v>53.340068080008528</v>
      </c>
      <c r="G38" s="24">
        <f t="shared" si="6"/>
        <v>53.340068080008528</v>
      </c>
      <c r="H38" s="29"/>
      <c r="I38" s="6"/>
      <c r="J38" s="6"/>
      <c r="K38" s="6"/>
      <c r="L38" s="6"/>
      <c r="M38" s="6"/>
      <c r="N38" s="6"/>
      <c r="O38" s="6"/>
      <c r="P38" s="6"/>
      <c r="Q38" s="99">
        <f>R24*V24</f>
        <v>14.070987070203492</v>
      </c>
      <c r="R38" s="105">
        <f>S29</f>
        <v>33.695048505887847</v>
      </c>
      <c r="S38" s="106" t="s">
        <v>89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5" ht="16.2" x14ac:dyDescent="0.3">
      <c r="A39" s="23" t="s">
        <v>19</v>
      </c>
      <c r="B39" s="23">
        <v>63</v>
      </c>
      <c r="C39" s="23">
        <v>500</v>
      </c>
      <c r="D39" s="23" t="s">
        <v>31</v>
      </c>
      <c r="E39" s="13"/>
      <c r="F39" s="15">
        <f>VLOOKUP(B39,Pm!$D$3:$R$26,2,FALSE)</f>
        <v>29.84412285602415</v>
      </c>
      <c r="G39" s="24">
        <f t="shared" si="6"/>
        <v>29.84412285602415</v>
      </c>
      <c r="H39" s="29"/>
      <c r="I39" s="6"/>
      <c r="J39" s="6"/>
      <c r="K39" s="6"/>
      <c r="L39" s="6"/>
      <c r="M39" s="6"/>
      <c r="N39" s="6"/>
      <c r="O39" s="6"/>
      <c r="P39" s="6"/>
      <c r="Q39" s="79">
        <f>R25*V25</f>
        <v>113.64473886530521</v>
      </c>
      <c r="S39" s="101" t="s">
        <v>90</v>
      </c>
      <c r="T39" s="76">
        <f>U31^2</f>
        <v>3.8414588206941236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5" x14ac:dyDescent="0.3">
      <c r="A40" s="23" t="s">
        <v>19</v>
      </c>
      <c r="B40" s="23">
        <v>64</v>
      </c>
      <c r="C40" s="23">
        <v>500</v>
      </c>
      <c r="D40" s="23" t="s">
        <v>31</v>
      </c>
      <c r="E40" s="13"/>
      <c r="F40" s="15">
        <f>VLOOKUP(B40,Pm!$D$3:$R$26,2,FALSE)</f>
        <v>67.153820898890174</v>
      </c>
      <c r="G40" s="24">
        <f t="shared" si="6"/>
        <v>67.153820898890174</v>
      </c>
      <c r="H40" s="29"/>
      <c r="I40" s="6"/>
      <c r="J40" s="6"/>
      <c r="K40" s="6"/>
      <c r="L40" s="6"/>
      <c r="M40" s="6"/>
      <c r="N40" s="6"/>
      <c r="O40" s="6"/>
      <c r="P40" s="6"/>
      <c r="Q40" s="79">
        <f>R26*V26</f>
        <v>24.146526754360682</v>
      </c>
      <c r="S40" s="103" t="s">
        <v>91</v>
      </c>
      <c r="T40" s="54">
        <f>Q43</f>
        <v>361.92883329500125</v>
      </c>
      <c r="U40" s="6"/>
      <c r="V40" s="6"/>
      <c r="W40" s="6"/>
      <c r="AI40" s="6"/>
    </row>
    <row r="41" spans="1:35" ht="16.2" x14ac:dyDescent="0.3">
      <c r="A41" s="23" t="s">
        <v>19</v>
      </c>
      <c r="B41" s="23">
        <v>65</v>
      </c>
      <c r="C41" s="23">
        <v>500</v>
      </c>
      <c r="D41" s="23" t="s">
        <v>31</v>
      </c>
      <c r="E41" s="13">
        <f>VLOOKUP(B41,Pb!$D$3:$V$38,19,FALSE)</f>
        <v>7.3403292939746443</v>
      </c>
      <c r="F41" s="15">
        <f>VLOOKUP(B41,Pm!$D$3:$R$26,2,FALSE)</f>
        <v>27.519656103262129</v>
      </c>
      <c r="G41" s="24">
        <f t="shared" si="6"/>
        <v>34.85998539723677</v>
      </c>
      <c r="H41" s="29"/>
      <c r="I41" s="6"/>
      <c r="J41" s="6"/>
      <c r="K41" s="6"/>
      <c r="L41" s="6"/>
      <c r="M41" s="6"/>
      <c r="N41" s="6"/>
      <c r="O41" s="6"/>
      <c r="P41" s="6"/>
      <c r="Q41" s="79">
        <f>R27*V27</f>
        <v>210.06658060513189</v>
      </c>
      <c r="S41" s="104" t="s">
        <v>92</v>
      </c>
      <c r="T41" s="54">
        <f>T39*T40</f>
        <v>1390.3347091246155</v>
      </c>
      <c r="U41" s="6"/>
      <c r="V41" s="6"/>
      <c r="W41" s="6"/>
      <c r="AI41" s="6"/>
    </row>
    <row r="42" spans="1:35" x14ac:dyDescent="0.3">
      <c r="A42" s="23" t="s">
        <v>19</v>
      </c>
      <c r="B42" s="23">
        <v>70</v>
      </c>
      <c r="C42" s="23">
        <v>500</v>
      </c>
      <c r="D42" s="23" t="s">
        <v>31</v>
      </c>
      <c r="E42" s="13">
        <f>VLOOKUP(B42,Pb!$D$3:$V$38,19,FALSE)</f>
        <v>12.135025778628149</v>
      </c>
      <c r="F42" s="15">
        <f>VLOOKUP(B42,Pm!$D$3:$R$26,2,FALSE)</f>
        <v>20.975493701028942</v>
      </c>
      <c r="G42" s="24">
        <f t="shared" si="6"/>
        <v>33.110519479657093</v>
      </c>
      <c r="H42" s="29"/>
      <c r="I42" s="6"/>
      <c r="J42" s="6"/>
      <c r="K42" s="6"/>
      <c r="L42" s="6"/>
      <c r="M42" s="6"/>
      <c r="N42" s="6"/>
      <c r="O42" s="6"/>
      <c r="P42" s="6"/>
      <c r="Q42" s="79">
        <f>R28*V28</f>
        <v>0</v>
      </c>
      <c r="R42" s="6"/>
      <c r="S42" s="5" t="s">
        <v>94</v>
      </c>
      <c r="T42" s="6"/>
      <c r="U42" s="6"/>
      <c r="V42" s="6"/>
      <c r="W42" s="6"/>
      <c r="AI42" s="6"/>
    </row>
    <row r="43" spans="1:35" x14ac:dyDescent="0.3">
      <c r="A43" s="23" t="s">
        <v>19</v>
      </c>
      <c r="B43" s="23">
        <v>71</v>
      </c>
      <c r="C43" s="23">
        <v>500</v>
      </c>
      <c r="D43" s="23" t="s">
        <v>31</v>
      </c>
      <c r="E43" s="13">
        <f>VLOOKUP(B43,Pb!$D$3:$V$38,19,FALSE)</f>
        <v>7.9635144060591019</v>
      </c>
      <c r="F43" s="15">
        <f>VLOOKUP(B43,Pm!$D$3:$R$26,2,FALSE)</f>
        <v>17.128267184969381</v>
      </c>
      <c r="G43" s="24">
        <f t="shared" si="6"/>
        <v>25.091781591028482</v>
      </c>
      <c r="H43" s="29"/>
      <c r="I43" s="6"/>
      <c r="J43" s="6"/>
      <c r="K43" s="6"/>
      <c r="L43" s="6"/>
      <c r="M43" s="6"/>
      <c r="N43" s="6"/>
      <c r="O43" s="6"/>
      <c r="P43" s="6"/>
      <c r="Q43" s="94">
        <f>SUM(Q38:Q41)</f>
        <v>361.92883329500125</v>
      </c>
      <c r="R43" s="6"/>
      <c r="S43" s="114" t="s">
        <v>54</v>
      </c>
      <c r="T43" s="102">
        <f>(T36*R38/100)^2</f>
        <v>11.35356293814135</v>
      </c>
      <c r="U43" s="110"/>
      <c r="V43" s="6"/>
      <c r="W43" s="6"/>
      <c r="AI43" s="6"/>
    </row>
    <row r="44" spans="1:35" ht="14.4" customHeight="1" x14ac:dyDescent="0.3">
      <c r="A44" s="23" t="s">
        <v>19</v>
      </c>
      <c r="B44" s="23">
        <v>72</v>
      </c>
      <c r="C44" s="23">
        <v>500</v>
      </c>
      <c r="D44" s="23" t="s">
        <v>31</v>
      </c>
      <c r="E44" s="13"/>
      <c r="F44" s="15">
        <f>VLOOKUP(B44,Pm!$D$3:$R$26,2,FALSE)</f>
        <v>55.116452356687518</v>
      </c>
      <c r="G44" s="24">
        <f t="shared" si="6"/>
        <v>55.116452356687518</v>
      </c>
      <c r="H44" s="29"/>
      <c r="I44" s="6"/>
      <c r="J44" s="6"/>
      <c r="K44" s="6"/>
      <c r="L44" s="6"/>
      <c r="M44" s="6"/>
      <c r="N44" s="6"/>
      <c r="O44" s="6"/>
      <c r="P44" s="6"/>
      <c r="R44" s="107" t="s">
        <v>7</v>
      </c>
      <c r="S44" s="115" t="s">
        <v>93</v>
      </c>
      <c r="T44" s="56">
        <f>T41/R45</f>
        <v>1.1862924139288529</v>
      </c>
      <c r="U44" s="111"/>
      <c r="V44" s="6"/>
      <c r="W44" s="6"/>
      <c r="AI44" s="6"/>
    </row>
    <row r="45" spans="1:35" x14ac:dyDescent="0.3">
      <c r="A45" s="23" t="s">
        <v>19</v>
      </c>
      <c r="B45" s="23">
        <v>73</v>
      </c>
      <c r="C45" s="23">
        <v>500</v>
      </c>
      <c r="D45" s="23" t="s">
        <v>31</v>
      </c>
      <c r="E45" s="13"/>
      <c r="F45" s="15">
        <f>VLOOKUP(B45,Pm!$D$3:$R$26,2,FALSE)</f>
        <v>56.252306103877977</v>
      </c>
      <c r="G45" s="24">
        <f t="shared" si="6"/>
        <v>56.252306103877977</v>
      </c>
      <c r="H45" s="29"/>
      <c r="I45" s="6"/>
      <c r="J45" s="6"/>
      <c r="K45" s="6"/>
      <c r="L45" s="6"/>
      <c r="M45" s="6"/>
      <c r="N45" s="6"/>
      <c r="O45" s="6"/>
      <c r="P45" s="6"/>
      <c r="R45" s="108">
        <f>W29</f>
        <v>1172</v>
      </c>
      <c r="S45" s="115" t="s">
        <v>95</v>
      </c>
      <c r="T45" s="97">
        <f>T43+T44</f>
        <v>12.539855352070202</v>
      </c>
      <c r="U45" s="100"/>
      <c r="V45" s="6"/>
      <c r="W45" s="6"/>
      <c r="AI45" s="6"/>
    </row>
    <row r="46" spans="1:35" x14ac:dyDescent="0.3">
      <c r="A46" s="23" t="s">
        <v>19</v>
      </c>
      <c r="B46" s="23">
        <v>74</v>
      </c>
      <c r="C46" s="23">
        <v>500</v>
      </c>
      <c r="D46" s="23" t="s">
        <v>31</v>
      </c>
      <c r="E46" s="13"/>
      <c r="F46" s="15">
        <f>VLOOKUP(B46,Pm!$D$3:$R$26,2,FALSE)</f>
        <v>70.685678688665575</v>
      </c>
      <c r="G46" s="24">
        <f t="shared" si="6"/>
        <v>70.685678688665575</v>
      </c>
      <c r="H46" s="29"/>
      <c r="I46" s="6"/>
      <c r="J46" s="6"/>
      <c r="K46" s="6"/>
      <c r="L46" s="6"/>
      <c r="M46" s="6"/>
      <c r="N46" s="6"/>
      <c r="O46" s="6"/>
      <c r="P46" s="6"/>
      <c r="Q46" s="134" t="s">
        <v>99</v>
      </c>
      <c r="R46" s="134"/>
      <c r="S46" s="109"/>
      <c r="T46" s="112"/>
      <c r="U46" s="113"/>
      <c r="V46" s="6"/>
      <c r="W46" s="6"/>
      <c r="AI46" s="6"/>
    </row>
    <row r="47" spans="1:35" ht="14.4" customHeight="1" x14ac:dyDescent="0.3">
      <c r="A47" s="23" t="s">
        <v>19</v>
      </c>
      <c r="B47" s="23">
        <v>75</v>
      </c>
      <c r="C47" s="23">
        <v>500</v>
      </c>
      <c r="D47" s="23" t="s">
        <v>31</v>
      </c>
      <c r="E47" s="13"/>
      <c r="F47" s="15">
        <f>VLOOKUP(B47,Pm!$D$3:$R$26,2,FALSE)</f>
        <v>96.210765908873498</v>
      </c>
      <c r="G47" s="24">
        <f t="shared" si="6"/>
        <v>96.210765908873498</v>
      </c>
      <c r="H47" s="29"/>
      <c r="I47" s="6"/>
      <c r="J47" s="6"/>
      <c r="K47" s="6"/>
      <c r="L47" s="6"/>
      <c r="M47" s="6"/>
      <c r="N47" s="6"/>
      <c r="O47" s="6"/>
      <c r="P47" s="6"/>
      <c r="Q47" s="134"/>
      <c r="R47" s="134"/>
      <c r="S47" s="121" t="s">
        <v>96</v>
      </c>
      <c r="T47" s="120">
        <f>T41/T45</f>
        <v>110.8732652881108</v>
      </c>
      <c r="U47" s="6"/>
      <c r="V47" s="6"/>
      <c r="W47" s="6"/>
      <c r="AI47" s="6"/>
    </row>
    <row r="48" spans="1:35" x14ac:dyDescent="0.3">
      <c r="A48" s="23" t="s">
        <v>19</v>
      </c>
      <c r="B48" s="23">
        <v>76</v>
      </c>
      <c r="C48" s="23">
        <v>500</v>
      </c>
      <c r="D48" s="23" t="s">
        <v>31</v>
      </c>
      <c r="E48" s="13">
        <f>VLOOKUP(B48,Pb!$D$3:$V$38,19,FALSE)</f>
        <v>15.653150261713581</v>
      </c>
      <c r="F48" s="15">
        <f>VLOOKUP(B48,Pm!$D$3:$R$26,2,FALSE)</f>
        <v>13.671775655208121</v>
      </c>
      <c r="G48" s="24">
        <f t="shared" si="6"/>
        <v>29.3249259169217</v>
      </c>
      <c r="H48" s="29"/>
      <c r="I48" s="6"/>
      <c r="J48" s="6"/>
      <c r="K48" s="6"/>
      <c r="L48" s="6"/>
      <c r="M48" s="6"/>
      <c r="N48" s="6"/>
      <c r="O48" s="6"/>
      <c r="P48" s="6"/>
      <c r="Q48" s="134"/>
      <c r="R48" s="134"/>
      <c r="U48" s="6"/>
      <c r="V48" s="6"/>
      <c r="W48" s="6"/>
      <c r="AI48" s="6"/>
    </row>
    <row r="49" spans="1:35" x14ac:dyDescent="0.3">
      <c r="A49" s="23" t="s">
        <v>19</v>
      </c>
      <c r="B49" s="23">
        <v>81</v>
      </c>
      <c r="C49" s="23">
        <v>500</v>
      </c>
      <c r="D49" s="23" t="s">
        <v>31</v>
      </c>
      <c r="E49" s="13"/>
      <c r="F49" s="15">
        <f>VLOOKUP(B49,Pm!$D$3:$R$26,2,FALSE)</f>
        <v>3.0397794931660842</v>
      </c>
      <c r="G49" s="24">
        <f t="shared" si="6"/>
        <v>3.0397794931660842</v>
      </c>
      <c r="H49" s="29"/>
      <c r="I49" s="6"/>
      <c r="J49" s="6"/>
      <c r="K49" s="6"/>
      <c r="L49" s="6"/>
      <c r="M49" s="6"/>
      <c r="N49" s="6"/>
      <c r="O49" s="6"/>
      <c r="P49" s="6"/>
      <c r="Q49" s="145" t="s">
        <v>78</v>
      </c>
      <c r="R49" s="146"/>
      <c r="S49" s="119" t="s">
        <v>40</v>
      </c>
      <c r="T49" s="119" t="s">
        <v>41</v>
      </c>
      <c r="U49" s="119" t="s">
        <v>98</v>
      </c>
      <c r="V49" s="122" t="s">
        <v>97</v>
      </c>
      <c r="W49" s="6"/>
      <c r="AI49" s="6"/>
    </row>
    <row r="50" spans="1:35" ht="14.4" customHeight="1" x14ac:dyDescent="0.3">
      <c r="A50" s="23" t="s">
        <v>19</v>
      </c>
      <c r="B50" s="23">
        <v>82</v>
      </c>
      <c r="C50" s="23">
        <v>500</v>
      </c>
      <c r="D50" s="23" t="s">
        <v>31</v>
      </c>
      <c r="E50" s="13"/>
      <c r="F50" s="15">
        <f>VLOOKUP(B50,Pm!$D$3:$R$26,2,FALSE)</f>
        <v>33.775956051177857</v>
      </c>
      <c r="G50" s="24">
        <f t="shared" si="6"/>
        <v>33.775956051177857</v>
      </c>
      <c r="H50" s="29"/>
      <c r="I50" s="6"/>
      <c r="J50" s="6"/>
      <c r="K50" s="6"/>
      <c r="L50" s="6"/>
      <c r="M50" s="6"/>
      <c r="N50" s="6"/>
      <c r="O50" s="6"/>
      <c r="P50" s="6"/>
      <c r="R50" s="52" t="s">
        <v>20</v>
      </c>
      <c r="S50" s="53">
        <v>0.12</v>
      </c>
      <c r="T50" s="66">
        <f>S50*$T$47</f>
        <v>13.304791834573296</v>
      </c>
      <c r="U50" s="116">
        <f>COUNTIF($A$2:$A$53,"PbPb30")</f>
        <v>5</v>
      </c>
      <c r="V50" s="123">
        <f>T50-U50</f>
        <v>8.3047918345732956</v>
      </c>
      <c r="W50" s="6"/>
      <c r="AI50" s="6"/>
    </row>
    <row r="51" spans="1:35" x14ac:dyDescent="0.3">
      <c r="A51" s="23" t="s">
        <v>19</v>
      </c>
      <c r="B51" s="23">
        <v>83</v>
      </c>
      <c r="C51" s="23">
        <v>500</v>
      </c>
      <c r="D51" s="23" t="s">
        <v>31</v>
      </c>
      <c r="E51" s="13">
        <f>VLOOKUP(B51,Pb!$D$3:$V$38,19,FALSE)</f>
        <v>0.75081210046801905</v>
      </c>
      <c r="F51" s="15">
        <f>VLOOKUP(B51,Pm!$D$3:$R$26,2,FALSE)</f>
        <v>28.056519576392859</v>
      </c>
      <c r="G51" s="24">
        <f t="shared" si="6"/>
        <v>28.807331676860876</v>
      </c>
      <c r="H51" s="29"/>
      <c r="I51" s="6"/>
      <c r="J51" s="6"/>
      <c r="K51" s="6"/>
      <c r="L51" s="6"/>
      <c r="M51" s="6"/>
      <c r="N51" s="6"/>
      <c r="O51" s="6"/>
      <c r="P51" s="6"/>
      <c r="Q51" s="118"/>
      <c r="R51" s="57" t="s">
        <v>18</v>
      </c>
      <c r="S51" s="55">
        <v>0.35166666666666668</v>
      </c>
      <c r="T51" s="66">
        <f t="shared" ref="T51:T53" si="7">S51*$T$47</f>
        <v>38.990431626318966</v>
      </c>
      <c r="U51" s="116">
        <f>COUNTIF($A$2:$A$53,"PbPb50")</f>
        <v>12</v>
      </c>
      <c r="V51" s="123">
        <f>T51-U51</f>
        <v>26.990431626318966</v>
      </c>
      <c r="W51" s="6"/>
    </row>
    <row r="52" spans="1:35" x14ac:dyDescent="0.3">
      <c r="A52" s="23" t="s">
        <v>19</v>
      </c>
      <c r="B52" s="23">
        <v>93</v>
      </c>
      <c r="C52" s="23">
        <v>500</v>
      </c>
      <c r="D52" s="23" t="s">
        <v>31</v>
      </c>
      <c r="E52" s="13"/>
      <c r="F52" s="15">
        <f>VLOOKUP(B52,Pm!$D$3:$R$26,2,FALSE)</f>
        <v>41.619583608124017</v>
      </c>
      <c r="G52" s="24">
        <f t="shared" si="6"/>
        <v>41.619583608124017</v>
      </c>
      <c r="H52" s="29"/>
      <c r="I52" s="6"/>
      <c r="J52" s="6"/>
      <c r="K52" s="6"/>
      <c r="L52" s="6"/>
      <c r="M52" s="6"/>
      <c r="N52" s="6"/>
      <c r="O52" s="6"/>
      <c r="P52" s="6"/>
      <c r="Q52" s="117"/>
      <c r="R52" s="58" t="s">
        <v>22</v>
      </c>
      <c r="S52" s="55">
        <v>0.185</v>
      </c>
      <c r="T52" s="66">
        <f t="shared" si="7"/>
        <v>20.511554078300499</v>
      </c>
      <c r="U52" s="116">
        <f>COUNTIF($A$2:$A$53,"PbPbJv")</f>
        <v>11</v>
      </c>
      <c r="V52" s="123">
        <f>T52-U52</f>
        <v>9.5115540783004988</v>
      </c>
      <c r="W52" s="6"/>
    </row>
    <row r="53" spans="1:35" x14ac:dyDescent="0.3">
      <c r="A53" s="23" t="s">
        <v>19</v>
      </c>
      <c r="B53" s="23">
        <v>94</v>
      </c>
      <c r="C53" s="23">
        <v>500</v>
      </c>
      <c r="D53" s="23" t="s">
        <v>31</v>
      </c>
      <c r="E53" s="13"/>
      <c r="F53" s="15">
        <f>VLOOKUP(B53,Pm!$D$3:$R$26,2,FALSE)</f>
        <v>32.210440399595207</v>
      </c>
      <c r="G53" s="24">
        <f t="shared" si="6"/>
        <v>32.210440399595207</v>
      </c>
      <c r="H53" s="29"/>
      <c r="I53" s="6"/>
      <c r="J53" s="6"/>
      <c r="K53" s="6"/>
      <c r="L53" s="6"/>
      <c r="M53" s="6"/>
      <c r="N53" s="6"/>
      <c r="O53" s="6"/>
      <c r="P53" s="6"/>
      <c r="Q53" s="6"/>
      <c r="R53" s="59" t="s">
        <v>19</v>
      </c>
      <c r="S53" s="53">
        <v>0.32</v>
      </c>
      <c r="T53" s="66">
        <f t="shared" si="7"/>
        <v>35.47944489219546</v>
      </c>
      <c r="U53" s="116">
        <f>COUNTIF($A$2:$A$53,"PmPm")</f>
        <v>22</v>
      </c>
      <c r="V53" s="123">
        <f>T53-U53</f>
        <v>13.47944489219546</v>
      </c>
      <c r="W53" s="6"/>
    </row>
    <row r="54" spans="1:35" x14ac:dyDescent="0.3"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113"/>
      <c r="T54" s="124"/>
      <c r="U54" s="6"/>
      <c r="V54" s="6"/>
      <c r="W54" s="6"/>
    </row>
    <row r="55" spans="1:35" ht="23.4" x14ac:dyDescent="0.45">
      <c r="H55" s="126" t="s">
        <v>106</v>
      </c>
      <c r="I55" s="77" t="s">
        <v>107</v>
      </c>
      <c r="J55" s="6"/>
      <c r="K55" s="6"/>
      <c r="L55" s="6"/>
      <c r="M55" s="6"/>
      <c r="N55" s="6"/>
      <c r="O55" s="6"/>
      <c r="P55" s="6"/>
      <c r="Q55" s="6"/>
      <c r="R55" s="93">
        <v>10</v>
      </c>
      <c r="S55" s="6"/>
      <c r="T55" s="6"/>
      <c r="U55" s="6"/>
      <c r="V55" s="6"/>
    </row>
    <row r="56" spans="1:35" x14ac:dyDescent="0.3">
      <c r="H56" s="6"/>
      <c r="I56" s="6"/>
      <c r="J56" s="6"/>
      <c r="K56" s="6"/>
      <c r="L56" s="6"/>
      <c r="M56" s="6"/>
      <c r="N56" s="6"/>
      <c r="O56" s="6"/>
      <c r="P56" s="6"/>
      <c r="Q56" s="48" t="s">
        <v>42</v>
      </c>
      <c r="R56" s="6"/>
      <c r="S56" s="6"/>
      <c r="T56" s="6"/>
      <c r="U56" s="6"/>
      <c r="V56" s="6"/>
    </row>
    <row r="57" spans="1:35" x14ac:dyDescent="0.3">
      <c r="H57" s="6"/>
      <c r="I57" s="6"/>
      <c r="J57" s="6"/>
      <c r="K57" s="6"/>
      <c r="L57" s="6"/>
      <c r="M57" s="6"/>
      <c r="N57" s="6"/>
      <c r="O57" s="6"/>
      <c r="P57" s="6"/>
      <c r="Q57" s="105">
        <f>S29</f>
        <v>33.695048505887847</v>
      </c>
      <c r="R57" s="6"/>
      <c r="S57" s="6"/>
      <c r="T57" s="6"/>
      <c r="U57" s="6"/>
      <c r="V57" s="6"/>
    </row>
    <row r="58" spans="1:35" ht="16.2" x14ac:dyDescent="0.3">
      <c r="H58" s="6"/>
      <c r="I58" s="6"/>
      <c r="J58" s="6"/>
      <c r="K58" s="6"/>
      <c r="L58" s="6"/>
      <c r="M58" s="6"/>
      <c r="N58" s="6"/>
      <c r="O58" s="6"/>
      <c r="P58" s="6"/>
      <c r="R58" s="47" t="s">
        <v>40</v>
      </c>
      <c r="S58" s="47" t="s">
        <v>44</v>
      </c>
      <c r="T58" s="78" t="s">
        <v>108</v>
      </c>
      <c r="U58" s="78" t="s">
        <v>111</v>
      </c>
      <c r="V58" s="6"/>
    </row>
    <row r="59" spans="1:35" x14ac:dyDescent="0.3">
      <c r="H59" s="6"/>
      <c r="I59" s="6"/>
      <c r="J59" s="6"/>
      <c r="K59" s="6"/>
      <c r="L59" s="6"/>
      <c r="M59" s="6"/>
      <c r="N59" s="6"/>
      <c r="O59" s="6"/>
      <c r="P59" s="6"/>
      <c r="Q59" s="52" t="s">
        <v>20</v>
      </c>
      <c r="R59" s="55">
        <f>S50</f>
        <v>0.12</v>
      </c>
      <c r="S59" s="54">
        <f>T24</f>
        <v>10.828583729418593</v>
      </c>
      <c r="T59" s="56">
        <f>R59*S59</f>
        <v>1.2994300475302312</v>
      </c>
      <c r="U59" s="56">
        <f>R59*S59^2</f>
        <v>14.07098707020349</v>
      </c>
      <c r="V59" s="6"/>
    </row>
    <row r="60" spans="1:35" x14ac:dyDescent="0.3">
      <c r="H60" s="6"/>
      <c r="I60" s="6"/>
      <c r="J60" s="6"/>
      <c r="K60" s="6"/>
      <c r="L60" s="6"/>
      <c r="M60" s="6"/>
      <c r="N60" s="6"/>
      <c r="O60" s="6"/>
      <c r="P60" s="6"/>
      <c r="Q60" s="57" t="s">
        <v>18</v>
      </c>
      <c r="R60" s="55">
        <f>S51</f>
        <v>0.35166666666666668</v>
      </c>
      <c r="S60" s="54">
        <f>T25</f>
        <v>17.976662506640245</v>
      </c>
      <c r="T60" s="56">
        <f t="shared" ref="T60:T62" si="8">R60*S60</f>
        <v>6.3217929815018197</v>
      </c>
      <c r="U60" s="56">
        <f t="shared" ref="U60:U62" si="9">R60*S60^2</f>
        <v>113.64473886530521</v>
      </c>
      <c r="V60" s="6"/>
    </row>
    <row r="61" spans="1:35" x14ac:dyDescent="0.3">
      <c r="H61" s="6"/>
      <c r="I61" s="6"/>
      <c r="J61" s="6"/>
      <c r="K61" s="6"/>
      <c r="L61" s="6"/>
      <c r="M61" s="6"/>
      <c r="N61" s="6"/>
      <c r="O61" s="6"/>
      <c r="P61" s="6"/>
      <c r="Q61" s="58" t="s">
        <v>22</v>
      </c>
      <c r="R61" s="55">
        <f>S52</f>
        <v>0.185</v>
      </c>
      <c r="S61" s="54">
        <f>T26</f>
        <v>11.424612301508855</v>
      </c>
      <c r="T61" s="56">
        <f t="shared" si="8"/>
        <v>2.1135532757791382</v>
      </c>
      <c r="U61" s="56">
        <f t="shared" si="9"/>
        <v>24.146526754360682</v>
      </c>
      <c r="V61" s="6"/>
    </row>
    <row r="62" spans="1:35" x14ac:dyDescent="0.3">
      <c r="H62" s="6"/>
      <c r="I62" s="6"/>
      <c r="J62" s="6"/>
      <c r="K62" s="6"/>
      <c r="L62" s="6"/>
      <c r="M62" s="6"/>
      <c r="N62" s="6"/>
      <c r="O62" s="6"/>
      <c r="P62" s="6"/>
      <c r="Q62" s="59" t="s">
        <v>19</v>
      </c>
      <c r="R62" s="55">
        <f>S53</f>
        <v>0.32</v>
      </c>
      <c r="S62" s="54">
        <f>T27</f>
        <v>25.62143759415223</v>
      </c>
      <c r="T62" s="56">
        <f t="shared" si="8"/>
        <v>8.1988600301287136</v>
      </c>
      <c r="U62" s="56">
        <f t="shared" si="9"/>
        <v>210.06658060513189</v>
      </c>
      <c r="V62" s="6"/>
    </row>
    <row r="63" spans="1:35" x14ac:dyDescent="0.3"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56">
        <f>SUM(T59:T62)</f>
        <v>17.933636334939905</v>
      </c>
      <c r="U63" s="130">
        <f>SUM(U59:U62)</f>
        <v>361.92883329500125</v>
      </c>
      <c r="V63" s="131" t="s">
        <v>93</v>
      </c>
    </row>
    <row r="64" spans="1:35" x14ac:dyDescent="0.3">
      <c r="H64" s="6"/>
      <c r="I64" s="6"/>
      <c r="J64" s="6"/>
      <c r="K64" s="6"/>
      <c r="L64" s="6"/>
      <c r="M64" s="6"/>
      <c r="N64" s="6"/>
      <c r="O64" s="6"/>
      <c r="P64" s="6"/>
      <c r="Q64" s="53" t="s">
        <v>7</v>
      </c>
      <c r="R64" s="6"/>
      <c r="S64" s="129" t="s">
        <v>110</v>
      </c>
      <c r="T64" s="128">
        <f>T63^2</f>
        <v>321.61531219387678</v>
      </c>
      <c r="U64" s="6"/>
      <c r="V64" s="6"/>
    </row>
    <row r="65" spans="7:22" x14ac:dyDescent="0.3">
      <c r="H65" s="6"/>
      <c r="I65" s="6"/>
      <c r="J65" s="6"/>
      <c r="K65" s="6"/>
      <c r="L65" s="6"/>
      <c r="M65" s="6"/>
      <c r="N65" s="6"/>
      <c r="O65" s="6"/>
      <c r="P65" s="6"/>
      <c r="Q65" s="53">
        <f>W29</f>
        <v>1172</v>
      </c>
      <c r="R65" s="6"/>
      <c r="S65" s="6"/>
      <c r="T65" s="6"/>
      <c r="U65" s="6"/>
      <c r="V65" s="6"/>
    </row>
    <row r="66" spans="7:22" x14ac:dyDescent="0.3">
      <c r="H66" s="6"/>
      <c r="I66" s="6"/>
      <c r="J66" s="6"/>
      <c r="K66" s="6"/>
      <c r="L66" s="6"/>
      <c r="M66" s="6"/>
      <c r="N66" s="6"/>
      <c r="O66" s="6"/>
      <c r="P66" s="6"/>
      <c r="Q66" s="6"/>
      <c r="R66" s="106" t="s">
        <v>89</v>
      </c>
      <c r="S66" s="6"/>
      <c r="T66" s="6"/>
      <c r="U66" s="6"/>
      <c r="V66" s="6"/>
    </row>
    <row r="67" spans="7:22" ht="16.2" x14ac:dyDescent="0.3">
      <c r="H67" s="6"/>
      <c r="I67" s="6"/>
      <c r="J67" s="6"/>
      <c r="K67" s="6"/>
      <c r="L67" s="6"/>
      <c r="M67" s="6"/>
      <c r="N67" s="6"/>
      <c r="O67" s="6"/>
      <c r="P67" s="6"/>
      <c r="Q67" s="6"/>
      <c r="R67" s="101" t="s">
        <v>90</v>
      </c>
      <c r="S67" s="76">
        <f>U31^2</f>
        <v>3.8414588206941236</v>
      </c>
      <c r="T67" s="6"/>
      <c r="U67" s="6"/>
      <c r="V67" s="6"/>
    </row>
    <row r="68" spans="7:22" x14ac:dyDescent="0.3">
      <c r="H68" s="6"/>
      <c r="I68" s="6"/>
      <c r="J68" s="6"/>
      <c r="K68" s="6"/>
      <c r="L68" s="6"/>
      <c r="M68" s="6"/>
      <c r="N68" s="6"/>
      <c r="O68" s="6"/>
      <c r="P68" s="6"/>
      <c r="Q68" s="6"/>
      <c r="R68" s="53" t="s">
        <v>110</v>
      </c>
      <c r="S68" s="56">
        <f>T64</f>
        <v>321.61531219387678</v>
      </c>
      <c r="T68" s="6"/>
      <c r="U68" s="6"/>
      <c r="V68" s="6"/>
    </row>
    <row r="69" spans="7:22" x14ac:dyDescent="0.3">
      <c r="H69" s="6"/>
      <c r="I69" s="6"/>
      <c r="J69" s="6"/>
      <c r="K69" s="6"/>
      <c r="L69" s="6"/>
      <c r="M69" s="6"/>
      <c r="N69" s="6"/>
      <c r="O69" s="6"/>
      <c r="P69" s="6"/>
      <c r="Q69" s="6"/>
      <c r="R69" s="53" t="s">
        <v>109</v>
      </c>
      <c r="S69" s="56">
        <f>S67*S68</f>
        <v>1235.4719778974622</v>
      </c>
      <c r="T69" s="6"/>
      <c r="U69" s="6"/>
      <c r="V69" s="6"/>
    </row>
    <row r="70" spans="7:22" x14ac:dyDescent="0.3">
      <c r="H70" s="6"/>
      <c r="I70" s="6"/>
      <c r="J70" s="6"/>
      <c r="K70" s="6"/>
      <c r="L70" s="6"/>
      <c r="M70" s="6"/>
      <c r="N70" s="134" t="s">
        <v>112</v>
      </c>
      <c r="O70" s="134"/>
      <c r="P70" s="109"/>
      <c r="Q70" s="112"/>
      <c r="R70" s="5" t="s">
        <v>94</v>
      </c>
      <c r="S70" s="6"/>
      <c r="T70" s="6"/>
      <c r="U70" s="6"/>
      <c r="V70" s="6"/>
    </row>
    <row r="71" spans="7:22" ht="16.2" x14ac:dyDescent="0.3">
      <c r="H71" s="6"/>
      <c r="I71" s="6"/>
      <c r="J71" s="6"/>
      <c r="K71" s="6"/>
      <c r="L71" s="6"/>
      <c r="M71" s="6"/>
      <c r="N71" s="134"/>
      <c r="O71" s="134"/>
      <c r="P71" s="121" t="s">
        <v>96</v>
      </c>
      <c r="Q71" s="120">
        <f>S69/S74</f>
        <v>98.523622738080348</v>
      </c>
      <c r="R71" s="101" t="s">
        <v>90</v>
      </c>
      <c r="S71" s="76">
        <f>S67</f>
        <v>3.8414588206941236</v>
      </c>
      <c r="T71" s="6"/>
      <c r="U71" s="6"/>
      <c r="V71" s="6"/>
    </row>
    <row r="72" spans="7:22" x14ac:dyDescent="0.3">
      <c r="H72" s="6"/>
      <c r="I72" s="6"/>
      <c r="J72" s="6"/>
      <c r="K72" s="6"/>
      <c r="L72" s="6"/>
      <c r="M72" s="6"/>
      <c r="N72" s="134"/>
      <c r="O72" s="134"/>
      <c r="R72" s="132" t="s">
        <v>54</v>
      </c>
      <c r="S72" s="54">
        <f>(Q57*R55/100)^2</f>
        <v>11.35356293814135</v>
      </c>
      <c r="T72" s="6"/>
      <c r="U72" s="6"/>
      <c r="V72" s="6"/>
    </row>
    <row r="73" spans="7:22" x14ac:dyDescent="0.3">
      <c r="H73" s="6"/>
      <c r="I73" s="6"/>
      <c r="J73" s="6"/>
      <c r="K73" s="6"/>
      <c r="L73" s="6"/>
      <c r="M73" s="6"/>
      <c r="N73" s="6"/>
      <c r="O73" s="6"/>
      <c r="P73" s="6"/>
      <c r="Q73" s="6"/>
      <c r="R73" s="133" t="s">
        <v>93</v>
      </c>
      <c r="S73" s="54">
        <f>U63*S71/Q65</f>
        <v>1.1862924139288529</v>
      </c>
      <c r="T73" s="6"/>
      <c r="U73" s="6"/>
      <c r="V73" s="6"/>
    </row>
    <row r="74" spans="7:22" ht="14.4" customHeight="1" x14ac:dyDescent="0.3">
      <c r="H74" s="135" t="s">
        <v>114</v>
      </c>
      <c r="I74" s="135"/>
      <c r="J74" s="135"/>
      <c r="K74" s="135"/>
      <c r="L74" s="135"/>
      <c r="M74" s="135"/>
      <c r="N74" s="135"/>
      <c r="O74" s="135"/>
      <c r="P74" s="135"/>
      <c r="Q74" s="135"/>
      <c r="R74" s="53" t="s">
        <v>95</v>
      </c>
      <c r="S74" s="54">
        <f>(S72+S73)</f>
        <v>12.539855352070202</v>
      </c>
      <c r="T74" s="6"/>
      <c r="U74" s="6"/>
      <c r="V74" s="6"/>
    </row>
    <row r="75" spans="7:22" x14ac:dyDescent="0.3"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6"/>
      <c r="S75" s="6"/>
      <c r="T75" s="6"/>
      <c r="U75" s="6"/>
      <c r="V75" s="6"/>
    </row>
    <row r="76" spans="7:22" x14ac:dyDescent="0.3">
      <c r="H76" s="135"/>
      <c r="I76" s="135"/>
      <c r="J76" s="135"/>
      <c r="K76" s="135"/>
      <c r="L76" s="135"/>
      <c r="M76" s="135"/>
      <c r="N76" s="135"/>
      <c r="O76" s="135"/>
      <c r="P76" s="135"/>
      <c r="Q76" s="135"/>
    </row>
    <row r="77" spans="7:22" x14ac:dyDescent="0.3">
      <c r="H77" s="135"/>
      <c r="I77" s="135"/>
      <c r="J77" s="135"/>
      <c r="K77" s="135"/>
      <c r="L77" s="135"/>
      <c r="M77" s="135"/>
      <c r="N77" s="135"/>
      <c r="O77" s="135"/>
      <c r="P77" s="135"/>
      <c r="Q77" s="135"/>
    </row>
    <row r="78" spans="7:22" x14ac:dyDescent="0.3">
      <c r="G78" t="s">
        <v>113</v>
      </c>
    </row>
  </sheetData>
  <sortState ref="A2:G54">
    <sortCondition ref="A2:A54"/>
    <sortCondition ref="B2:B54"/>
  </sortState>
  <mergeCells count="7">
    <mergeCell ref="H74:Q77"/>
    <mergeCell ref="N70:O72"/>
    <mergeCell ref="Q8:S14"/>
    <mergeCell ref="AB15:AF27"/>
    <mergeCell ref="I32:R35"/>
    <mergeCell ref="Q46:R48"/>
    <mergeCell ref="Q49:R49"/>
  </mergeCells>
  <pageMargins left="0.7" right="0.7" top="0.75" bottom="0.75" header="0.3" footer="0.3"/>
  <pageSetup paperSize="9" orientation="portrait" horizontalDpi="300" verticalDpi="300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r:id="rId6">
            <anchor moveWithCells="1">
              <from>
                <xdr:col>19</xdr:col>
                <xdr:colOff>228600</xdr:colOff>
                <xdr:row>15</xdr:row>
                <xdr:rowOff>144780</xdr:rowOff>
              </from>
              <to>
                <xdr:col>23</xdr:col>
                <xdr:colOff>571500</xdr:colOff>
                <xdr:row>20</xdr:row>
                <xdr:rowOff>91440</xdr:rowOff>
              </to>
            </anchor>
          </objectPr>
        </oleObject>
      </mc:Choice>
      <mc:Fallback>
        <oleObject shapeId="1025" r:id="rId5"/>
      </mc:Fallback>
    </mc:AlternateContent>
    <mc:AlternateContent xmlns:mc="http://schemas.openxmlformats.org/markup-compatibility/2006">
      <mc:Choice Requires="x14">
        <oleObject shapeId="1026" r:id="rId7">
          <objectPr defaultSize="0" r:id="rId8">
            <anchor moveWithCells="1">
              <from>
                <xdr:col>27</xdr:col>
                <xdr:colOff>525780</xdr:colOff>
                <xdr:row>28</xdr:row>
                <xdr:rowOff>45720</xdr:rowOff>
              </from>
              <to>
                <xdr:col>31</xdr:col>
                <xdr:colOff>190500</xdr:colOff>
                <xdr:row>31</xdr:row>
                <xdr:rowOff>129540</xdr:rowOff>
              </to>
            </anchor>
          </objectPr>
        </oleObject>
      </mc:Choice>
      <mc:Fallback>
        <oleObject shapeId="1026" r:id="rId7"/>
      </mc:Fallback>
    </mc:AlternateContent>
    <mc:AlternateContent xmlns:mc="http://schemas.openxmlformats.org/markup-compatibility/2006">
      <mc:Choice Requires="x14">
        <oleObject shapeId="1027" r:id="rId9">
          <objectPr defaultSize="0" autoPict="0" r:id="rId10">
            <anchor moveWithCells="1">
              <from>
                <xdr:col>27</xdr:col>
                <xdr:colOff>541020</xdr:colOff>
                <xdr:row>32</xdr:row>
                <xdr:rowOff>45720</xdr:rowOff>
              </from>
              <to>
                <xdr:col>31</xdr:col>
                <xdr:colOff>190500</xdr:colOff>
                <xdr:row>36</xdr:row>
                <xdr:rowOff>114300</xdr:rowOff>
              </to>
            </anchor>
          </objectPr>
        </oleObject>
      </mc:Choice>
      <mc:Fallback>
        <oleObject shapeId="1027" r:id="rId9"/>
      </mc:Fallback>
    </mc:AlternateContent>
    <mc:AlternateContent xmlns:mc="http://schemas.openxmlformats.org/markup-compatibility/2006">
      <mc:Choice Requires="x14">
        <oleObject shapeId="1028" r:id="rId11">
          <objectPr defaultSize="0" r:id="rId12">
            <anchor moveWithCells="1">
              <from>
                <xdr:col>12</xdr:col>
                <xdr:colOff>876300</xdr:colOff>
                <xdr:row>15</xdr:row>
                <xdr:rowOff>266700</xdr:rowOff>
              </from>
              <to>
                <xdr:col>19</xdr:col>
                <xdr:colOff>190500</xdr:colOff>
                <xdr:row>20</xdr:row>
                <xdr:rowOff>99060</xdr:rowOff>
              </to>
            </anchor>
          </objectPr>
        </oleObject>
      </mc:Choice>
      <mc:Fallback>
        <oleObject shapeId="1028" r:id="rId11"/>
      </mc:Fallback>
    </mc:AlternateContent>
    <mc:AlternateContent xmlns:mc="http://schemas.openxmlformats.org/markup-compatibility/2006">
      <mc:Choice Requires="x14">
        <oleObject shapeId="1029" r:id="rId13">
          <objectPr defaultSize="0" r:id="rId14">
            <anchor moveWithCells="1">
              <from>
                <xdr:col>8</xdr:col>
                <xdr:colOff>15240</xdr:colOff>
                <xdr:row>37</xdr:row>
                <xdr:rowOff>7620</xdr:rowOff>
              </from>
              <to>
                <xdr:col>15</xdr:col>
                <xdr:colOff>487680</xdr:colOff>
                <xdr:row>47</xdr:row>
                <xdr:rowOff>167640</xdr:rowOff>
              </to>
            </anchor>
          </objectPr>
        </oleObject>
      </mc:Choice>
      <mc:Fallback>
        <oleObject shapeId="1029" r:id="rId13"/>
      </mc:Fallback>
    </mc:AlternateContent>
    <mc:AlternateContent xmlns:mc="http://schemas.openxmlformats.org/markup-compatibility/2006">
      <mc:Choice Requires="x14">
        <oleObject shapeId="1030" r:id="rId15">
          <objectPr defaultSize="0" autoPict="0" r:id="rId16">
            <anchor moveWithCells="1">
              <from>
                <xdr:col>8</xdr:col>
                <xdr:colOff>30480</xdr:colOff>
                <xdr:row>55</xdr:row>
                <xdr:rowOff>45720</xdr:rowOff>
              </from>
              <to>
                <xdr:col>15</xdr:col>
                <xdr:colOff>449580</xdr:colOff>
                <xdr:row>66</xdr:row>
                <xdr:rowOff>167640</xdr:rowOff>
              </to>
            </anchor>
          </objectPr>
        </oleObject>
      </mc:Choice>
      <mc:Fallback>
        <oleObject shapeId="1030" r:id="rId1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H5" sqref="H5"/>
    </sheetView>
  </sheetViews>
  <sheetFormatPr defaultRowHeight="14.4" x14ac:dyDescent="0.3"/>
  <cols>
    <col min="1" max="3" width="8.88671875" style="7"/>
    <col min="5" max="6" width="8.88671875" style="98"/>
  </cols>
  <sheetData>
    <row r="1" spans="1:8" x14ac:dyDescent="0.3">
      <c r="A1" s="7" t="s">
        <v>27</v>
      </c>
      <c r="B1" s="7" t="s">
        <v>30</v>
      </c>
      <c r="C1" s="7" t="s">
        <v>28</v>
      </c>
      <c r="D1" s="7" t="s">
        <v>34</v>
      </c>
      <c r="E1" s="125" t="s">
        <v>7</v>
      </c>
      <c r="F1" s="125" t="s">
        <v>8</v>
      </c>
    </row>
    <row r="2" spans="1:8" x14ac:dyDescent="0.3">
      <c r="A2" s="12">
        <v>85</v>
      </c>
      <c r="B2" s="12" t="s">
        <v>20</v>
      </c>
      <c r="C2" s="12">
        <v>500</v>
      </c>
      <c r="D2" s="14">
        <v>35.451909197455286</v>
      </c>
      <c r="E2" s="98">
        <v>220</v>
      </c>
      <c r="F2" s="98">
        <v>13.910689259298829</v>
      </c>
      <c r="G2">
        <v>1</v>
      </c>
      <c r="H2" t="s">
        <v>101</v>
      </c>
    </row>
    <row r="3" spans="1:8" x14ac:dyDescent="0.3">
      <c r="A3" s="12">
        <v>86</v>
      </c>
      <c r="B3" s="12" t="s">
        <v>20</v>
      </c>
      <c r="C3" s="12">
        <v>500</v>
      </c>
      <c r="D3" s="14">
        <v>53.034783641586607</v>
      </c>
      <c r="E3" s="98">
        <v>320</v>
      </c>
      <c r="F3" s="98">
        <v>21.14251422307499</v>
      </c>
      <c r="G3">
        <v>2</v>
      </c>
      <c r="H3" t="s">
        <v>102</v>
      </c>
    </row>
    <row r="4" spans="1:8" x14ac:dyDescent="0.3">
      <c r="A4" s="12">
        <v>103</v>
      </c>
      <c r="B4" s="12" t="s">
        <v>20</v>
      </c>
      <c r="C4" s="12">
        <v>500</v>
      </c>
      <c r="D4" s="14">
        <v>30.219612073810339</v>
      </c>
      <c r="E4" s="98">
        <v>560</v>
      </c>
      <c r="F4" s="98">
        <v>17.351797574979571</v>
      </c>
      <c r="G4">
        <v>3</v>
      </c>
      <c r="H4" t="s">
        <v>103</v>
      </c>
    </row>
    <row r="5" spans="1:8" x14ac:dyDescent="0.3">
      <c r="A5" s="12">
        <v>104</v>
      </c>
      <c r="B5" s="12" t="s">
        <v>20</v>
      </c>
      <c r="C5" s="12">
        <v>500</v>
      </c>
      <c r="D5" s="14">
        <v>25.064752250504672</v>
      </c>
      <c r="E5" s="98">
        <v>860</v>
      </c>
      <c r="F5" s="98">
        <v>15.348105321273399</v>
      </c>
    </row>
    <row r="6" spans="1:8" x14ac:dyDescent="0.3">
      <c r="A6" s="12">
        <v>114</v>
      </c>
      <c r="B6" s="12" t="s">
        <v>20</v>
      </c>
      <c r="C6" s="12">
        <v>500</v>
      </c>
      <c r="D6" s="14">
        <v>30.28931170832977</v>
      </c>
      <c r="E6" s="98">
        <v>660</v>
      </c>
      <c r="F6" s="98">
        <v>18.147531742151521</v>
      </c>
    </row>
    <row r="7" spans="1:8" x14ac:dyDescent="0.3">
      <c r="A7" s="15">
        <v>38</v>
      </c>
      <c r="B7" s="15" t="s">
        <v>18</v>
      </c>
      <c r="C7" s="15">
        <v>500</v>
      </c>
      <c r="D7" s="16">
        <v>37.350753480406638</v>
      </c>
      <c r="E7" s="98">
        <v>420</v>
      </c>
      <c r="F7" s="98">
        <v>16.34564371126374</v>
      </c>
    </row>
    <row r="8" spans="1:8" x14ac:dyDescent="0.3">
      <c r="A8" s="15">
        <v>48</v>
      </c>
      <c r="B8" s="15" t="s">
        <v>18</v>
      </c>
      <c r="C8" s="15">
        <v>500</v>
      </c>
      <c r="D8" s="16">
        <v>19.745183723127798</v>
      </c>
      <c r="E8" s="98">
        <v>200</v>
      </c>
      <c r="F8" s="98">
        <v>10.112818110772199</v>
      </c>
    </row>
    <row r="9" spans="1:8" x14ac:dyDescent="0.3">
      <c r="A9" s="15">
        <v>49</v>
      </c>
      <c r="B9" s="15" t="s">
        <v>18</v>
      </c>
      <c r="C9" s="15">
        <v>500</v>
      </c>
      <c r="D9" s="16">
        <v>63.643349024866048</v>
      </c>
      <c r="E9" s="98">
        <v>380</v>
      </c>
      <c r="F9" s="98">
        <v>25.13565507229297</v>
      </c>
    </row>
    <row r="10" spans="1:8" x14ac:dyDescent="0.3">
      <c r="A10" s="15">
        <v>60</v>
      </c>
      <c r="B10" s="15" t="s">
        <v>18</v>
      </c>
      <c r="C10" s="15">
        <v>500</v>
      </c>
      <c r="D10" s="16">
        <v>7.9577757613083273</v>
      </c>
      <c r="E10" s="98">
        <v>60</v>
      </c>
      <c r="F10" s="98">
        <v>3.7952247400164612</v>
      </c>
    </row>
    <row r="11" spans="1:8" x14ac:dyDescent="0.3">
      <c r="A11" s="15">
        <v>97</v>
      </c>
      <c r="B11" s="15" t="s">
        <v>18</v>
      </c>
      <c r="C11" s="15">
        <v>500</v>
      </c>
      <c r="D11" s="16">
        <v>43.865264132195477</v>
      </c>
      <c r="E11" s="98">
        <v>220</v>
      </c>
      <c r="F11" s="98">
        <v>17.01071938453434</v>
      </c>
    </row>
    <row r="12" spans="1:8" x14ac:dyDescent="0.3">
      <c r="A12" s="15">
        <v>105</v>
      </c>
      <c r="B12" s="15" t="s">
        <v>18</v>
      </c>
      <c r="C12" s="15">
        <v>500</v>
      </c>
      <c r="D12" s="16">
        <v>40.830994718934058</v>
      </c>
      <c r="E12" s="98">
        <v>620</v>
      </c>
      <c r="F12" s="98">
        <v>20.141999489477641</v>
      </c>
    </row>
    <row r="13" spans="1:8" x14ac:dyDescent="0.3">
      <c r="A13" s="15">
        <v>107</v>
      </c>
      <c r="B13" s="15" t="s">
        <v>18</v>
      </c>
      <c r="C13" s="15">
        <v>500</v>
      </c>
      <c r="D13" s="16">
        <v>10.236112358804039</v>
      </c>
      <c r="E13" s="98">
        <v>180</v>
      </c>
      <c r="F13" s="98">
        <v>5.5544498030073326</v>
      </c>
    </row>
    <row r="14" spans="1:8" x14ac:dyDescent="0.3">
      <c r="A14" s="15">
        <v>116</v>
      </c>
      <c r="B14" s="15" t="s">
        <v>18</v>
      </c>
      <c r="C14" s="15">
        <v>500</v>
      </c>
      <c r="D14" s="16">
        <v>34.909987501749683</v>
      </c>
      <c r="E14" s="98">
        <v>680</v>
      </c>
      <c r="F14" s="98">
        <v>18.862950982033212</v>
      </c>
    </row>
    <row r="15" spans="1:8" x14ac:dyDescent="0.3">
      <c r="A15" s="15">
        <v>118</v>
      </c>
      <c r="B15" s="15" t="s">
        <v>18</v>
      </c>
      <c r="C15" s="15">
        <v>500</v>
      </c>
      <c r="D15" s="16">
        <v>54.579156431252471</v>
      </c>
      <c r="E15" s="98">
        <v>300</v>
      </c>
      <c r="F15" s="98">
        <v>21.809002935182001</v>
      </c>
    </row>
    <row r="16" spans="1:8" x14ac:dyDescent="0.3">
      <c r="A16" s="15">
        <v>119</v>
      </c>
      <c r="B16" s="15" t="s">
        <v>18</v>
      </c>
      <c r="C16" s="15">
        <v>500</v>
      </c>
      <c r="D16" s="16">
        <v>33.777729282754763</v>
      </c>
      <c r="E16" s="98">
        <v>260</v>
      </c>
      <c r="F16" s="98">
        <v>14.20566577522613</v>
      </c>
    </row>
    <row r="17" spans="1:6" x14ac:dyDescent="0.3">
      <c r="A17" s="15">
        <v>129</v>
      </c>
      <c r="B17" s="15" t="s">
        <v>18</v>
      </c>
      <c r="C17" s="15">
        <v>500</v>
      </c>
      <c r="D17" s="16">
        <v>18.967682208652253</v>
      </c>
      <c r="E17" s="98">
        <v>120</v>
      </c>
      <c r="F17" s="98">
        <v>8.6694844836617513</v>
      </c>
    </row>
    <row r="18" spans="1:6" x14ac:dyDescent="0.3">
      <c r="A18" s="15">
        <v>138</v>
      </c>
      <c r="B18" s="15" t="s">
        <v>18</v>
      </c>
      <c r="C18" s="15">
        <v>500</v>
      </c>
      <c r="D18" s="16">
        <v>54.928213132559392</v>
      </c>
      <c r="E18" s="98">
        <v>520</v>
      </c>
      <c r="F18" s="98">
        <v>25.381099661547459</v>
      </c>
    </row>
    <row r="19" spans="1:6" x14ac:dyDescent="0.3">
      <c r="A19" s="19">
        <v>37</v>
      </c>
      <c r="B19" s="19" t="s">
        <v>22</v>
      </c>
      <c r="C19" s="19">
        <v>500</v>
      </c>
      <c r="D19" s="20">
        <v>15.68703739177467</v>
      </c>
      <c r="E19" s="98">
        <v>780</v>
      </c>
      <c r="F19" s="98">
        <v>11.487904938112401</v>
      </c>
    </row>
    <row r="20" spans="1:6" x14ac:dyDescent="0.3">
      <c r="A20" s="19">
        <v>95</v>
      </c>
      <c r="B20" s="19" t="s">
        <v>22</v>
      </c>
      <c r="C20" s="19">
        <v>500</v>
      </c>
      <c r="D20" s="20">
        <v>2.310087709709987</v>
      </c>
      <c r="E20" s="98">
        <v>240</v>
      </c>
      <c r="F20" s="98">
        <v>2.008966050787945</v>
      </c>
    </row>
    <row r="21" spans="1:6" x14ac:dyDescent="0.3">
      <c r="A21" s="19">
        <v>96</v>
      </c>
      <c r="B21" s="19" t="s">
        <v>22</v>
      </c>
      <c r="C21" s="19">
        <v>500</v>
      </c>
      <c r="D21" s="20">
        <v>13.334072420602769</v>
      </c>
      <c r="E21" s="98">
        <v>920</v>
      </c>
      <c r="F21" s="98">
        <v>10.28979595042864</v>
      </c>
    </row>
    <row r="22" spans="1:6" x14ac:dyDescent="0.3">
      <c r="A22" s="19">
        <v>106</v>
      </c>
      <c r="B22" s="19" t="s">
        <v>22</v>
      </c>
      <c r="C22" s="19">
        <v>500</v>
      </c>
      <c r="D22" s="20">
        <v>4.810878383966056</v>
      </c>
      <c r="E22" s="98">
        <v>440</v>
      </c>
      <c r="F22" s="98">
        <v>4.1643460057446857</v>
      </c>
    </row>
    <row r="23" spans="1:6" x14ac:dyDescent="0.3">
      <c r="A23" s="19">
        <v>108</v>
      </c>
      <c r="B23" s="19" t="s">
        <v>22</v>
      </c>
      <c r="C23" s="19">
        <v>500</v>
      </c>
      <c r="D23" s="20">
        <v>29.64589599809841</v>
      </c>
      <c r="E23" s="98">
        <v>420</v>
      </c>
      <c r="F23" s="98">
        <v>15.748191314660341</v>
      </c>
    </row>
    <row r="24" spans="1:6" x14ac:dyDescent="0.3">
      <c r="A24" s="19">
        <v>115</v>
      </c>
      <c r="B24" s="19" t="s">
        <v>22</v>
      </c>
      <c r="C24" s="19">
        <v>500</v>
      </c>
      <c r="D24" s="20">
        <v>5.7991406122461173</v>
      </c>
      <c r="E24" s="98">
        <v>500</v>
      </c>
      <c r="F24" s="98">
        <v>4.7746946163050152</v>
      </c>
    </row>
    <row r="25" spans="1:6" x14ac:dyDescent="0.3">
      <c r="A25" s="19">
        <v>117</v>
      </c>
      <c r="B25" s="19" t="s">
        <v>22</v>
      </c>
      <c r="C25" s="19">
        <v>500</v>
      </c>
      <c r="D25" s="20">
        <v>1.303056406121337</v>
      </c>
      <c r="E25" s="98">
        <v>180</v>
      </c>
      <c r="F25" s="98">
        <v>1.2280800109695691</v>
      </c>
    </row>
    <row r="26" spans="1:6" x14ac:dyDescent="0.3">
      <c r="A26" s="19">
        <v>126</v>
      </c>
      <c r="B26" s="19" t="s">
        <v>22</v>
      </c>
      <c r="C26" s="19">
        <v>500</v>
      </c>
      <c r="D26" s="20">
        <v>4.6676757863721683</v>
      </c>
      <c r="E26" s="98">
        <v>480</v>
      </c>
      <c r="F26" s="98">
        <v>4.2623715686294839</v>
      </c>
    </row>
    <row r="27" spans="1:6" x14ac:dyDescent="0.3">
      <c r="A27" s="19">
        <v>127</v>
      </c>
      <c r="B27" s="19" t="s">
        <v>22</v>
      </c>
      <c r="C27" s="19">
        <v>500</v>
      </c>
      <c r="D27" s="20">
        <v>7.9080063515267689</v>
      </c>
      <c r="E27" s="98">
        <v>360</v>
      </c>
      <c r="F27" s="98">
        <v>5.7366542276743013</v>
      </c>
    </row>
    <row r="28" spans="1:6" x14ac:dyDescent="0.3">
      <c r="A28" s="19">
        <v>128</v>
      </c>
      <c r="B28" s="19" t="s">
        <v>22</v>
      </c>
      <c r="C28" s="19">
        <v>500</v>
      </c>
      <c r="D28" s="20">
        <v>6.2392376119378934</v>
      </c>
      <c r="E28" s="98">
        <v>480</v>
      </c>
      <c r="F28" s="98">
        <v>5.3690761079770457</v>
      </c>
    </row>
    <row r="29" spans="1:6" x14ac:dyDescent="0.3">
      <c r="A29" s="19">
        <v>137</v>
      </c>
      <c r="B29" s="19" t="s">
        <v>22</v>
      </c>
      <c r="C29" s="19">
        <v>500</v>
      </c>
      <c r="D29" s="20">
        <v>36.04088759098353</v>
      </c>
      <c r="E29" s="98">
        <v>240</v>
      </c>
      <c r="F29" s="98">
        <v>16.1602902000276</v>
      </c>
    </row>
    <row r="30" spans="1:6" x14ac:dyDescent="0.3">
      <c r="A30" s="23">
        <v>40</v>
      </c>
      <c r="B30" s="23" t="s">
        <v>19</v>
      </c>
      <c r="C30" s="23">
        <v>500</v>
      </c>
      <c r="D30" s="24">
        <v>30.72728398347547</v>
      </c>
      <c r="E30" s="98">
        <v>200</v>
      </c>
      <c r="F30" s="98">
        <v>11.62914714197224</v>
      </c>
    </row>
    <row r="31" spans="1:6" x14ac:dyDescent="0.3">
      <c r="A31" s="23">
        <v>50</v>
      </c>
      <c r="B31" s="23" t="s">
        <v>19</v>
      </c>
      <c r="C31" s="23">
        <v>500</v>
      </c>
      <c r="D31" s="24">
        <v>39.542857077283422</v>
      </c>
      <c r="E31" s="98">
        <v>280</v>
      </c>
      <c r="F31" s="98">
        <v>15.32038515167263</v>
      </c>
    </row>
    <row r="32" spans="1:6" x14ac:dyDescent="0.3">
      <c r="A32" s="23">
        <v>51</v>
      </c>
      <c r="B32" s="23" t="s">
        <v>19</v>
      </c>
      <c r="C32" s="23">
        <v>500</v>
      </c>
      <c r="D32" s="24">
        <v>49.7464545766939</v>
      </c>
      <c r="E32" s="98">
        <v>100</v>
      </c>
      <c r="F32" s="98">
        <v>15.46324936192036</v>
      </c>
    </row>
    <row r="33" spans="1:6" x14ac:dyDescent="0.3">
      <c r="A33" s="23">
        <v>52</v>
      </c>
      <c r="B33" s="23" t="s">
        <v>19</v>
      </c>
      <c r="C33" s="23">
        <v>500</v>
      </c>
      <c r="D33" s="24">
        <v>122.73669410586329</v>
      </c>
      <c r="E33" s="98">
        <v>240</v>
      </c>
      <c r="F33" s="98">
        <v>32.807596581533943</v>
      </c>
    </row>
    <row r="34" spans="1:6" x14ac:dyDescent="0.3">
      <c r="A34" s="23">
        <v>53</v>
      </c>
      <c r="B34" s="23" t="s">
        <v>19</v>
      </c>
      <c r="C34" s="23">
        <v>500</v>
      </c>
      <c r="D34" s="24">
        <v>48.587673285911798</v>
      </c>
      <c r="E34" s="98">
        <v>220</v>
      </c>
      <c r="F34" s="98">
        <v>16.480740059371549</v>
      </c>
    </row>
    <row r="35" spans="1:6" x14ac:dyDescent="0.3">
      <c r="A35" s="23">
        <v>61</v>
      </c>
      <c r="B35" s="23" t="s">
        <v>19</v>
      </c>
      <c r="C35" s="23">
        <v>500</v>
      </c>
      <c r="D35" s="24">
        <v>52.050198893796697</v>
      </c>
      <c r="E35" s="98">
        <v>100</v>
      </c>
      <c r="F35" s="98">
        <v>16.03277263388004</v>
      </c>
    </row>
    <row r="36" spans="1:6" x14ac:dyDescent="0.3">
      <c r="A36" s="23">
        <v>62</v>
      </c>
      <c r="B36" s="23" t="s">
        <v>19</v>
      </c>
      <c r="C36" s="23">
        <v>500</v>
      </c>
      <c r="D36" s="24">
        <v>53.340068080008528</v>
      </c>
      <c r="E36" s="98">
        <v>120</v>
      </c>
      <c r="F36" s="98">
        <v>16.890286001483251</v>
      </c>
    </row>
    <row r="37" spans="1:6" x14ac:dyDescent="0.3">
      <c r="A37" s="23">
        <v>63</v>
      </c>
      <c r="B37" s="23" t="s">
        <v>19</v>
      </c>
      <c r="C37" s="23">
        <v>500</v>
      </c>
      <c r="D37" s="24">
        <v>29.84412285602415</v>
      </c>
      <c r="E37" s="98">
        <v>160</v>
      </c>
      <c r="F37" s="98">
        <v>10.854952831021301</v>
      </c>
    </row>
    <row r="38" spans="1:6" x14ac:dyDescent="0.3">
      <c r="A38" s="23">
        <v>64</v>
      </c>
      <c r="B38" s="23" t="s">
        <v>19</v>
      </c>
      <c r="C38" s="23">
        <v>500</v>
      </c>
      <c r="D38" s="24">
        <v>67.153820898890174</v>
      </c>
      <c r="E38" s="98">
        <v>120</v>
      </c>
      <c r="F38" s="98">
        <v>19.031795646624019</v>
      </c>
    </row>
    <row r="39" spans="1:6" x14ac:dyDescent="0.3">
      <c r="A39" s="23">
        <v>65</v>
      </c>
      <c r="B39" s="23" t="s">
        <v>19</v>
      </c>
      <c r="C39" s="23">
        <v>500</v>
      </c>
      <c r="D39" s="24">
        <v>34.85998539723677</v>
      </c>
      <c r="E39" s="98">
        <v>180</v>
      </c>
      <c r="F39" s="98">
        <v>12.860498596439916</v>
      </c>
    </row>
    <row r="40" spans="1:6" x14ac:dyDescent="0.3">
      <c r="A40" s="23">
        <v>70</v>
      </c>
      <c r="B40" s="23" t="s">
        <v>19</v>
      </c>
      <c r="C40" s="23">
        <v>500</v>
      </c>
      <c r="D40" s="24">
        <v>33.110519479657093</v>
      </c>
      <c r="E40" s="98">
        <v>200</v>
      </c>
      <c r="F40" s="98">
        <v>12.925199169265451</v>
      </c>
    </row>
    <row r="41" spans="1:6" x14ac:dyDescent="0.3">
      <c r="A41" s="23">
        <v>71</v>
      </c>
      <c r="B41" s="23" t="s">
        <v>19</v>
      </c>
      <c r="C41" s="23">
        <v>500</v>
      </c>
      <c r="D41" s="24">
        <v>25.091781591028482</v>
      </c>
      <c r="E41" s="98">
        <v>260</v>
      </c>
      <c r="F41" s="98">
        <v>11.272874955128342</v>
      </c>
    </row>
    <row r="42" spans="1:6" x14ac:dyDescent="0.3">
      <c r="A42" s="23">
        <v>72</v>
      </c>
      <c r="B42" s="23" t="s">
        <v>19</v>
      </c>
      <c r="C42" s="23">
        <v>500</v>
      </c>
      <c r="D42" s="24">
        <v>55.116452356687518</v>
      </c>
      <c r="E42" s="98">
        <v>100</v>
      </c>
      <c r="F42" s="98">
        <v>15.17069624422653</v>
      </c>
    </row>
    <row r="43" spans="1:6" x14ac:dyDescent="0.3">
      <c r="A43" s="23">
        <v>73</v>
      </c>
      <c r="B43" s="23" t="s">
        <v>19</v>
      </c>
      <c r="C43" s="23">
        <v>500</v>
      </c>
      <c r="D43" s="24">
        <v>56.252306103877977</v>
      </c>
      <c r="E43" s="98">
        <v>180</v>
      </c>
      <c r="F43" s="98">
        <v>17.568398794635769</v>
      </c>
    </row>
    <row r="44" spans="1:6" x14ac:dyDescent="0.3">
      <c r="A44" s="23">
        <v>74</v>
      </c>
      <c r="B44" s="23" t="s">
        <v>19</v>
      </c>
      <c r="C44" s="23">
        <v>500</v>
      </c>
      <c r="D44" s="24">
        <v>70.685678688665575</v>
      </c>
      <c r="E44" s="98">
        <v>140</v>
      </c>
      <c r="F44" s="98">
        <v>20.633210549654279</v>
      </c>
    </row>
    <row r="45" spans="1:6" x14ac:dyDescent="0.3">
      <c r="A45" s="23">
        <v>75</v>
      </c>
      <c r="B45" s="23" t="s">
        <v>19</v>
      </c>
      <c r="C45" s="23">
        <v>500</v>
      </c>
      <c r="D45" s="24">
        <v>96.210765908873498</v>
      </c>
      <c r="E45" s="98">
        <v>420</v>
      </c>
      <c r="F45" s="98">
        <v>32.752140598215163</v>
      </c>
    </row>
    <row r="46" spans="1:6" x14ac:dyDescent="0.3">
      <c r="A46" s="23">
        <v>76</v>
      </c>
      <c r="B46" s="23" t="s">
        <v>19</v>
      </c>
      <c r="C46" s="23">
        <v>500</v>
      </c>
      <c r="D46" s="24">
        <v>29.3249259169217</v>
      </c>
      <c r="E46" s="98">
        <v>160</v>
      </c>
      <c r="F46" s="98">
        <v>11.001885178631778</v>
      </c>
    </row>
    <row r="47" spans="1:6" x14ac:dyDescent="0.3">
      <c r="A47" s="23">
        <v>81</v>
      </c>
      <c r="B47" s="23" t="s">
        <v>19</v>
      </c>
      <c r="C47" s="23">
        <v>500</v>
      </c>
      <c r="D47" s="24">
        <v>3.0397794931660842</v>
      </c>
      <c r="E47" s="98">
        <v>80</v>
      </c>
      <c r="F47" s="98">
        <v>1.6171427062574399</v>
      </c>
    </row>
    <row r="48" spans="1:6" x14ac:dyDescent="0.3">
      <c r="A48" s="23">
        <v>82</v>
      </c>
      <c r="B48" s="23" t="s">
        <v>19</v>
      </c>
      <c r="C48" s="23">
        <v>500</v>
      </c>
      <c r="D48" s="24">
        <v>33.775956051177857</v>
      </c>
      <c r="E48" s="98">
        <v>160</v>
      </c>
      <c r="F48" s="98">
        <v>11.51034005170675</v>
      </c>
    </row>
    <row r="49" spans="1:6" x14ac:dyDescent="0.3">
      <c r="A49" s="23">
        <v>83</v>
      </c>
      <c r="B49" s="23" t="s">
        <v>19</v>
      </c>
      <c r="C49" s="23">
        <v>500</v>
      </c>
      <c r="D49" s="24">
        <v>28.807331676860876</v>
      </c>
      <c r="E49" s="98">
        <v>100</v>
      </c>
      <c r="F49" s="98">
        <v>9.3871926845919589</v>
      </c>
    </row>
    <row r="50" spans="1:6" x14ac:dyDescent="0.3">
      <c r="A50" s="23">
        <v>93</v>
      </c>
      <c r="B50" s="23" t="s">
        <v>19</v>
      </c>
      <c r="C50" s="23">
        <v>500</v>
      </c>
      <c r="D50" s="24">
        <v>41.619583608124017</v>
      </c>
      <c r="E50" s="98">
        <v>180</v>
      </c>
      <c r="F50" s="98">
        <v>14.63655466510372</v>
      </c>
    </row>
    <row r="51" spans="1:6" x14ac:dyDescent="0.3">
      <c r="A51" s="23">
        <v>94</v>
      </c>
      <c r="B51" s="23" t="s">
        <v>19</v>
      </c>
      <c r="C51" s="23">
        <v>500</v>
      </c>
      <c r="D51" s="24">
        <v>32.210440399595207</v>
      </c>
      <c r="E51" s="98">
        <v>140</v>
      </c>
      <c r="F51" s="98">
        <v>11.59202123929154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Pb</vt:lpstr>
      <vt:lpstr>Pm</vt:lpstr>
      <vt:lpstr>carbono_calculos_erro_amost</vt:lpstr>
      <vt:lpstr>exercicio_treino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magatome</dc:creator>
  <cp:lastModifiedBy>smb</cp:lastModifiedBy>
  <dcterms:created xsi:type="dcterms:W3CDTF">2023-05-24T11:50:40Z</dcterms:created>
  <dcterms:modified xsi:type="dcterms:W3CDTF">2025-12-19T16:18:13Z</dcterms:modified>
</cp:coreProperties>
</file>