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charts/chart1.xml" ContentType="application/vnd.openxmlformats-officedocument.drawingml.chart+xml"/>
  <Override PartName="/xl/drawings/drawing2.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charts/chart4.xml" ContentType="application/vnd.openxmlformats-officedocument.drawingml.chart+xml"/>
  <Override PartName="/xl/drawings/drawing4.xml" ContentType="application/vnd.openxmlformats-officedocument.drawing+xml"/>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LG_Backup\Susana\Aulas\4_ForestModels\2025-2026_ForModels\"/>
    </mc:Choice>
  </mc:AlternateContent>
  <bookViews>
    <workbookView xWindow="0" yWindow="0" windowWidth="20496" windowHeight="7692" firstSheet="1" activeTab="2"/>
  </bookViews>
  <sheets>
    <sheet name="YT_ThinnedVolume_solved" sheetId="4" r:id="rId1"/>
    <sheet name="YT_TotalVolume_solved" sheetId="1" r:id="rId2"/>
    <sheet name="TProd_vol_sec" sheetId="5" r:id="rId3"/>
    <sheet name="exercise_class" sheetId="2" r:id="rId4"/>
  </sheets>
  <externalReferences>
    <externalReference r:id="rId5"/>
  </externalReferences>
  <definedNames>
    <definedName name="FW" localSheetId="2">'[1]Tabela prod volume total'!$D$9</definedName>
    <definedName name="FW" localSheetId="0">'[1]Tabela prod volume total'!$D$9</definedName>
    <definedName name="Fw">YT_TotalVolume_solved!$B$8</definedName>
    <definedName name="Iqe">'[1]Tabela prod volume total'!$D$8</definedName>
    <definedName name="pdesb" localSheetId="2">TProd_vol_sec!$C$9</definedName>
    <definedName name="pdesb">YT_ThinnedVolume_solved!$D$9</definedName>
    <definedName name="S">YT_TotalVolume_solved!$B$7</definedName>
    <definedName name="T0desb">'[1]Tabela prod volume total'!$D$10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1" i="5" l="1"/>
  <c r="B310" i="5"/>
  <c r="A300" i="5"/>
  <c r="A301" i="5" s="1"/>
  <c r="B299" i="5"/>
  <c r="C298" i="5"/>
  <c r="B298" i="5"/>
  <c r="B294" i="5"/>
  <c r="B293" i="5"/>
  <c r="A283" i="5"/>
  <c r="A284" i="5" s="1"/>
  <c r="B282" i="5"/>
  <c r="C282" i="5" s="1"/>
  <c r="D282" i="5" s="1"/>
  <c r="C281" i="5"/>
  <c r="B281" i="5"/>
  <c r="B272" i="5"/>
  <c r="B271" i="5"/>
  <c r="A261" i="5"/>
  <c r="B260" i="5"/>
  <c r="C259" i="5"/>
  <c r="B259" i="5"/>
  <c r="B251" i="5"/>
  <c r="B250" i="5"/>
  <c r="A240" i="5"/>
  <c r="A241" i="5" s="1"/>
  <c r="B241" i="5" s="1"/>
  <c r="B239" i="5"/>
  <c r="C238" i="5"/>
  <c r="B238" i="5"/>
  <c r="B229" i="5"/>
  <c r="B228" i="5"/>
  <c r="A218" i="5"/>
  <c r="A219" i="5" s="1"/>
  <c r="B219" i="5" s="1"/>
  <c r="B217" i="5"/>
  <c r="C216" i="5"/>
  <c r="B216" i="5"/>
  <c r="B207" i="5"/>
  <c r="B206" i="5"/>
  <c r="A196" i="5"/>
  <c r="B195" i="5"/>
  <c r="C194" i="5"/>
  <c r="B194" i="5"/>
  <c r="B177" i="5"/>
  <c r="B176" i="5"/>
  <c r="A166" i="5"/>
  <c r="A167" i="5" s="1"/>
  <c r="A168" i="5" s="1"/>
  <c r="B165" i="5"/>
  <c r="C165" i="5" s="1"/>
  <c r="C164" i="5"/>
  <c r="B164" i="5"/>
  <c r="B157" i="5"/>
  <c r="B156" i="5"/>
  <c r="A146" i="5"/>
  <c r="B146" i="5" s="1"/>
  <c r="C145" i="5"/>
  <c r="B145" i="5"/>
  <c r="C144" i="5"/>
  <c r="B144" i="5"/>
  <c r="B131" i="5"/>
  <c r="G130" i="5"/>
  <c r="B130" i="5"/>
  <c r="G129" i="5"/>
  <c r="A120" i="5"/>
  <c r="C119" i="5"/>
  <c r="D119" i="5" s="1"/>
  <c r="E119" i="5" s="1"/>
  <c r="F119" i="5" s="1"/>
  <c r="B119" i="5"/>
  <c r="C118" i="5"/>
  <c r="B118" i="5"/>
  <c r="B111" i="5"/>
  <c r="B110" i="5"/>
  <c r="A100" i="5"/>
  <c r="A101" i="5" s="1"/>
  <c r="B101" i="5" s="1"/>
  <c r="B99" i="5"/>
  <c r="C98" i="5"/>
  <c r="B98" i="5"/>
  <c r="B86" i="5"/>
  <c r="B85" i="5"/>
  <c r="A75" i="5"/>
  <c r="B74" i="5"/>
  <c r="C73" i="5"/>
  <c r="B73" i="5"/>
  <c r="B66" i="5"/>
  <c r="B65" i="5"/>
  <c r="A55" i="5"/>
  <c r="A56" i="5" s="1"/>
  <c r="C54" i="5"/>
  <c r="B54" i="5"/>
  <c r="C53" i="5"/>
  <c r="B53" i="5"/>
  <c r="B45" i="5"/>
  <c r="B44" i="5"/>
  <c r="A34" i="5"/>
  <c r="A35" i="5" s="1"/>
  <c r="B33" i="5"/>
  <c r="C33" i="5" s="1"/>
  <c r="C32" i="5"/>
  <c r="B32" i="5"/>
  <c r="B27" i="5"/>
  <c r="B26" i="5"/>
  <c r="A16" i="5"/>
  <c r="B16" i="5" s="1"/>
  <c r="B15" i="5"/>
  <c r="B14" i="5"/>
  <c r="A17" i="5" l="1"/>
  <c r="A18" i="5" s="1"/>
  <c r="A19" i="5" s="1"/>
  <c r="A20" i="5" s="1"/>
  <c r="B34" i="5"/>
  <c r="C34" i="5" s="1"/>
  <c r="B100" i="5"/>
  <c r="B55" i="5"/>
  <c r="C100" i="5"/>
  <c r="B218" i="5"/>
  <c r="C218" i="5" s="1"/>
  <c r="D218" i="5" s="1"/>
  <c r="B240" i="5"/>
  <c r="B300" i="5"/>
  <c r="C300" i="5" s="1"/>
  <c r="D300" i="5" s="1"/>
  <c r="B283" i="5"/>
  <c r="C283" i="5" s="1"/>
  <c r="G282" i="5" s="1"/>
  <c r="H282" i="5" s="1"/>
  <c r="I282" i="5" s="1"/>
  <c r="B167" i="5"/>
  <c r="C167" i="5" s="1"/>
  <c r="C241" i="5"/>
  <c r="D241" i="5" s="1"/>
  <c r="D54" i="5"/>
  <c r="C146" i="5"/>
  <c r="G145" i="5" s="1"/>
  <c r="A242" i="5"/>
  <c r="A243" i="5" s="1"/>
  <c r="A36" i="5"/>
  <c r="B35" i="5"/>
  <c r="C35" i="5" s="1"/>
  <c r="A57" i="5"/>
  <c r="B56" i="5"/>
  <c r="C56" i="5" s="1"/>
  <c r="C74" i="5"/>
  <c r="D74" i="5" s="1"/>
  <c r="E74" i="5" s="1"/>
  <c r="A102" i="5"/>
  <c r="C101" i="5"/>
  <c r="D101" i="5" s="1"/>
  <c r="E101" i="5" s="1"/>
  <c r="F101" i="5" s="1"/>
  <c r="D165" i="5"/>
  <c r="C99" i="5"/>
  <c r="D99" i="5" s="1"/>
  <c r="E99" i="5" s="1"/>
  <c r="F99" i="5" s="1"/>
  <c r="D145" i="5"/>
  <c r="A147" i="5"/>
  <c r="A76" i="5"/>
  <c r="B75" i="5"/>
  <c r="A169" i="5"/>
  <c r="B168" i="5"/>
  <c r="C168" i="5" s="1"/>
  <c r="A197" i="5"/>
  <c r="B196" i="5"/>
  <c r="E282" i="5"/>
  <c r="C299" i="5"/>
  <c r="D299" i="5" s="1"/>
  <c r="A121" i="5"/>
  <c r="C217" i="5"/>
  <c r="D217" i="5" s="1"/>
  <c r="C239" i="5"/>
  <c r="D239" i="5" s="1"/>
  <c r="B120" i="5"/>
  <c r="C120" i="5" s="1"/>
  <c r="G119" i="5" s="1"/>
  <c r="C219" i="5"/>
  <c r="A302" i="5"/>
  <c r="B301" i="5"/>
  <c r="C301" i="5" s="1"/>
  <c r="A285" i="5"/>
  <c r="B284" i="5"/>
  <c r="C284" i="5" s="1"/>
  <c r="B166" i="5"/>
  <c r="C195" i="5"/>
  <c r="A220" i="5"/>
  <c r="A262" i="5"/>
  <c r="B261" i="5"/>
  <c r="C260" i="5"/>
  <c r="D260" i="5" s="1"/>
  <c r="B17" i="2"/>
  <c r="B16" i="2"/>
  <c r="B15" i="2"/>
  <c r="B13" i="2"/>
  <c r="C15" i="1"/>
  <c r="M15" i="1" s="1"/>
  <c r="B311" i="4"/>
  <c r="B310" i="4"/>
  <c r="A300" i="4"/>
  <c r="B299" i="4"/>
  <c r="C299" i="4" s="1"/>
  <c r="C298" i="4"/>
  <c r="B298" i="4"/>
  <c r="B294" i="4"/>
  <c r="B293" i="4"/>
  <c r="B283" i="4"/>
  <c r="A283" i="4"/>
  <c r="A284" i="4" s="1"/>
  <c r="C282" i="4"/>
  <c r="B282" i="4"/>
  <c r="D282" i="4" s="1"/>
  <c r="C281" i="4"/>
  <c r="B281" i="4"/>
  <c r="B272" i="4"/>
  <c r="B271" i="4"/>
  <c r="B261" i="4"/>
  <c r="A261" i="4"/>
  <c r="A262" i="4" s="1"/>
  <c r="B260" i="4"/>
  <c r="C260" i="4" s="1"/>
  <c r="C259" i="4"/>
  <c r="B259" i="4"/>
  <c r="B251" i="4"/>
  <c r="B250" i="4"/>
  <c r="A240" i="4"/>
  <c r="A241" i="4" s="1"/>
  <c r="C239" i="4"/>
  <c r="B239" i="4"/>
  <c r="C238" i="4"/>
  <c r="B238" i="4"/>
  <c r="B229" i="4"/>
  <c r="B228" i="4"/>
  <c r="A219" i="4"/>
  <c r="A218" i="4"/>
  <c r="C217" i="4"/>
  <c r="B217" i="4"/>
  <c r="C216" i="4"/>
  <c r="B216" i="4"/>
  <c r="B207" i="4"/>
  <c r="B206" i="4"/>
  <c r="A197" i="4"/>
  <c r="A196" i="4"/>
  <c r="F195" i="4"/>
  <c r="D195" i="4"/>
  <c r="E195" i="4" s="1"/>
  <c r="B195" i="4"/>
  <c r="C195" i="4" s="1"/>
  <c r="C194" i="4"/>
  <c r="B194" i="4"/>
  <c r="B177" i="4"/>
  <c r="B176" i="4"/>
  <c r="A167" i="4"/>
  <c r="A168" i="4" s="1"/>
  <c r="A169" i="4" s="1"/>
  <c r="C166" i="4"/>
  <c r="G165" i="4" s="1"/>
  <c r="B166" i="4"/>
  <c r="A166" i="4"/>
  <c r="E165" i="4"/>
  <c r="F165" i="4" s="1"/>
  <c r="D165" i="4"/>
  <c r="C165" i="4"/>
  <c r="B165" i="4"/>
  <c r="C164" i="4"/>
  <c r="B164" i="4"/>
  <c r="B157" i="4"/>
  <c r="B156" i="4"/>
  <c r="B146" i="4"/>
  <c r="A146" i="4"/>
  <c r="A147" i="4" s="1"/>
  <c r="B145" i="4"/>
  <c r="C144" i="4"/>
  <c r="B144" i="4"/>
  <c r="B131" i="4"/>
  <c r="G130" i="4"/>
  <c r="B130" i="4"/>
  <c r="G129" i="4"/>
  <c r="A120" i="4"/>
  <c r="D119" i="4"/>
  <c r="E119" i="4" s="1"/>
  <c r="F119" i="4" s="1"/>
  <c r="B119" i="4"/>
  <c r="C119" i="4" s="1"/>
  <c r="C118" i="4"/>
  <c r="B118" i="4"/>
  <c r="B111" i="4"/>
  <c r="B110" i="4"/>
  <c r="A100" i="4"/>
  <c r="B99" i="4"/>
  <c r="C98" i="4"/>
  <c r="B98" i="4"/>
  <c r="B86" i="4"/>
  <c r="B85" i="4"/>
  <c r="A75" i="4"/>
  <c r="B74" i="4"/>
  <c r="C73" i="4"/>
  <c r="B73" i="4"/>
  <c r="B66" i="4"/>
  <c r="B65" i="4"/>
  <c r="A55" i="4"/>
  <c r="D54" i="4"/>
  <c r="C54" i="4"/>
  <c r="B54" i="4"/>
  <c r="C53" i="4"/>
  <c r="B53" i="4"/>
  <c r="B45" i="4"/>
  <c r="B44" i="4"/>
  <c r="A34" i="4"/>
  <c r="B34" i="4" s="1"/>
  <c r="C34" i="4" s="1"/>
  <c r="B33" i="4"/>
  <c r="C33" i="4" s="1"/>
  <c r="C32" i="4"/>
  <c r="B32" i="4"/>
  <c r="B27" i="4"/>
  <c r="B26" i="4"/>
  <c r="A16" i="4"/>
  <c r="A17" i="4" s="1"/>
  <c r="B17" i="4" s="1"/>
  <c r="B15" i="4"/>
  <c r="B14" i="4"/>
  <c r="D146" i="5" l="1"/>
  <c r="E146" i="5" s="1"/>
  <c r="F146" i="5" s="1"/>
  <c r="B242" i="5"/>
  <c r="C242" i="5" s="1"/>
  <c r="G241" i="5" s="1"/>
  <c r="B19" i="5"/>
  <c r="B18" i="5"/>
  <c r="B17" i="5"/>
  <c r="D283" i="5"/>
  <c r="C55" i="5"/>
  <c r="D55" i="5"/>
  <c r="C240" i="5"/>
  <c r="G239" i="5" s="1"/>
  <c r="D100" i="5"/>
  <c r="E100" i="5" s="1"/>
  <c r="F100" i="5" s="1"/>
  <c r="E217" i="5"/>
  <c r="F217" i="5" s="1"/>
  <c r="E300" i="5"/>
  <c r="A101" i="4"/>
  <c r="B196" i="4"/>
  <c r="G283" i="5"/>
  <c r="D284" i="5"/>
  <c r="A244" i="5"/>
  <c r="B243" i="5"/>
  <c r="G299" i="5"/>
  <c r="K299" i="5" s="1"/>
  <c r="A170" i="5"/>
  <c r="B169" i="5"/>
  <c r="C169" i="5" s="1"/>
  <c r="G168" i="5" s="1"/>
  <c r="A286" i="5"/>
  <c r="B285" i="5"/>
  <c r="C285" i="5" s="1"/>
  <c r="G284" i="5" s="1"/>
  <c r="K284" i="5" s="1"/>
  <c r="E241" i="5"/>
  <c r="D120" i="5"/>
  <c r="E120" i="5" s="1"/>
  <c r="F120" i="5" s="1"/>
  <c r="G167" i="5"/>
  <c r="E299" i="5"/>
  <c r="D56" i="5"/>
  <c r="B100" i="4"/>
  <c r="B240" i="4"/>
  <c r="E218" i="5"/>
  <c r="F218" i="5" s="1"/>
  <c r="D219" i="5"/>
  <c r="B76" i="5"/>
  <c r="C76" i="5" s="1"/>
  <c r="A77" i="5"/>
  <c r="D167" i="5"/>
  <c r="B57" i="5"/>
  <c r="C57" i="5" s="1"/>
  <c r="A58" i="5"/>
  <c r="B167" i="4"/>
  <c r="D167" i="4" s="1"/>
  <c r="C240" i="4"/>
  <c r="G239" i="4" s="1"/>
  <c r="K239" i="4" s="1"/>
  <c r="E283" i="5"/>
  <c r="C261" i="5"/>
  <c r="D261" i="5" s="1"/>
  <c r="J282" i="5"/>
  <c r="E165" i="5"/>
  <c r="F165" i="5" s="1"/>
  <c r="B16" i="4"/>
  <c r="A35" i="4"/>
  <c r="A36" i="4" s="1"/>
  <c r="B36" i="4" s="1"/>
  <c r="A18" i="4"/>
  <c r="C283" i="4"/>
  <c r="D283" i="4" s="1"/>
  <c r="K282" i="5"/>
  <c r="B262" i="5"/>
  <c r="C262" i="5" s="1"/>
  <c r="A263" i="5"/>
  <c r="D195" i="5"/>
  <c r="A122" i="5"/>
  <c r="B121" i="5"/>
  <c r="C121" i="5" s="1"/>
  <c r="G120" i="5" s="1"/>
  <c r="C196" i="5"/>
  <c r="D196" i="5" s="1"/>
  <c r="G218" i="5"/>
  <c r="H218" i="5" s="1"/>
  <c r="I218" i="5" s="1"/>
  <c r="G300" i="5"/>
  <c r="C166" i="5"/>
  <c r="D301" i="5"/>
  <c r="E239" i="5"/>
  <c r="C75" i="5"/>
  <c r="D75" i="5" s="1"/>
  <c r="E75" i="5" s="1"/>
  <c r="B197" i="5"/>
  <c r="C197" i="5" s="1"/>
  <c r="A198" i="5"/>
  <c r="B147" i="5"/>
  <c r="C147" i="5" s="1"/>
  <c r="A148" i="5"/>
  <c r="B102" i="5"/>
  <c r="C102" i="5" s="1"/>
  <c r="A103" i="5"/>
  <c r="A37" i="5"/>
  <c r="B36" i="5"/>
  <c r="C36" i="5" s="1"/>
  <c r="E260" i="5"/>
  <c r="F282" i="5"/>
  <c r="L282" i="5"/>
  <c r="A221" i="5"/>
  <c r="B220" i="5"/>
  <c r="A303" i="5"/>
  <c r="B302" i="5"/>
  <c r="C302" i="5" s="1"/>
  <c r="G217" i="5"/>
  <c r="K217" i="5" s="1"/>
  <c r="D168" i="5"/>
  <c r="E145" i="5"/>
  <c r="F145" i="5" s="1"/>
  <c r="H145" i="5"/>
  <c r="A21" i="5"/>
  <c r="B20" i="5"/>
  <c r="B18" i="2"/>
  <c r="N15" i="1"/>
  <c r="A19" i="4"/>
  <c r="B18" i="4"/>
  <c r="B300" i="4"/>
  <c r="C300" i="4" s="1"/>
  <c r="A301" i="4"/>
  <c r="C74" i="4"/>
  <c r="D74" i="4" s="1"/>
  <c r="E74" i="4" s="1"/>
  <c r="D166" i="4"/>
  <c r="D145" i="4"/>
  <c r="C145" i="4"/>
  <c r="C75" i="4"/>
  <c r="B101" i="4"/>
  <c r="A102" i="4"/>
  <c r="A148" i="4"/>
  <c r="B147" i="4"/>
  <c r="A220" i="4"/>
  <c r="B219" i="4"/>
  <c r="A121" i="4"/>
  <c r="B120" i="4"/>
  <c r="A170" i="4"/>
  <c r="B169" i="4"/>
  <c r="C169" i="4" s="1"/>
  <c r="C35" i="4"/>
  <c r="C146" i="4"/>
  <c r="C167" i="4"/>
  <c r="A56" i="4"/>
  <c r="B55" i="4"/>
  <c r="C55" i="4" s="1"/>
  <c r="B241" i="4"/>
  <c r="A242" i="4"/>
  <c r="A37" i="4"/>
  <c r="C36" i="4"/>
  <c r="D99" i="4"/>
  <c r="E99" i="4" s="1"/>
  <c r="F99" i="4" s="1"/>
  <c r="C99" i="4"/>
  <c r="B168" i="4"/>
  <c r="C168" i="4" s="1"/>
  <c r="A76" i="4"/>
  <c r="A285" i="4"/>
  <c r="C284" i="4"/>
  <c r="G283" i="4" s="1"/>
  <c r="B284" i="4"/>
  <c r="D217" i="4"/>
  <c r="A198" i="4"/>
  <c r="B197" i="4"/>
  <c r="B35" i="4"/>
  <c r="B75" i="4"/>
  <c r="B218" i="4"/>
  <c r="D299" i="4"/>
  <c r="H165" i="4"/>
  <c r="I165" i="4" s="1"/>
  <c r="E282" i="4"/>
  <c r="D239" i="4"/>
  <c r="D240" i="4"/>
  <c r="A263" i="4"/>
  <c r="B262" i="4"/>
  <c r="C261" i="4"/>
  <c r="G260" i="4" s="1"/>
  <c r="K260" i="4" s="1"/>
  <c r="D260" i="4"/>
  <c r="H239" i="5" l="1"/>
  <c r="I239" i="5" s="1"/>
  <c r="L239" i="5" s="1"/>
  <c r="K239" i="5"/>
  <c r="H241" i="5"/>
  <c r="I241" i="5" s="1"/>
  <c r="L241" i="5" s="1"/>
  <c r="K241" i="5"/>
  <c r="H299" i="5"/>
  <c r="I299" i="5" s="1"/>
  <c r="D242" i="5"/>
  <c r="G240" i="5"/>
  <c r="N282" i="5"/>
  <c r="D240" i="5"/>
  <c r="A222" i="5"/>
  <c r="B221" i="5"/>
  <c r="A104" i="5"/>
  <c r="B103" i="5"/>
  <c r="C103" i="5" s="1"/>
  <c r="D197" i="5"/>
  <c r="E196" i="5"/>
  <c r="F196" i="5" s="1"/>
  <c r="E219" i="5"/>
  <c r="F219" i="5" s="1"/>
  <c r="A171" i="5"/>
  <c r="B170" i="5"/>
  <c r="C170" i="5" s="1"/>
  <c r="B21" i="5"/>
  <c r="A22" i="5"/>
  <c r="D302" i="5"/>
  <c r="M282" i="5"/>
  <c r="K300" i="5"/>
  <c r="A59" i="5"/>
  <c r="B58" i="5"/>
  <c r="D285" i="5"/>
  <c r="K283" i="5"/>
  <c r="A304" i="5"/>
  <c r="B303" i="5"/>
  <c r="D102" i="5"/>
  <c r="E102" i="5" s="1"/>
  <c r="F102" i="5" s="1"/>
  <c r="F239" i="5"/>
  <c r="J218" i="5"/>
  <c r="K218" i="5"/>
  <c r="E195" i="5"/>
  <c r="F195" i="5" s="1"/>
  <c r="D57" i="5"/>
  <c r="J241" i="5"/>
  <c r="F260" i="5"/>
  <c r="G146" i="5"/>
  <c r="H146" i="5" s="1"/>
  <c r="G196" i="5"/>
  <c r="H196" i="5" s="1"/>
  <c r="I196" i="5" s="1"/>
  <c r="G195" i="5"/>
  <c r="H195" i="5" s="1"/>
  <c r="I195" i="5" s="1"/>
  <c r="G261" i="5"/>
  <c r="K261" i="5" s="1"/>
  <c r="G260" i="5"/>
  <c r="B286" i="5"/>
  <c r="C286" i="5" s="1"/>
  <c r="A287" i="5"/>
  <c r="H300" i="5"/>
  <c r="I300" i="5" s="1"/>
  <c r="L300" i="5" s="1"/>
  <c r="H168" i="5"/>
  <c r="I168" i="5" s="1"/>
  <c r="E168" i="5"/>
  <c r="F168" i="5" s="1"/>
  <c r="E242" i="5"/>
  <c r="E261" i="5"/>
  <c r="B148" i="5"/>
  <c r="C148" i="5" s="1"/>
  <c r="A149" i="5"/>
  <c r="H167" i="5"/>
  <c r="I167" i="5" s="1"/>
  <c r="E167" i="5"/>
  <c r="F167" i="5" s="1"/>
  <c r="F299" i="5"/>
  <c r="L299" i="5"/>
  <c r="M299" i="5" s="1"/>
  <c r="A245" i="5"/>
  <c r="B244" i="5"/>
  <c r="C244" i="5" s="1"/>
  <c r="F300" i="5"/>
  <c r="G282" i="4"/>
  <c r="H282" i="4" s="1"/>
  <c r="I282" i="4" s="1"/>
  <c r="L282" i="4" s="1"/>
  <c r="G145" i="4"/>
  <c r="H145" i="4" s="1"/>
  <c r="D147" i="5"/>
  <c r="E301" i="5"/>
  <c r="D121" i="5"/>
  <c r="E121" i="5" s="1"/>
  <c r="F121" i="5" s="1"/>
  <c r="A264" i="5"/>
  <c r="B263" i="5"/>
  <c r="C263" i="5" s="1"/>
  <c r="H283" i="5"/>
  <c r="I283" i="5" s="1"/>
  <c r="L283" i="5" s="1"/>
  <c r="M283" i="5" s="1"/>
  <c r="A78" i="5"/>
  <c r="B77" i="5"/>
  <c r="C243" i="5"/>
  <c r="D243" i="5" s="1"/>
  <c r="G301" i="5"/>
  <c r="D262" i="5"/>
  <c r="F283" i="5"/>
  <c r="E284" i="5"/>
  <c r="H284" i="5"/>
  <c r="I284" i="5" s="1"/>
  <c r="H217" i="5"/>
  <c r="I217" i="5" s="1"/>
  <c r="G166" i="5"/>
  <c r="G165" i="5"/>
  <c r="H165" i="5" s="1"/>
  <c r="I165" i="5" s="1"/>
  <c r="C220" i="5"/>
  <c r="D220" i="5" s="1"/>
  <c r="A38" i="5"/>
  <c r="B37" i="5"/>
  <c r="C37" i="5" s="1"/>
  <c r="A199" i="5"/>
  <c r="B198" i="5"/>
  <c r="C198" i="5" s="1"/>
  <c r="D166" i="5"/>
  <c r="B122" i="5"/>
  <c r="C122" i="5" s="1"/>
  <c r="G121" i="5" s="1"/>
  <c r="A123" i="5"/>
  <c r="D76" i="5"/>
  <c r="E76" i="5" s="1"/>
  <c r="F241" i="5"/>
  <c r="D169" i="5"/>
  <c r="C100" i="4"/>
  <c r="D100" i="4" s="1"/>
  <c r="E100" i="4" s="1"/>
  <c r="F100" i="4" s="1"/>
  <c r="C196" i="4"/>
  <c r="G195" i="4" s="1"/>
  <c r="H195" i="4" s="1"/>
  <c r="B19" i="2"/>
  <c r="K283" i="4"/>
  <c r="E240" i="4"/>
  <c r="D75" i="4"/>
  <c r="E75" i="4" s="1"/>
  <c r="E217" i="4"/>
  <c r="F217" i="4" s="1"/>
  <c r="D55" i="4"/>
  <c r="C219" i="4"/>
  <c r="C101" i="4"/>
  <c r="D101" i="4" s="1"/>
  <c r="E101" i="4" s="1"/>
  <c r="F101" i="4" s="1"/>
  <c r="D241" i="4"/>
  <c r="E239" i="4"/>
  <c r="H239" i="4"/>
  <c r="F282" i="4"/>
  <c r="D284" i="4"/>
  <c r="C56" i="4"/>
  <c r="B56" i="4"/>
  <c r="A57" i="4"/>
  <c r="C170" i="4"/>
  <c r="B170" i="4"/>
  <c r="A171" i="4"/>
  <c r="E167" i="4"/>
  <c r="F167" i="4" s="1"/>
  <c r="B301" i="4"/>
  <c r="C301" i="4" s="1"/>
  <c r="A302" i="4"/>
  <c r="D169" i="4"/>
  <c r="E299" i="4"/>
  <c r="G299" i="4"/>
  <c r="H299" i="4" s="1"/>
  <c r="I299" i="4" s="1"/>
  <c r="E145" i="4"/>
  <c r="F145" i="4" s="1"/>
  <c r="D300" i="4"/>
  <c r="J260" i="4"/>
  <c r="G168" i="4"/>
  <c r="K282" i="4"/>
  <c r="D261" i="4"/>
  <c r="B285" i="4"/>
  <c r="C285" i="4" s="1"/>
  <c r="A286" i="4"/>
  <c r="A38" i="4"/>
  <c r="B37" i="4"/>
  <c r="C37" i="4" s="1"/>
  <c r="G167" i="4"/>
  <c r="H167" i="4" s="1"/>
  <c r="I167" i="4" s="1"/>
  <c r="C120" i="4"/>
  <c r="G119" i="4" s="1"/>
  <c r="C147" i="4"/>
  <c r="A221" i="4"/>
  <c r="B220" i="4"/>
  <c r="C220" i="4" s="1"/>
  <c r="E260" i="4"/>
  <c r="H260" i="4"/>
  <c r="I260" i="4" s="1"/>
  <c r="A264" i="4"/>
  <c r="B263" i="4"/>
  <c r="C263" i="4" s="1"/>
  <c r="C197" i="4"/>
  <c r="A77" i="4"/>
  <c r="B76" i="4"/>
  <c r="C76" i="4" s="1"/>
  <c r="C241" i="4"/>
  <c r="A149" i="4"/>
  <c r="C148" i="4"/>
  <c r="B148" i="4"/>
  <c r="E166" i="4"/>
  <c r="F166" i="4" s="1"/>
  <c r="E283" i="4"/>
  <c r="H283" i="4"/>
  <c r="I283" i="4" s="1"/>
  <c r="C262" i="4"/>
  <c r="C218" i="4"/>
  <c r="D218" i="4" s="1"/>
  <c r="A199" i="4"/>
  <c r="B198" i="4"/>
  <c r="D168" i="4"/>
  <c r="B242" i="4"/>
  <c r="A243" i="4"/>
  <c r="D146" i="4"/>
  <c r="A122" i="4"/>
  <c r="B121" i="4"/>
  <c r="C121" i="4" s="1"/>
  <c r="G120" i="4" s="1"/>
  <c r="B102" i="4"/>
  <c r="C102" i="4" s="1"/>
  <c r="A103" i="4"/>
  <c r="G166" i="4"/>
  <c r="H166" i="4" s="1"/>
  <c r="I166" i="4" s="1"/>
  <c r="B19" i="4"/>
  <c r="A20" i="4"/>
  <c r="D15" i="1"/>
  <c r="C41" i="1"/>
  <c r="J239" i="5" l="1"/>
  <c r="J299" i="5"/>
  <c r="O300" i="5" s="1"/>
  <c r="M300" i="5"/>
  <c r="J217" i="5"/>
  <c r="H261" i="5"/>
  <c r="I261" i="5" s="1"/>
  <c r="E240" i="5"/>
  <c r="H240" i="5"/>
  <c r="I240" i="5" s="1"/>
  <c r="J240" i="5"/>
  <c r="K240" i="5"/>
  <c r="K301" i="5"/>
  <c r="H260" i="5"/>
  <c r="I260" i="5" s="1"/>
  <c r="L260" i="5" s="1"/>
  <c r="K260" i="5"/>
  <c r="A305" i="5"/>
  <c r="B304" i="5"/>
  <c r="C304" i="5" s="1"/>
  <c r="B171" i="5"/>
  <c r="C171" i="5" s="1"/>
  <c r="A172" i="5"/>
  <c r="A105" i="5"/>
  <c r="B104" i="5"/>
  <c r="C104" i="5" s="1"/>
  <c r="J195" i="4"/>
  <c r="I195" i="4"/>
  <c r="G243" i="5"/>
  <c r="K243" i="5" s="1"/>
  <c r="G242" i="5"/>
  <c r="B149" i="5"/>
  <c r="C149" i="5" s="1"/>
  <c r="A150" i="5"/>
  <c r="D103" i="5"/>
  <c r="E103" i="5" s="1"/>
  <c r="F103" i="5" s="1"/>
  <c r="B123" i="5"/>
  <c r="C123" i="5" s="1"/>
  <c r="G122" i="5" s="1"/>
  <c r="A124" i="5"/>
  <c r="A39" i="5"/>
  <c r="B38" i="5"/>
  <c r="C38" i="5" s="1"/>
  <c r="F284" i="5"/>
  <c r="L284" i="5"/>
  <c r="M284" i="5" s="1"/>
  <c r="F301" i="5"/>
  <c r="J261" i="5"/>
  <c r="E302" i="5"/>
  <c r="E220" i="5"/>
  <c r="F220" i="5" s="1"/>
  <c r="A265" i="5"/>
  <c r="B264" i="5"/>
  <c r="C264" i="5" s="1"/>
  <c r="E169" i="5"/>
  <c r="F169" i="5" s="1"/>
  <c r="D122" i="5"/>
  <c r="E122" i="5" s="1"/>
  <c r="F122" i="5" s="1"/>
  <c r="G219" i="5"/>
  <c r="G169" i="5"/>
  <c r="H169" i="5" s="1"/>
  <c r="I169" i="5" s="1"/>
  <c r="C77" i="5"/>
  <c r="D77" i="5" s="1"/>
  <c r="E77" i="5" s="1"/>
  <c r="H301" i="5"/>
  <c r="I301" i="5" s="1"/>
  <c r="L301" i="5" s="1"/>
  <c r="D244" i="5"/>
  <c r="D148" i="5"/>
  <c r="D196" i="4"/>
  <c r="E196" i="4" s="1"/>
  <c r="F196" i="4" s="1"/>
  <c r="J195" i="5"/>
  <c r="E285" i="5"/>
  <c r="A23" i="5"/>
  <c r="B22" i="5"/>
  <c r="C221" i="5"/>
  <c r="G220" i="5" s="1"/>
  <c r="B199" i="5"/>
  <c r="C199" i="5" s="1"/>
  <c r="A200" i="5"/>
  <c r="J282" i="4"/>
  <c r="N282" i="4" s="1"/>
  <c r="E166" i="5"/>
  <c r="F166" i="5" s="1"/>
  <c r="H166" i="5"/>
  <c r="I166" i="5" s="1"/>
  <c r="B78" i="5"/>
  <c r="C78" i="5" s="1"/>
  <c r="A79" i="5"/>
  <c r="E147" i="5"/>
  <c r="F147" i="5" s="1"/>
  <c r="B245" i="5"/>
  <c r="C245" i="5" s="1"/>
  <c r="G244" i="5" s="1"/>
  <c r="A246" i="5"/>
  <c r="E243" i="5"/>
  <c r="H243" i="5"/>
  <c r="I243" i="5" s="1"/>
  <c r="J196" i="5"/>
  <c r="B222" i="5"/>
  <c r="A223" i="5"/>
  <c r="D198" i="5"/>
  <c r="J284" i="5"/>
  <c r="F261" i="5"/>
  <c r="L261" i="5"/>
  <c r="M261" i="5" s="1"/>
  <c r="B287" i="5"/>
  <c r="A288" i="5"/>
  <c r="G285" i="5"/>
  <c r="H285" i="5" s="1"/>
  <c r="I285" i="5" s="1"/>
  <c r="C58" i="5"/>
  <c r="D58" i="5" s="1"/>
  <c r="J283" i="5"/>
  <c r="N283" i="5" s="1"/>
  <c r="J300" i="5"/>
  <c r="N300" i="5" s="1"/>
  <c r="G262" i="5"/>
  <c r="H262" i="5" s="1"/>
  <c r="I262" i="5" s="1"/>
  <c r="G197" i="5"/>
  <c r="E262" i="5"/>
  <c r="D263" i="5"/>
  <c r="N299" i="5"/>
  <c r="O299" i="5"/>
  <c r="P299" i="5" s="1"/>
  <c r="F242" i="5"/>
  <c r="D286" i="5"/>
  <c r="G147" i="5"/>
  <c r="H147" i="5" s="1"/>
  <c r="C303" i="5"/>
  <c r="B59" i="5"/>
  <c r="A60" i="5"/>
  <c r="D170" i="5"/>
  <c r="E197" i="5"/>
  <c r="F197" i="5" s="1"/>
  <c r="B20" i="2"/>
  <c r="A21" i="4"/>
  <c r="B20" i="4"/>
  <c r="A200" i="4"/>
  <c r="B199" i="4"/>
  <c r="D148" i="4"/>
  <c r="G196" i="4"/>
  <c r="G284" i="4"/>
  <c r="D301" i="4"/>
  <c r="D56" i="4"/>
  <c r="F239" i="4"/>
  <c r="F240" i="4"/>
  <c r="D220" i="4"/>
  <c r="A58" i="4"/>
  <c r="B57" i="4"/>
  <c r="C198" i="4"/>
  <c r="G197" i="4" s="1"/>
  <c r="B286" i="4"/>
  <c r="A287" i="4"/>
  <c r="H146" i="4"/>
  <c r="E146" i="4"/>
  <c r="F146" i="4" s="1"/>
  <c r="G218" i="4"/>
  <c r="H218" i="4" s="1"/>
  <c r="I218" i="4" s="1"/>
  <c r="G217" i="4"/>
  <c r="A150" i="4"/>
  <c r="B149" i="4"/>
  <c r="G147" i="4"/>
  <c r="D285" i="4"/>
  <c r="E300" i="4"/>
  <c r="E284" i="4"/>
  <c r="D121" i="4"/>
  <c r="E121" i="4" s="1"/>
  <c r="F121" i="4" s="1"/>
  <c r="B38" i="4"/>
  <c r="C38" i="4" s="1"/>
  <c r="A39" i="4"/>
  <c r="E241" i="4"/>
  <c r="A104" i="4"/>
  <c r="B103" i="4"/>
  <c r="C103" i="4" s="1"/>
  <c r="B243" i="4"/>
  <c r="C243" i="4" s="1"/>
  <c r="A244" i="4"/>
  <c r="G262" i="4"/>
  <c r="G146" i="4"/>
  <c r="D263" i="4"/>
  <c r="D197" i="4"/>
  <c r="F299" i="4"/>
  <c r="L299" i="4"/>
  <c r="G219" i="4"/>
  <c r="K219" i="4"/>
  <c r="D219" i="4"/>
  <c r="I239" i="4"/>
  <c r="L239" i="4" s="1"/>
  <c r="J239" i="4"/>
  <c r="E218" i="4"/>
  <c r="F218" i="4" s="1"/>
  <c r="G240" i="4"/>
  <c r="B264" i="4"/>
  <c r="C264" i="4" s="1"/>
  <c r="G263" i="4" s="1"/>
  <c r="A265" i="4"/>
  <c r="E261" i="4"/>
  <c r="A172" i="4"/>
  <c r="B171" i="4"/>
  <c r="M282" i="4"/>
  <c r="C302" i="4"/>
  <c r="G301" i="4" s="1"/>
  <c r="A303" i="4"/>
  <c r="B302" i="4"/>
  <c r="B122" i="4"/>
  <c r="A123" i="4"/>
  <c r="B221" i="4"/>
  <c r="C221" i="4"/>
  <c r="A222" i="4"/>
  <c r="D102" i="4"/>
  <c r="E102" i="4" s="1"/>
  <c r="F102" i="4" s="1"/>
  <c r="C242" i="4"/>
  <c r="D242" i="4" s="1"/>
  <c r="F283" i="4"/>
  <c r="L283" i="4"/>
  <c r="M283" i="4" s="1"/>
  <c r="D262" i="4"/>
  <c r="D147" i="4"/>
  <c r="G261" i="4"/>
  <c r="D170" i="4"/>
  <c r="G300" i="4"/>
  <c r="H300" i="4" s="1"/>
  <c r="I300" i="4" s="1"/>
  <c r="J283" i="4"/>
  <c r="B77" i="4"/>
  <c r="A78" i="4"/>
  <c r="C77" i="4"/>
  <c r="J299" i="4"/>
  <c r="K299" i="4"/>
  <c r="E168" i="4"/>
  <c r="F168" i="4" s="1"/>
  <c r="H168" i="4"/>
  <c r="I168" i="4" s="1"/>
  <c r="D76" i="4"/>
  <c r="E76" i="4" s="1"/>
  <c r="L260" i="4"/>
  <c r="M260" i="4" s="1"/>
  <c r="F260" i="4"/>
  <c r="D120" i="4"/>
  <c r="E120" i="4" s="1"/>
  <c r="F120" i="4" s="1"/>
  <c r="E169" i="4"/>
  <c r="F169" i="4" s="1"/>
  <c r="G169" i="4"/>
  <c r="H169" i="4" s="1"/>
  <c r="I169" i="4" s="1"/>
  <c r="C78" i="1"/>
  <c r="J301" i="5" l="1"/>
  <c r="M260" i="5"/>
  <c r="M301" i="5"/>
  <c r="L240" i="5"/>
  <c r="F240" i="5"/>
  <c r="G198" i="5"/>
  <c r="H198" i="5" s="1"/>
  <c r="I198" i="5" s="1"/>
  <c r="G263" i="5"/>
  <c r="H263" i="5" s="1"/>
  <c r="I263" i="5" s="1"/>
  <c r="H220" i="5"/>
  <c r="I220" i="5" s="1"/>
  <c r="K220" i="5"/>
  <c r="K244" i="5"/>
  <c r="G148" i="5"/>
  <c r="H148" i="5" s="1"/>
  <c r="C59" i="5"/>
  <c r="D59" i="5" s="1"/>
  <c r="E263" i="5"/>
  <c r="L243" i="5"/>
  <c r="F243" i="5"/>
  <c r="K219" i="5"/>
  <c r="H219" i="5"/>
  <c r="I219" i="5" s="1"/>
  <c r="A306" i="5"/>
  <c r="B305" i="5"/>
  <c r="C305" i="5" s="1"/>
  <c r="G303" i="5"/>
  <c r="G302" i="5"/>
  <c r="L262" i="5"/>
  <c r="F262" i="5"/>
  <c r="J285" i="5"/>
  <c r="K285" i="5"/>
  <c r="D303" i="5"/>
  <c r="A247" i="5"/>
  <c r="B246" i="5"/>
  <c r="D104" i="5"/>
  <c r="E104" i="5" s="1"/>
  <c r="F104" i="5" s="1"/>
  <c r="D78" i="5"/>
  <c r="E78" i="5" s="1"/>
  <c r="E198" i="5"/>
  <c r="F198" i="5" s="1"/>
  <c r="D264" i="5"/>
  <c r="N284" i="5"/>
  <c r="A289" i="5"/>
  <c r="B288" i="5"/>
  <c r="C288" i="5" s="1"/>
  <c r="B223" i="5"/>
  <c r="C223" i="5" s="1"/>
  <c r="A224" i="5"/>
  <c r="D245" i="5"/>
  <c r="A201" i="5"/>
  <c r="B200" i="5"/>
  <c r="B265" i="5"/>
  <c r="C265" i="5" s="1"/>
  <c r="A266" i="5"/>
  <c r="B150" i="5"/>
  <c r="C150" i="5" s="1"/>
  <c r="G149" i="5" s="1"/>
  <c r="A151" i="5"/>
  <c r="A106" i="5"/>
  <c r="B105" i="5"/>
  <c r="C105" i="5" s="1"/>
  <c r="D149" i="5"/>
  <c r="E148" i="5"/>
  <c r="F148" i="5" s="1"/>
  <c r="B39" i="5"/>
  <c r="C39" i="5" s="1"/>
  <c r="A40" i="5"/>
  <c r="E286" i="5"/>
  <c r="D199" i="5"/>
  <c r="H197" i="5"/>
  <c r="I197" i="5" s="1"/>
  <c r="C287" i="5"/>
  <c r="C222" i="5"/>
  <c r="G221" i="5" s="1"/>
  <c r="K221" i="5" s="1"/>
  <c r="E244" i="5"/>
  <c r="H244" i="5"/>
  <c r="I244" i="5" s="1"/>
  <c r="O301" i="5"/>
  <c r="N301" i="5"/>
  <c r="K242" i="5"/>
  <c r="H242" i="5"/>
  <c r="I242" i="5" s="1"/>
  <c r="L242" i="5" s="1"/>
  <c r="A173" i="5"/>
  <c r="B172" i="5"/>
  <c r="C172" i="5" s="1"/>
  <c r="G171" i="5" s="1"/>
  <c r="J260" i="5"/>
  <c r="N283" i="4"/>
  <c r="E170" i="5"/>
  <c r="F170" i="5" s="1"/>
  <c r="J262" i="5"/>
  <c r="K262" i="5"/>
  <c r="P300" i="5"/>
  <c r="Q299" i="5"/>
  <c r="D221" i="5"/>
  <c r="A125" i="5"/>
  <c r="B124" i="5"/>
  <c r="C124" i="5" s="1"/>
  <c r="G123" i="5" s="1"/>
  <c r="D171" i="5"/>
  <c r="A61" i="5"/>
  <c r="B60" i="5"/>
  <c r="B79" i="5"/>
  <c r="C79" i="5" s="1"/>
  <c r="A80" i="5"/>
  <c r="B23" i="5"/>
  <c r="A24" i="5"/>
  <c r="F302" i="5"/>
  <c r="D123" i="5"/>
  <c r="E123" i="5" s="1"/>
  <c r="F123" i="5" s="1"/>
  <c r="J243" i="5"/>
  <c r="L285" i="5"/>
  <c r="F285" i="5"/>
  <c r="D304" i="5"/>
  <c r="G170" i="5"/>
  <c r="H170" i="5" s="1"/>
  <c r="I170" i="5" s="1"/>
  <c r="B21" i="2"/>
  <c r="K263" i="4"/>
  <c r="K301" i="4"/>
  <c r="A304" i="4"/>
  <c r="B303" i="4"/>
  <c r="C303" i="4" s="1"/>
  <c r="G302" i="4" s="1"/>
  <c r="E170" i="4"/>
  <c r="F170" i="4" s="1"/>
  <c r="F261" i="4"/>
  <c r="E242" i="4"/>
  <c r="E285" i="4"/>
  <c r="J218" i="4"/>
  <c r="K261" i="4"/>
  <c r="D302" i="4"/>
  <c r="H261" i="4"/>
  <c r="I261" i="4" s="1"/>
  <c r="L261" i="4" s="1"/>
  <c r="M261" i="4" s="1"/>
  <c r="M299" i="4"/>
  <c r="A245" i="4"/>
  <c r="B244" i="4"/>
  <c r="B39" i="4"/>
  <c r="C39" i="4" s="1"/>
  <c r="A40" i="4"/>
  <c r="K218" i="4"/>
  <c r="C57" i="4"/>
  <c r="D57" i="4" s="1"/>
  <c r="E301" i="4"/>
  <c r="H301" i="4"/>
  <c r="I301" i="4" s="1"/>
  <c r="C199" i="4"/>
  <c r="H262" i="4"/>
  <c r="I262" i="4" s="1"/>
  <c r="E262" i="4"/>
  <c r="B78" i="4"/>
  <c r="A79" i="4"/>
  <c r="D221" i="4"/>
  <c r="D264" i="4"/>
  <c r="E263" i="4"/>
  <c r="H263" i="4"/>
  <c r="I263" i="4" s="1"/>
  <c r="F284" i="4"/>
  <c r="B287" i="4"/>
  <c r="C287" i="4" s="1"/>
  <c r="A288" i="4"/>
  <c r="B21" i="4"/>
  <c r="A22" i="4"/>
  <c r="B222" i="4"/>
  <c r="C222" i="4" s="1"/>
  <c r="G221" i="4" s="1"/>
  <c r="A223" i="4"/>
  <c r="O299" i="4"/>
  <c r="P299" i="4" s="1"/>
  <c r="N299" i="4"/>
  <c r="K284" i="4"/>
  <c r="E197" i="4"/>
  <c r="F197" i="4" s="1"/>
  <c r="H197" i="4"/>
  <c r="I197" i="4" s="1"/>
  <c r="D77" i="4"/>
  <c r="E77" i="4" s="1"/>
  <c r="C122" i="4"/>
  <c r="G121" i="4" s="1"/>
  <c r="J240" i="4"/>
  <c r="K240" i="4"/>
  <c r="H240" i="4"/>
  <c r="I240" i="4" s="1"/>
  <c r="L240" i="4" s="1"/>
  <c r="H219" i="4"/>
  <c r="I219" i="4" s="1"/>
  <c r="E219" i="4"/>
  <c r="F219" i="4" s="1"/>
  <c r="B104" i="4"/>
  <c r="C104" i="4" s="1"/>
  <c r="A105" i="4"/>
  <c r="H284" i="4"/>
  <c r="I284" i="4" s="1"/>
  <c r="L284" i="4" s="1"/>
  <c r="C149" i="4"/>
  <c r="D149" i="4" s="1"/>
  <c r="H196" i="4"/>
  <c r="I196" i="4" s="1"/>
  <c r="D198" i="4"/>
  <c r="D243" i="4"/>
  <c r="B58" i="4"/>
  <c r="A59" i="4"/>
  <c r="E220" i="4"/>
  <c r="F220" i="4" s="1"/>
  <c r="K242" i="4"/>
  <c r="G242" i="4"/>
  <c r="B123" i="4"/>
  <c r="C123" i="4" s="1"/>
  <c r="A124" i="4"/>
  <c r="A173" i="4"/>
  <c r="B172" i="4"/>
  <c r="G241" i="4"/>
  <c r="J262" i="4"/>
  <c r="F241" i="4"/>
  <c r="A151" i="4"/>
  <c r="B150" i="4"/>
  <c r="C150" i="4" s="1"/>
  <c r="C286" i="4"/>
  <c r="G220" i="4"/>
  <c r="H220" i="4" s="1"/>
  <c r="I220" i="4" s="1"/>
  <c r="H147" i="4"/>
  <c r="E147" i="4"/>
  <c r="F147" i="4" s="1"/>
  <c r="C265" i="4"/>
  <c r="B265" i="4"/>
  <c r="A266" i="4"/>
  <c r="C200" i="4"/>
  <c r="A201" i="4"/>
  <c r="B200" i="4"/>
  <c r="D103" i="4"/>
  <c r="E103" i="4" s="1"/>
  <c r="F103" i="4" s="1"/>
  <c r="J300" i="4"/>
  <c r="K300" i="4"/>
  <c r="C171" i="4"/>
  <c r="D171" i="4" s="1"/>
  <c r="K262" i="4"/>
  <c r="F300" i="4"/>
  <c r="L300" i="4"/>
  <c r="M300" i="4" s="1"/>
  <c r="K217" i="4"/>
  <c r="H217" i="4"/>
  <c r="I217" i="4" s="1"/>
  <c r="G198" i="4"/>
  <c r="E148" i="4"/>
  <c r="F148" i="4" s="1"/>
  <c r="N285" i="5" l="1"/>
  <c r="M285" i="5"/>
  <c r="J220" i="5"/>
  <c r="J219" i="5"/>
  <c r="J219" i="4"/>
  <c r="A81" i="5"/>
  <c r="B80" i="5"/>
  <c r="D124" i="5"/>
  <c r="E124" i="5" s="1"/>
  <c r="F124" i="5" s="1"/>
  <c r="G222" i="5"/>
  <c r="J197" i="5"/>
  <c r="D265" i="5"/>
  <c r="D79" i="5"/>
  <c r="E79" i="5" s="1"/>
  <c r="B125" i="5"/>
  <c r="A126" i="5"/>
  <c r="C125" i="5"/>
  <c r="G124" i="5" s="1"/>
  <c r="J242" i="5"/>
  <c r="G287" i="5"/>
  <c r="K287" i="5" s="1"/>
  <c r="G286" i="5"/>
  <c r="D105" i="5"/>
  <c r="E105" i="5" s="1"/>
  <c r="F105" i="5" s="1"/>
  <c r="M262" i="5"/>
  <c r="A267" i="5"/>
  <c r="B266" i="5"/>
  <c r="C266" i="5" s="1"/>
  <c r="D288" i="5"/>
  <c r="K302" i="5"/>
  <c r="H302" i="5"/>
  <c r="I302" i="5" s="1"/>
  <c r="L302" i="5" s="1"/>
  <c r="J263" i="5"/>
  <c r="K263" i="5"/>
  <c r="A41" i="5"/>
  <c r="B40" i="5"/>
  <c r="C40" i="5" s="1"/>
  <c r="H221" i="5"/>
  <c r="I221" i="5" s="1"/>
  <c r="E221" i="5"/>
  <c r="F221" i="5" s="1"/>
  <c r="P301" i="5"/>
  <c r="Q300" i="5"/>
  <c r="E199" i="5"/>
  <c r="F199" i="5" s="1"/>
  <c r="B106" i="5"/>
  <c r="C106" i="5" s="1"/>
  <c r="A107" i="5"/>
  <c r="C200" i="5"/>
  <c r="D200" i="5" s="1"/>
  <c r="A290" i="5"/>
  <c r="B289" i="5"/>
  <c r="C289" i="5"/>
  <c r="C246" i="5"/>
  <c r="D246" i="5" s="1"/>
  <c r="D223" i="5"/>
  <c r="M284" i="4"/>
  <c r="J217" i="4"/>
  <c r="C60" i="5"/>
  <c r="D60" i="5" s="1"/>
  <c r="D172" i="5"/>
  <c r="D222" i="5"/>
  <c r="D287" i="5"/>
  <c r="B151" i="5"/>
  <c r="C151" i="5" s="1"/>
  <c r="G150" i="5" s="1"/>
  <c r="A152" i="5"/>
  <c r="B201" i="5"/>
  <c r="A202" i="5"/>
  <c r="B247" i="5"/>
  <c r="C247" i="5" s="1"/>
  <c r="A248" i="5"/>
  <c r="K303" i="5"/>
  <c r="J244" i="5"/>
  <c r="G264" i="5"/>
  <c r="H264" i="5" s="1"/>
  <c r="I264" i="5" s="1"/>
  <c r="O302" i="5"/>
  <c r="B61" i="5"/>
  <c r="C61" i="5" s="1"/>
  <c r="A62" i="5"/>
  <c r="A174" i="5"/>
  <c r="B173" i="5"/>
  <c r="C173" i="5" s="1"/>
  <c r="F244" i="5"/>
  <c r="L244" i="5"/>
  <c r="F286" i="5"/>
  <c r="E149" i="5"/>
  <c r="F149" i="5" s="1"/>
  <c r="H149" i="5"/>
  <c r="E245" i="5"/>
  <c r="E264" i="5"/>
  <c r="H303" i="5"/>
  <c r="I303" i="5" s="1"/>
  <c r="E303" i="5"/>
  <c r="D305" i="5"/>
  <c r="J198" i="5"/>
  <c r="E304" i="5"/>
  <c r="A25" i="5"/>
  <c r="B25" i="5" s="1"/>
  <c r="B24" i="5"/>
  <c r="H171" i="5"/>
  <c r="I171" i="5" s="1"/>
  <c r="E171" i="5"/>
  <c r="F171" i="5" s="1"/>
  <c r="D150" i="5"/>
  <c r="B224" i="5"/>
  <c r="C224" i="5" s="1"/>
  <c r="A225" i="5"/>
  <c r="A307" i="5"/>
  <c r="B306" i="5"/>
  <c r="C306" i="5" s="1"/>
  <c r="L263" i="5"/>
  <c r="F263" i="5"/>
  <c r="G304" i="5"/>
  <c r="B22" i="2"/>
  <c r="K221" i="4"/>
  <c r="A289" i="4"/>
  <c r="B288" i="4"/>
  <c r="A174" i="4"/>
  <c r="B173" i="4"/>
  <c r="C173" i="4" s="1"/>
  <c r="D58" i="4"/>
  <c r="F263" i="4"/>
  <c r="L263" i="4"/>
  <c r="M263" i="4" s="1"/>
  <c r="G199" i="4"/>
  <c r="D199" i="4"/>
  <c r="G286" i="4"/>
  <c r="G285" i="4"/>
  <c r="D200" i="4"/>
  <c r="J220" i="4"/>
  <c r="K220" i="4"/>
  <c r="J241" i="4"/>
  <c r="H241" i="4"/>
  <c r="I241" i="4" s="1"/>
  <c r="L241" i="4" s="1"/>
  <c r="K241" i="4"/>
  <c r="C58" i="4"/>
  <c r="E171" i="4"/>
  <c r="F171" i="4" s="1"/>
  <c r="J284" i="4"/>
  <c r="E264" i="4"/>
  <c r="C244" i="4"/>
  <c r="D122" i="4"/>
  <c r="E122" i="4" s="1"/>
  <c r="F122" i="4" s="1"/>
  <c r="A202" i="4"/>
  <c r="B201" i="4"/>
  <c r="C201" i="4" s="1"/>
  <c r="B105" i="4"/>
  <c r="C105" i="4" s="1"/>
  <c r="A106" i="4"/>
  <c r="L301" i="4"/>
  <c r="M301" i="4" s="1"/>
  <c r="F301" i="4"/>
  <c r="E198" i="4"/>
  <c r="F198" i="4" s="1"/>
  <c r="H198" i="4"/>
  <c r="I198" i="4" s="1"/>
  <c r="C172" i="4"/>
  <c r="D172" i="4" s="1"/>
  <c r="A224" i="4"/>
  <c r="B223" i="4"/>
  <c r="E149" i="4"/>
  <c r="F149" i="4" s="1"/>
  <c r="D78" i="4"/>
  <c r="E78" i="4" s="1"/>
  <c r="J301" i="4"/>
  <c r="D104" i="4"/>
  <c r="E104" i="4" s="1"/>
  <c r="F104" i="4" s="1"/>
  <c r="A80" i="4"/>
  <c r="B79" i="4"/>
  <c r="J198" i="4"/>
  <c r="G171" i="4"/>
  <c r="H171" i="4" s="1"/>
  <c r="I171" i="4" s="1"/>
  <c r="G170" i="4"/>
  <c r="H170" i="4" s="1"/>
  <c r="I170" i="4" s="1"/>
  <c r="D265" i="4"/>
  <c r="A152" i="4"/>
  <c r="B151" i="4"/>
  <c r="A125" i="4"/>
  <c r="B124" i="4"/>
  <c r="J196" i="4"/>
  <c r="D222" i="4"/>
  <c r="C78" i="4"/>
  <c r="A41" i="4"/>
  <c r="B40" i="4"/>
  <c r="C40" i="4" s="1"/>
  <c r="E302" i="4"/>
  <c r="H302" i="4"/>
  <c r="I302" i="4" s="1"/>
  <c r="F242" i="4"/>
  <c r="N300" i="4"/>
  <c r="O300" i="4"/>
  <c r="H221" i="4"/>
  <c r="I221" i="4" s="1"/>
  <c r="E221" i="4"/>
  <c r="F221" i="4" s="1"/>
  <c r="D150" i="4"/>
  <c r="F285" i="4"/>
  <c r="G122" i="4"/>
  <c r="G264" i="4"/>
  <c r="H264" i="4" s="1"/>
  <c r="I264" i="4" s="1"/>
  <c r="D286" i="4"/>
  <c r="N284" i="4"/>
  <c r="F262" i="4"/>
  <c r="L262" i="4"/>
  <c r="M262" i="4" s="1"/>
  <c r="H242" i="4"/>
  <c r="I242" i="4" s="1"/>
  <c r="L242" i="4" s="1"/>
  <c r="D303" i="4"/>
  <c r="J263" i="4"/>
  <c r="E243" i="4"/>
  <c r="B245" i="4"/>
  <c r="A246" i="4"/>
  <c r="C245" i="4"/>
  <c r="D287" i="4"/>
  <c r="A267" i="4"/>
  <c r="B266" i="4"/>
  <c r="C266" i="4" s="1"/>
  <c r="D123" i="4"/>
  <c r="E123" i="4" s="1"/>
  <c r="F123" i="4" s="1"/>
  <c r="A60" i="4"/>
  <c r="B59" i="4"/>
  <c r="G149" i="4"/>
  <c r="H149" i="4" s="1"/>
  <c r="G148" i="4"/>
  <c r="H148" i="4" s="1"/>
  <c r="K302" i="4"/>
  <c r="A23" i="4"/>
  <c r="B22" i="4"/>
  <c r="J261" i="4"/>
  <c r="A305" i="4"/>
  <c r="B304" i="4"/>
  <c r="C304" i="4" s="1"/>
  <c r="G303" i="4" s="1"/>
  <c r="J197" i="4"/>
  <c r="B259" i="1"/>
  <c r="C258" i="1"/>
  <c r="C257" i="1"/>
  <c r="B241" i="1"/>
  <c r="B242" i="1" s="1"/>
  <c r="C240" i="1"/>
  <c r="D240" i="1" s="1"/>
  <c r="E240" i="1" s="1"/>
  <c r="C239" i="1"/>
  <c r="B223" i="1"/>
  <c r="B224" i="1" s="1"/>
  <c r="C224" i="1" s="1"/>
  <c r="C222" i="1"/>
  <c r="D222" i="1" s="1"/>
  <c r="E222" i="1" s="1"/>
  <c r="C221" i="1"/>
  <c r="B205" i="1"/>
  <c r="B206" i="1" s="1"/>
  <c r="C204" i="1"/>
  <c r="C203" i="1"/>
  <c r="B187" i="1"/>
  <c r="B188" i="1" s="1"/>
  <c r="C186" i="1"/>
  <c r="C185" i="1"/>
  <c r="B169" i="1"/>
  <c r="B170" i="1" s="1"/>
  <c r="C168" i="1"/>
  <c r="C167" i="1"/>
  <c r="B151" i="1"/>
  <c r="B152" i="1" s="1"/>
  <c r="C150" i="1"/>
  <c r="C149" i="1"/>
  <c r="B133" i="1"/>
  <c r="B134" i="1" s="1"/>
  <c r="C134" i="1" s="1"/>
  <c r="C132" i="1"/>
  <c r="D132" i="1" s="1"/>
  <c r="E132" i="1" s="1"/>
  <c r="C131" i="1"/>
  <c r="B115" i="1"/>
  <c r="B116" i="1" s="1"/>
  <c r="C114" i="1"/>
  <c r="D114" i="1" s="1"/>
  <c r="E114" i="1" s="1"/>
  <c r="C113" i="1"/>
  <c r="B97" i="1"/>
  <c r="B98" i="1" s="1"/>
  <c r="C96" i="1"/>
  <c r="C95" i="1"/>
  <c r="C77" i="1"/>
  <c r="C42" i="1"/>
  <c r="V268" i="1"/>
  <c r="V267" i="1" s="1"/>
  <c r="V274" i="1"/>
  <c r="V273" i="1" s="1"/>
  <c r="V272" i="1" s="1"/>
  <c r="V271" i="1" s="1"/>
  <c r="V270" i="1" s="1"/>
  <c r="V269" i="1" s="1"/>
  <c r="V275" i="1"/>
  <c r="B16" i="1"/>
  <c r="P16" i="1" s="1"/>
  <c r="B14" i="1"/>
  <c r="D14" i="1"/>
  <c r="B79" i="1"/>
  <c r="C79" i="1" s="1"/>
  <c r="D79" i="1" s="1"/>
  <c r="B61" i="1"/>
  <c r="C60" i="1"/>
  <c r="D60" i="1" s="1"/>
  <c r="C59" i="1"/>
  <c r="B43" i="1"/>
  <c r="C43" i="1" s="1"/>
  <c r="J221" i="5" l="1"/>
  <c r="M302" i="5"/>
  <c r="M263" i="5"/>
  <c r="E246" i="5"/>
  <c r="G172" i="5"/>
  <c r="G305" i="5"/>
  <c r="B81" i="5"/>
  <c r="A82" i="5"/>
  <c r="D224" i="5"/>
  <c r="P302" i="5"/>
  <c r="Q301" i="5"/>
  <c r="A203" i="5"/>
  <c r="B202" i="5"/>
  <c r="C202" i="5" s="1"/>
  <c r="H172" i="5"/>
  <c r="I172" i="5" s="1"/>
  <c r="E172" i="5"/>
  <c r="F172" i="5" s="1"/>
  <c r="D289" i="5"/>
  <c r="D266" i="5"/>
  <c r="E265" i="5"/>
  <c r="F264" i="5"/>
  <c r="L264" i="5"/>
  <c r="K304" i="5"/>
  <c r="B290" i="5"/>
  <c r="C290" i="5" s="1"/>
  <c r="A291" i="5"/>
  <c r="K286" i="5"/>
  <c r="H286" i="5"/>
  <c r="I286" i="5" s="1"/>
  <c r="L286" i="5" s="1"/>
  <c r="L304" i="5"/>
  <c r="M304" i="5" s="1"/>
  <c r="F304" i="5"/>
  <c r="E150" i="5"/>
  <c r="F150" i="5" s="1"/>
  <c r="H150" i="5"/>
  <c r="H304" i="5"/>
  <c r="I304" i="5" s="1"/>
  <c r="F245" i="5"/>
  <c r="J264" i="5"/>
  <c r="K264" i="5"/>
  <c r="C201" i="5"/>
  <c r="D201" i="5" s="1"/>
  <c r="G199" i="5"/>
  <c r="B267" i="5"/>
  <c r="C267" i="5" s="1"/>
  <c r="A268" i="5"/>
  <c r="A226" i="5"/>
  <c r="B225" i="5"/>
  <c r="D173" i="5"/>
  <c r="A108" i="5"/>
  <c r="B107" i="5"/>
  <c r="K222" i="5"/>
  <c r="J242" i="4"/>
  <c r="H305" i="5"/>
  <c r="I305" i="5" s="1"/>
  <c r="E305" i="5"/>
  <c r="B174" i="5"/>
  <c r="A175" i="5"/>
  <c r="B152" i="5"/>
  <c r="C152" i="5" s="1"/>
  <c r="G151" i="5" s="1"/>
  <c r="A153" i="5"/>
  <c r="E223" i="5"/>
  <c r="F223" i="5" s="1"/>
  <c r="J302" i="5"/>
  <c r="N302" i="5" s="1"/>
  <c r="G265" i="5"/>
  <c r="H265" i="5" s="1"/>
  <c r="I265" i="5" s="1"/>
  <c r="G288" i="5"/>
  <c r="H288" i="5" s="1"/>
  <c r="I288" i="5" s="1"/>
  <c r="E200" i="5"/>
  <c r="F200" i="5" s="1"/>
  <c r="D266" i="4"/>
  <c r="D306" i="5"/>
  <c r="L303" i="5"/>
  <c r="M303" i="5" s="1"/>
  <c r="F303" i="5"/>
  <c r="A63" i="5"/>
  <c r="B62" i="5"/>
  <c r="A249" i="5"/>
  <c r="C248" i="5"/>
  <c r="B248" i="5"/>
  <c r="D151" i="5"/>
  <c r="J303" i="5"/>
  <c r="D106" i="5"/>
  <c r="E106" i="5" s="1"/>
  <c r="F106" i="5" s="1"/>
  <c r="A127" i="5"/>
  <c r="B126" i="5"/>
  <c r="G223" i="5"/>
  <c r="H222" i="5"/>
  <c r="I222" i="5" s="1"/>
  <c r="E222" i="5"/>
  <c r="F222" i="5" s="1"/>
  <c r="A42" i="5"/>
  <c r="B41" i="5"/>
  <c r="C41" i="5" s="1"/>
  <c r="A308" i="5"/>
  <c r="B307" i="5"/>
  <c r="D61" i="5"/>
  <c r="D247" i="5"/>
  <c r="E287" i="5"/>
  <c r="H287" i="5"/>
  <c r="I287" i="5" s="1"/>
  <c r="G246" i="5"/>
  <c r="K246" i="5" s="1"/>
  <c r="G245" i="5"/>
  <c r="E288" i="5"/>
  <c r="D125" i="5"/>
  <c r="E125" i="5" s="1"/>
  <c r="F125" i="5" s="1"/>
  <c r="C80" i="5"/>
  <c r="D80" i="5" s="1"/>
  <c r="E80" i="5" s="1"/>
  <c r="B23" i="2"/>
  <c r="D41" i="1"/>
  <c r="D59" i="1" s="1"/>
  <c r="D77" i="1" s="1"/>
  <c r="D95" i="1" s="1"/>
  <c r="D113" i="1" s="1"/>
  <c r="D131" i="1" s="1"/>
  <c r="D149" i="1" s="1"/>
  <c r="D167" i="1" s="1"/>
  <c r="D185" i="1" s="1"/>
  <c r="D203" i="1" s="1"/>
  <c r="D221" i="1" s="1"/>
  <c r="D239" i="1" s="1"/>
  <c r="D257" i="1" s="1"/>
  <c r="J15" i="1"/>
  <c r="C133" i="1"/>
  <c r="K303" i="4"/>
  <c r="E286" i="4"/>
  <c r="H286" i="4"/>
  <c r="I286" i="4" s="1"/>
  <c r="E172" i="4"/>
  <c r="F172" i="4" s="1"/>
  <c r="B23" i="4"/>
  <c r="A24" i="4"/>
  <c r="E200" i="4"/>
  <c r="F200" i="4" s="1"/>
  <c r="E266" i="4"/>
  <c r="J302" i="4"/>
  <c r="E150" i="4"/>
  <c r="F150" i="4" s="1"/>
  <c r="L302" i="4"/>
  <c r="M302" i="4" s="1"/>
  <c r="F302" i="4"/>
  <c r="C124" i="4"/>
  <c r="G123" i="4" s="1"/>
  <c r="B202" i="4"/>
  <c r="A203" i="4"/>
  <c r="C202" i="4"/>
  <c r="J285" i="4"/>
  <c r="N285" i="4" s="1"/>
  <c r="K285" i="4"/>
  <c r="H285" i="4"/>
  <c r="I285" i="4" s="1"/>
  <c r="L285" i="4" s="1"/>
  <c r="B289" i="4"/>
  <c r="C289" i="4" s="1"/>
  <c r="A290" i="4"/>
  <c r="D304" i="4"/>
  <c r="D59" i="4"/>
  <c r="P300" i="4"/>
  <c r="Q299" i="4"/>
  <c r="A42" i="4"/>
  <c r="B41" i="4"/>
  <c r="C41" i="4" s="1"/>
  <c r="C79" i="4"/>
  <c r="D79" i="4" s="1"/>
  <c r="E79" i="4" s="1"/>
  <c r="A107" i="4"/>
  <c r="B106" i="4"/>
  <c r="C106" i="4" s="1"/>
  <c r="F264" i="4"/>
  <c r="L264" i="4"/>
  <c r="H303" i="4"/>
  <c r="I303" i="4" s="1"/>
  <c r="E303" i="4"/>
  <c r="G244" i="4"/>
  <c r="K244" i="4" s="1"/>
  <c r="G243" i="4"/>
  <c r="K286" i="4"/>
  <c r="B305" i="4"/>
  <c r="C305" i="4" s="1"/>
  <c r="A306" i="4"/>
  <c r="C59" i="4"/>
  <c r="A247" i="4"/>
  <c r="B246" i="4"/>
  <c r="G265" i="4"/>
  <c r="H265" i="4" s="1"/>
  <c r="I265" i="4" s="1"/>
  <c r="C151" i="4"/>
  <c r="D151" i="4" s="1"/>
  <c r="B80" i="4"/>
  <c r="A81" i="4"/>
  <c r="C223" i="4"/>
  <c r="D223" i="4" s="1"/>
  <c r="D105" i="4"/>
  <c r="E105" i="4" s="1"/>
  <c r="F105" i="4" s="1"/>
  <c r="D173" i="4"/>
  <c r="B60" i="4"/>
  <c r="A61" i="4"/>
  <c r="D245" i="4"/>
  <c r="E222" i="4"/>
  <c r="F222" i="4" s="1"/>
  <c r="A153" i="4"/>
  <c r="B152" i="4"/>
  <c r="C152" i="4" s="1"/>
  <c r="B224" i="4"/>
  <c r="C224" i="4" s="1"/>
  <c r="A225" i="4"/>
  <c r="E199" i="4"/>
  <c r="F199" i="4" s="1"/>
  <c r="H199" i="4"/>
  <c r="I199" i="4" s="1"/>
  <c r="A175" i="4"/>
  <c r="B174" i="4"/>
  <c r="J221" i="4"/>
  <c r="B267" i="4"/>
  <c r="C267" i="4" s="1"/>
  <c r="A268" i="4"/>
  <c r="O301" i="4"/>
  <c r="N301" i="4"/>
  <c r="E287" i="4"/>
  <c r="J264" i="4"/>
  <c r="K264" i="4"/>
  <c r="B125" i="4"/>
  <c r="A126" i="4"/>
  <c r="F243" i="4"/>
  <c r="E265" i="4"/>
  <c r="G200" i="4"/>
  <c r="H200" i="4" s="1"/>
  <c r="I200" i="4" s="1"/>
  <c r="G172" i="4"/>
  <c r="H172" i="4" s="1"/>
  <c r="I172" i="4" s="1"/>
  <c r="D201" i="4"/>
  <c r="D244" i="4"/>
  <c r="C288" i="4"/>
  <c r="C151" i="1"/>
  <c r="D151" i="1" s="1"/>
  <c r="C16" i="1"/>
  <c r="C97" i="1"/>
  <c r="D97" i="1" s="1"/>
  <c r="E97" i="1" s="1"/>
  <c r="C259" i="1"/>
  <c r="M259" i="1" s="1"/>
  <c r="P259" i="1"/>
  <c r="C223" i="1"/>
  <c r="D223" i="1" s="1"/>
  <c r="E223" i="1" s="1"/>
  <c r="B17" i="1"/>
  <c r="D186" i="1"/>
  <c r="B260" i="1"/>
  <c r="D258" i="1"/>
  <c r="E258" i="1" s="1"/>
  <c r="F258" i="1" s="1"/>
  <c r="C242" i="1"/>
  <c r="B243" i="1"/>
  <c r="C241" i="1"/>
  <c r="D224" i="1"/>
  <c r="E224" i="1" s="1"/>
  <c r="B225" i="1"/>
  <c r="C206" i="1"/>
  <c r="B207" i="1"/>
  <c r="C205" i="1"/>
  <c r="D204" i="1"/>
  <c r="C188" i="1"/>
  <c r="B189" i="1"/>
  <c r="C187" i="1"/>
  <c r="C170" i="1"/>
  <c r="B171" i="1"/>
  <c r="C169" i="1"/>
  <c r="M169" i="1" s="1"/>
  <c r="D168" i="1"/>
  <c r="E168" i="1" s="1"/>
  <c r="F168" i="1" s="1"/>
  <c r="C152" i="1"/>
  <c r="B153" i="1"/>
  <c r="D150" i="1"/>
  <c r="E150" i="1" s="1"/>
  <c r="D134" i="1"/>
  <c r="E134" i="1" s="1"/>
  <c r="B135" i="1"/>
  <c r="D133" i="1"/>
  <c r="E133" i="1" s="1"/>
  <c r="C116" i="1"/>
  <c r="B117" i="1"/>
  <c r="C115" i="1"/>
  <c r="C98" i="1"/>
  <c r="B99" i="1"/>
  <c r="D96" i="1"/>
  <c r="E96" i="1" s="1"/>
  <c r="F96" i="1" s="1"/>
  <c r="D78" i="1"/>
  <c r="E78" i="1" s="1"/>
  <c r="F240" i="1"/>
  <c r="F222" i="1"/>
  <c r="F114" i="1"/>
  <c r="G114" i="1" s="1"/>
  <c r="B80" i="1"/>
  <c r="C80" i="1" s="1"/>
  <c r="D80" i="1" s="1"/>
  <c r="C61" i="1"/>
  <c r="B62" i="1"/>
  <c r="B44" i="1"/>
  <c r="C44" i="1" s="1"/>
  <c r="G200" i="5" l="1"/>
  <c r="H200" i="5" s="1"/>
  <c r="I200" i="5" s="1"/>
  <c r="M286" i="5"/>
  <c r="E201" i="5"/>
  <c r="F201" i="5" s="1"/>
  <c r="G289" i="5"/>
  <c r="A227" i="5"/>
  <c r="B226" i="5"/>
  <c r="C226" i="5" s="1"/>
  <c r="E247" i="5"/>
  <c r="D174" i="5"/>
  <c r="J222" i="5"/>
  <c r="F288" i="5"/>
  <c r="L288" i="5"/>
  <c r="K223" i="5"/>
  <c r="E151" i="5"/>
  <c r="F151" i="5" s="1"/>
  <c r="H151" i="5"/>
  <c r="C174" i="5"/>
  <c r="C108" i="5"/>
  <c r="A109" i="5"/>
  <c r="B108" i="5"/>
  <c r="B268" i="5"/>
  <c r="C268" i="5" s="1"/>
  <c r="A269" i="5"/>
  <c r="J305" i="5"/>
  <c r="K305" i="5"/>
  <c r="B63" i="5"/>
  <c r="C63" i="5" s="1"/>
  <c r="A64" i="5"/>
  <c r="N303" i="5"/>
  <c r="O303" i="5"/>
  <c r="D290" i="5"/>
  <c r="D202" i="5"/>
  <c r="C81" i="5"/>
  <c r="D81" i="5" s="1"/>
  <c r="E81" i="5" s="1"/>
  <c r="D124" i="4"/>
  <c r="E124" i="4" s="1"/>
  <c r="F124" i="4" s="1"/>
  <c r="K245" i="5"/>
  <c r="H245" i="5"/>
  <c r="I245" i="5" s="1"/>
  <c r="L245" i="5" s="1"/>
  <c r="A309" i="5"/>
  <c r="B308" i="5"/>
  <c r="C308" i="5" s="1"/>
  <c r="D248" i="5"/>
  <c r="E306" i="5"/>
  <c r="H223" i="5"/>
  <c r="I223" i="5" s="1"/>
  <c r="F305" i="5"/>
  <c r="L305" i="5"/>
  <c r="C107" i="5"/>
  <c r="D107" i="5" s="1"/>
  <c r="E107" i="5" s="1"/>
  <c r="F107" i="5" s="1"/>
  <c r="D267" i="5"/>
  <c r="J286" i="5"/>
  <c r="N286" i="5" s="1"/>
  <c r="F265" i="5"/>
  <c r="L265" i="5"/>
  <c r="B203" i="5"/>
  <c r="C203" i="5" s="1"/>
  <c r="A204" i="5"/>
  <c r="B175" i="5"/>
  <c r="M264" i="5"/>
  <c r="J265" i="5"/>
  <c r="K265" i="5"/>
  <c r="C307" i="5"/>
  <c r="D307" i="5" s="1"/>
  <c r="J287" i="5"/>
  <c r="J288" i="5"/>
  <c r="K288" i="5"/>
  <c r="B291" i="5"/>
  <c r="A292" i="5"/>
  <c r="F246" i="5"/>
  <c r="B249" i="5"/>
  <c r="B153" i="5"/>
  <c r="C153" i="5" s="1"/>
  <c r="G152" i="5" s="1"/>
  <c r="A154" i="5"/>
  <c r="E173" i="5"/>
  <c r="F173" i="5" s="1"/>
  <c r="H199" i="5"/>
  <c r="I199" i="5" s="1"/>
  <c r="G247" i="5"/>
  <c r="H247" i="5" s="1"/>
  <c r="I247" i="5" s="1"/>
  <c r="E266" i="5"/>
  <c r="B127" i="5"/>
  <c r="C127" i="5" s="1"/>
  <c r="A128" i="5"/>
  <c r="J200" i="5"/>
  <c r="H289" i="5"/>
  <c r="I289" i="5" s="1"/>
  <c r="E289" i="5"/>
  <c r="E224" i="5"/>
  <c r="F224" i="5" s="1"/>
  <c r="M264" i="4"/>
  <c r="L287" i="5"/>
  <c r="M287" i="5" s="1"/>
  <c r="F287" i="5"/>
  <c r="B42" i="5"/>
  <c r="C42" i="5" s="1"/>
  <c r="A43" i="5"/>
  <c r="C126" i="5"/>
  <c r="G125" i="5" s="1"/>
  <c r="C62" i="5"/>
  <c r="D62" i="5" s="1"/>
  <c r="D152" i="5"/>
  <c r="C225" i="5"/>
  <c r="D225" i="5" s="1"/>
  <c r="G201" i="5"/>
  <c r="H201" i="5" s="1"/>
  <c r="I201" i="5" s="1"/>
  <c r="O304" i="5"/>
  <c r="G266" i="5"/>
  <c r="H266" i="5" s="1"/>
  <c r="I266" i="5" s="1"/>
  <c r="J304" i="5"/>
  <c r="N304" i="5" s="1"/>
  <c r="A83" i="5"/>
  <c r="B82" i="5"/>
  <c r="C82" i="5" s="1"/>
  <c r="H246" i="5"/>
  <c r="I246" i="5" s="1"/>
  <c r="L246" i="5" s="1"/>
  <c r="B24" i="2"/>
  <c r="D16" i="1"/>
  <c r="M16" i="1"/>
  <c r="E151" i="4"/>
  <c r="F151" i="4" s="1"/>
  <c r="G304" i="4"/>
  <c r="H304" i="4" s="1"/>
  <c r="I304" i="4" s="1"/>
  <c r="E245" i="4"/>
  <c r="C81" i="4"/>
  <c r="A82" i="4"/>
  <c r="B81" i="4"/>
  <c r="A307" i="4"/>
  <c r="B306" i="4"/>
  <c r="E223" i="4"/>
  <c r="F223" i="4" s="1"/>
  <c r="D224" i="4"/>
  <c r="G288" i="4"/>
  <c r="K288" i="4" s="1"/>
  <c r="G287" i="4"/>
  <c r="L265" i="4"/>
  <c r="F265" i="4"/>
  <c r="D267" i="4"/>
  <c r="B225" i="4"/>
  <c r="C225" i="4"/>
  <c r="A226" i="4"/>
  <c r="A62" i="4"/>
  <c r="B61" i="4"/>
  <c r="F303" i="4"/>
  <c r="L303" i="4"/>
  <c r="M303" i="4" s="1"/>
  <c r="D305" i="4"/>
  <c r="J265" i="4"/>
  <c r="K265" i="4"/>
  <c r="E244" i="4"/>
  <c r="H244" i="4"/>
  <c r="I244" i="4" s="1"/>
  <c r="F287" i="4"/>
  <c r="B175" i="4"/>
  <c r="C175" i="4"/>
  <c r="E173" i="4"/>
  <c r="F173" i="4" s="1"/>
  <c r="K243" i="4"/>
  <c r="H243" i="4"/>
  <c r="I243" i="4" s="1"/>
  <c r="L243" i="4" s="1"/>
  <c r="D202" i="4"/>
  <c r="F266" i="4"/>
  <c r="L286" i="4"/>
  <c r="M286" i="4" s="1"/>
  <c r="F286" i="4"/>
  <c r="A204" i="4"/>
  <c r="B203" i="4"/>
  <c r="C203" i="4" s="1"/>
  <c r="G202" i="4" s="1"/>
  <c r="E201" i="4"/>
  <c r="F201" i="4" s="1"/>
  <c r="C125" i="4"/>
  <c r="G124" i="4" s="1"/>
  <c r="C174" i="4"/>
  <c r="D174" i="4" s="1"/>
  <c r="A154" i="4"/>
  <c r="B153" i="4"/>
  <c r="C153" i="4" s="1"/>
  <c r="B247" i="4"/>
  <c r="C247" i="4" s="1"/>
  <c r="A248" i="4"/>
  <c r="A43" i="4"/>
  <c r="B42" i="4"/>
  <c r="C42" i="4"/>
  <c r="B290" i="4"/>
  <c r="C290" i="4" s="1"/>
  <c r="A291" i="4"/>
  <c r="J286" i="4"/>
  <c r="G266" i="4"/>
  <c r="G151" i="4"/>
  <c r="H151" i="4" s="1"/>
  <c r="G150" i="4"/>
  <c r="H150" i="4" s="1"/>
  <c r="C60" i="4"/>
  <c r="D60" i="4" s="1"/>
  <c r="B126" i="4"/>
  <c r="A127" i="4"/>
  <c r="P301" i="4"/>
  <c r="Q300" i="4"/>
  <c r="G223" i="4"/>
  <c r="H223" i="4" s="1"/>
  <c r="I223" i="4" s="1"/>
  <c r="G222" i="4"/>
  <c r="C246" i="4"/>
  <c r="D246" i="4" s="1"/>
  <c r="D106" i="4"/>
  <c r="E106" i="4" s="1"/>
  <c r="F106" i="4" s="1"/>
  <c r="D289" i="4"/>
  <c r="N302" i="4"/>
  <c r="O302" i="4"/>
  <c r="D288" i="4"/>
  <c r="A25" i="4"/>
  <c r="B25" i="4" s="1"/>
  <c r="B24" i="4"/>
  <c r="G201" i="4"/>
  <c r="H201" i="4" s="1"/>
  <c r="I201" i="4" s="1"/>
  <c r="D152" i="4"/>
  <c r="E304" i="4"/>
  <c r="J200" i="4"/>
  <c r="A269" i="4"/>
  <c r="B268" i="4"/>
  <c r="C80" i="4"/>
  <c r="D80" i="4" s="1"/>
  <c r="E80" i="4" s="1"/>
  <c r="A108" i="4"/>
  <c r="B107" i="4"/>
  <c r="M285" i="4"/>
  <c r="J199" i="4"/>
  <c r="J303" i="4"/>
  <c r="E151" i="1"/>
  <c r="F151" i="1" s="1"/>
  <c r="B18" i="1"/>
  <c r="C17" i="1"/>
  <c r="D17" i="1" s="1"/>
  <c r="D259" i="1"/>
  <c r="E259" i="1" s="1"/>
  <c r="J186" i="1"/>
  <c r="E204" i="1"/>
  <c r="J204" i="1"/>
  <c r="E186" i="1"/>
  <c r="B261" i="1"/>
  <c r="C260" i="1"/>
  <c r="D241" i="1"/>
  <c r="E241" i="1" s="1"/>
  <c r="C243" i="1"/>
  <c r="B244" i="1"/>
  <c r="D242" i="1"/>
  <c r="E242" i="1" s="1"/>
  <c r="B226" i="1"/>
  <c r="C225" i="1"/>
  <c r="D205" i="1"/>
  <c r="E205" i="1" s="1"/>
  <c r="B208" i="1"/>
  <c r="C207" i="1"/>
  <c r="D206" i="1"/>
  <c r="E206" i="1" s="1"/>
  <c r="F206" i="1" s="1"/>
  <c r="D188" i="1"/>
  <c r="E188" i="1" s="1"/>
  <c r="F188" i="1" s="1"/>
  <c r="D187" i="1"/>
  <c r="E187" i="1" s="1"/>
  <c r="B190" i="1"/>
  <c r="C189" i="1"/>
  <c r="D169" i="1"/>
  <c r="E169" i="1" s="1"/>
  <c r="F169" i="1" s="1"/>
  <c r="B172" i="1"/>
  <c r="C171" i="1"/>
  <c r="D170" i="1"/>
  <c r="E170" i="1" s="1"/>
  <c r="B154" i="1"/>
  <c r="C153" i="1"/>
  <c r="D152" i="1"/>
  <c r="E152" i="1" s="1"/>
  <c r="B136" i="1"/>
  <c r="C135" i="1"/>
  <c r="D115" i="1"/>
  <c r="E115" i="1" s="1"/>
  <c r="B118" i="1"/>
  <c r="C117" i="1"/>
  <c r="D116" i="1"/>
  <c r="E116" i="1" s="1"/>
  <c r="B100" i="1"/>
  <c r="C99" i="1"/>
  <c r="D98" i="1"/>
  <c r="E98" i="1" s="1"/>
  <c r="J258" i="1"/>
  <c r="P260" i="1"/>
  <c r="H258" i="1"/>
  <c r="G258" i="1"/>
  <c r="I258" i="1" s="1"/>
  <c r="M258" i="1" s="1"/>
  <c r="J240" i="1"/>
  <c r="M241" i="1"/>
  <c r="H240" i="1"/>
  <c r="G240" i="1"/>
  <c r="I240" i="1" s="1"/>
  <c r="J222" i="1"/>
  <c r="J223" i="1"/>
  <c r="M223" i="1"/>
  <c r="H222" i="1"/>
  <c r="G222" i="1"/>
  <c r="I222" i="1" s="1"/>
  <c r="M205" i="1"/>
  <c r="M206" i="1"/>
  <c r="M187" i="1"/>
  <c r="M188" i="1"/>
  <c r="H168" i="1"/>
  <c r="G168" i="1"/>
  <c r="I168" i="1" s="1"/>
  <c r="M168" i="1" s="1"/>
  <c r="M170" i="1"/>
  <c r="F133" i="1"/>
  <c r="F134" i="1"/>
  <c r="H132" i="1"/>
  <c r="F97" i="1"/>
  <c r="B81" i="1"/>
  <c r="C81" i="1" s="1"/>
  <c r="D81" i="1" s="1"/>
  <c r="D61" i="1"/>
  <c r="B63" i="1"/>
  <c r="C62" i="1"/>
  <c r="B45" i="1"/>
  <c r="C45" i="1" s="1"/>
  <c r="J245" i="5" l="1"/>
  <c r="J246" i="5"/>
  <c r="M305" i="5"/>
  <c r="E225" i="5"/>
  <c r="F225" i="5" s="1"/>
  <c r="G202" i="5"/>
  <c r="E307" i="5"/>
  <c r="G267" i="5"/>
  <c r="H267" i="5" s="1"/>
  <c r="I267" i="5" s="1"/>
  <c r="E152" i="5"/>
  <c r="F152" i="5" s="1"/>
  <c r="H152" i="5"/>
  <c r="C249" i="5"/>
  <c r="M265" i="5"/>
  <c r="J223" i="5"/>
  <c r="J244" i="4"/>
  <c r="A129" i="5"/>
  <c r="B128" i="5"/>
  <c r="C128" i="5" s="1"/>
  <c r="G127" i="5" s="1"/>
  <c r="J199" i="5"/>
  <c r="D126" i="5"/>
  <c r="E126" i="5" s="1"/>
  <c r="F126" i="5" s="1"/>
  <c r="F306" i="5"/>
  <c r="B64" i="5"/>
  <c r="C64" i="5" s="1"/>
  <c r="C65" i="5" s="1"/>
  <c r="D108" i="5"/>
  <c r="E108" i="5" s="1"/>
  <c r="F108" i="5" s="1"/>
  <c r="D226" i="5"/>
  <c r="E248" i="5"/>
  <c r="B109" i="5"/>
  <c r="C109" i="5" s="1"/>
  <c r="C110" i="5" s="1"/>
  <c r="B227" i="5"/>
  <c r="C227" i="5" s="1"/>
  <c r="J266" i="5"/>
  <c r="K266" i="5"/>
  <c r="B43" i="5"/>
  <c r="C43" i="5" s="1"/>
  <c r="C44" i="5" s="1"/>
  <c r="C45" i="5" s="1"/>
  <c r="L289" i="5"/>
  <c r="F289" i="5"/>
  <c r="E267" i="5"/>
  <c r="D308" i="5"/>
  <c r="H202" i="5"/>
  <c r="I202" i="5" s="1"/>
  <c r="E202" i="5"/>
  <c r="F202" i="5" s="1"/>
  <c r="N288" i="5"/>
  <c r="G126" i="5"/>
  <c r="D63" i="5"/>
  <c r="M288" i="5"/>
  <c r="D127" i="5"/>
  <c r="E127" i="5" s="1"/>
  <c r="F127" i="5" s="1"/>
  <c r="B292" i="5"/>
  <c r="C292" i="5" s="1"/>
  <c r="C175" i="5"/>
  <c r="D175" i="5" s="1"/>
  <c r="B309" i="5"/>
  <c r="C309" i="5" s="1"/>
  <c r="G308" i="5" s="1"/>
  <c r="E290" i="5"/>
  <c r="G173" i="5"/>
  <c r="H173" i="5" s="1"/>
  <c r="I173" i="5" s="1"/>
  <c r="J289" i="5"/>
  <c r="K289" i="5"/>
  <c r="D82" i="5"/>
  <c r="E82" i="5" s="1"/>
  <c r="P304" i="5"/>
  <c r="Q303" i="5"/>
  <c r="B154" i="5"/>
  <c r="C154" i="5" s="1"/>
  <c r="A155" i="5"/>
  <c r="A205" i="5"/>
  <c r="B204" i="5"/>
  <c r="C204" i="5" s="1"/>
  <c r="G203" i="5" s="1"/>
  <c r="E174" i="5"/>
  <c r="F174" i="5" s="1"/>
  <c r="J201" i="5"/>
  <c r="N287" i="5"/>
  <c r="F266" i="5"/>
  <c r="L266" i="5"/>
  <c r="D153" i="5"/>
  <c r="C291" i="5"/>
  <c r="D291" i="5" s="1"/>
  <c r="G307" i="5"/>
  <c r="K307" i="5" s="1"/>
  <c r="G306" i="5"/>
  <c r="O305" i="5"/>
  <c r="N305" i="5"/>
  <c r="P303" i="5"/>
  <c r="Q302" i="5"/>
  <c r="A270" i="5"/>
  <c r="B269" i="5"/>
  <c r="C269" i="5" s="1"/>
  <c r="J247" i="5"/>
  <c r="K247" i="5"/>
  <c r="D203" i="5"/>
  <c r="D268" i="5"/>
  <c r="L247" i="5"/>
  <c r="F247" i="5"/>
  <c r="G225" i="5"/>
  <c r="K225" i="5" s="1"/>
  <c r="G224" i="5"/>
  <c r="A84" i="5"/>
  <c r="B83" i="5"/>
  <c r="C83" i="5" s="1"/>
  <c r="B25" i="2"/>
  <c r="K258" i="1"/>
  <c r="L258" i="1" s="1"/>
  <c r="N258" i="1"/>
  <c r="M222" i="1"/>
  <c r="N222" i="1" s="1"/>
  <c r="M240" i="1"/>
  <c r="N240" i="1" s="1"/>
  <c r="G289" i="4"/>
  <c r="G152" i="4"/>
  <c r="H152" i="4" s="1"/>
  <c r="E246" i="4"/>
  <c r="C176" i="4"/>
  <c r="A270" i="4"/>
  <c r="C269" i="4"/>
  <c r="B269" i="4"/>
  <c r="J222" i="4"/>
  <c r="K222" i="4"/>
  <c r="H222" i="4"/>
  <c r="I222" i="4" s="1"/>
  <c r="B204" i="4"/>
  <c r="A205" i="4"/>
  <c r="C204" i="4"/>
  <c r="G203" i="4" s="1"/>
  <c r="D175" i="4"/>
  <c r="D225" i="4"/>
  <c r="E224" i="4"/>
  <c r="F224" i="4" s="1"/>
  <c r="D153" i="4"/>
  <c r="A83" i="4"/>
  <c r="B82" i="4"/>
  <c r="C82" i="4" s="1"/>
  <c r="H288" i="4"/>
  <c r="I288" i="4" s="1"/>
  <c r="E288" i="4"/>
  <c r="A155" i="4"/>
  <c r="B154" i="4"/>
  <c r="F245" i="4"/>
  <c r="Q301" i="4"/>
  <c r="P302" i="4"/>
  <c r="K223" i="4"/>
  <c r="G174" i="4"/>
  <c r="G173" i="4"/>
  <c r="H173" i="4" s="1"/>
  <c r="I173" i="4" s="1"/>
  <c r="N286" i="4"/>
  <c r="B127" i="4"/>
  <c r="A128" i="4"/>
  <c r="D107" i="4"/>
  <c r="E107" i="4" s="1"/>
  <c r="F107" i="4" s="1"/>
  <c r="L304" i="4"/>
  <c r="F304" i="4"/>
  <c r="B43" i="4"/>
  <c r="C43" i="4" s="1"/>
  <c r="C44" i="4" s="1"/>
  <c r="C45" i="4" s="1"/>
  <c r="J243" i="4"/>
  <c r="M265" i="4"/>
  <c r="E305" i="4"/>
  <c r="C268" i="4"/>
  <c r="O303" i="4"/>
  <c r="N303" i="4"/>
  <c r="C107" i="4"/>
  <c r="E289" i="4"/>
  <c r="H266" i="4"/>
  <c r="I266" i="4" s="1"/>
  <c r="L266" i="4" s="1"/>
  <c r="M266" i="4" s="1"/>
  <c r="K266" i="4"/>
  <c r="F244" i="4"/>
  <c r="L244" i="4"/>
  <c r="C61" i="4"/>
  <c r="D61" i="4" s="1"/>
  <c r="K287" i="4"/>
  <c r="H287" i="4"/>
  <c r="I287" i="4" s="1"/>
  <c r="L287" i="4" s="1"/>
  <c r="A308" i="4"/>
  <c r="B307" i="4"/>
  <c r="G224" i="4"/>
  <c r="D290" i="4"/>
  <c r="J223" i="4"/>
  <c r="E267" i="4"/>
  <c r="B108" i="4"/>
  <c r="C108" i="4" s="1"/>
  <c r="A109" i="4"/>
  <c r="E152" i="4"/>
  <c r="F152" i="4" s="1"/>
  <c r="C126" i="4"/>
  <c r="G125" i="4" s="1"/>
  <c r="A249" i="4"/>
  <c r="B248" i="4"/>
  <c r="C248" i="4" s="1"/>
  <c r="B62" i="4"/>
  <c r="C62" i="4" s="1"/>
  <c r="A63" i="4"/>
  <c r="C306" i="4"/>
  <c r="D306" i="4" s="1"/>
  <c r="D125" i="4"/>
  <c r="E125" i="4" s="1"/>
  <c r="F125" i="4" s="1"/>
  <c r="G246" i="4"/>
  <c r="K246" i="4" s="1"/>
  <c r="G245" i="4"/>
  <c r="J304" i="4"/>
  <c r="K304" i="4"/>
  <c r="H174" i="4"/>
  <c r="I174" i="4" s="1"/>
  <c r="E174" i="4"/>
  <c r="F174" i="4" s="1"/>
  <c r="J201" i="4"/>
  <c r="B291" i="4"/>
  <c r="C291" i="4" s="1"/>
  <c r="A292" i="4"/>
  <c r="D247" i="4"/>
  <c r="D203" i="4"/>
  <c r="E202" i="4"/>
  <c r="F202" i="4" s="1"/>
  <c r="H202" i="4"/>
  <c r="I202" i="4" s="1"/>
  <c r="B226" i="4"/>
  <c r="C226" i="4" s="1"/>
  <c r="A227" i="4"/>
  <c r="J288" i="4"/>
  <c r="D81" i="4"/>
  <c r="E81" i="4" s="1"/>
  <c r="J259" i="1"/>
  <c r="B19" i="1"/>
  <c r="C18" i="1"/>
  <c r="D18" i="1" s="1"/>
  <c r="J205" i="1"/>
  <c r="J241" i="1"/>
  <c r="J187" i="1"/>
  <c r="T259" i="1"/>
  <c r="U259" i="1" s="1"/>
  <c r="F186" i="1"/>
  <c r="G186" i="1" s="1"/>
  <c r="I186" i="1" s="1"/>
  <c r="M186" i="1" s="1"/>
  <c r="D260" i="1"/>
  <c r="E260" i="1" s="1"/>
  <c r="C261" i="1"/>
  <c r="B262" i="1"/>
  <c r="C244" i="1"/>
  <c r="B245" i="1"/>
  <c r="D243" i="1"/>
  <c r="E243" i="1" s="1"/>
  <c r="D225" i="1"/>
  <c r="E225" i="1" s="1"/>
  <c r="C226" i="1"/>
  <c r="B227" i="1"/>
  <c r="C208" i="1"/>
  <c r="B209" i="1"/>
  <c r="D207" i="1"/>
  <c r="E207" i="1" s="1"/>
  <c r="F207" i="1" s="1"/>
  <c r="D189" i="1"/>
  <c r="E189" i="1" s="1"/>
  <c r="C190" i="1"/>
  <c r="B191" i="1"/>
  <c r="D171" i="1"/>
  <c r="E171" i="1" s="1"/>
  <c r="F171" i="1" s="1"/>
  <c r="C172" i="1"/>
  <c r="B173" i="1"/>
  <c r="D153" i="1"/>
  <c r="E153" i="1" s="1"/>
  <c r="F153" i="1" s="1"/>
  <c r="C154" i="1"/>
  <c r="B155" i="1"/>
  <c r="D135" i="1"/>
  <c r="E135" i="1" s="1"/>
  <c r="F135" i="1" s="1"/>
  <c r="C136" i="1"/>
  <c r="B137" i="1"/>
  <c r="C118" i="1"/>
  <c r="B119" i="1"/>
  <c r="D117" i="1"/>
  <c r="E117" i="1" s="1"/>
  <c r="B101" i="1"/>
  <c r="C100" i="1"/>
  <c r="D99" i="1"/>
  <c r="E99" i="1" s="1"/>
  <c r="O16" i="1"/>
  <c r="F241" i="1"/>
  <c r="F223" i="1"/>
  <c r="F187" i="1"/>
  <c r="F205" i="1"/>
  <c r="F259" i="1"/>
  <c r="P261" i="1"/>
  <c r="N259" i="1"/>
  <c r="O259" i="1"/>
  <c r="M260" i="1"/>
  <c r="N241" i="1"/>
  <c r="M242" i="1"/>
  <c r="J242" i="1"/>
  <c r="N223" i="1"/>
  <c r="M224" i="1"/>
  <c r="J224" i="1"/>
  <c r="H204" i="1"/>
  <c r="F204" i="1"/>
  <c r="G204" i="1" s="1"/>
  <c r="H206" i="1"/>
  <c r="G206" i="1"/>
  <c r="I206" i="1" s="1"/>
  <c r="M207" i="1"/>
  <c r="J206" i="1"/>
  <c r="H186" i="1"/>
  <c r="H188" i="1"/>
  <c r="G188" i="1"/>
  <c r="I188" i="1" s="1"/>
  <c r="M189" i="1"/>
  <c r="J188" i="1"/>
  <c r="H170" i="1"/>
  <c r="F170" i="1"/>
  <c r="G170" i="1" s="1"/>
  <c r="I170" i="1" s="1"/>
  <c r="H169" i="1"/>
  <c r="G169" i="1"/>
  <c r="I169" i="1" s="1"/>
  <c r="M171" i="1"/>
  <c r="H152" i="1"/>
  <c r="H150" i="1"/>
  <c r="F150" i="1"/>
  <c r="G150" i="1" s="1"/>
  <c r="I150" i="1" s="1"/>
  <c r="F152" i="1"/>
  <c r="G152" i="1" s="1"/>
  <c r="I152" i="1" s="1"/>
  <c r="H151" i="1"/>
  <c r="G151" i="1"/>
  <c r="I151" i="1" s="1"/>
  <c r="F132" i="1"/>
  <c r="G132" i="1" s="1"/>
  <c r="H134" i="1"/>
  <c r="G134" i="1"/>
  <c r="H133" i="1"/>
  <c r="G133" i="1"/>
  <c r="F115" i="1"/>
  <c r="G115" i="1" s="1"/>
  <c r="B82" i="1"/>
  <c r="C82" i="1" s="1"/>
  <c r="D82" i="1" s="1"/>
  <c r="E79" i="1"/>
  <c r="D62" i="1"/>
  <c r="B64" i="1"/>
  <c r="C63" i="1"/>
  <c r="B46" i="1"/>
  <c r="C46" i="1" s="1"/>
  <c r="E15" i="1"/>
  <c r="H15" i="1" s="1"/>
  <c r="P17" i="1"/>
  <c r="G153" i="5" l="1"/>
  <c r="C66" i="5"/>
  <c r="D66" i="5" s="1"/>
  <c r="D65" i="5"/>
  <c r="E175" i="5"/>
  <c r="F175" i="5" s="1"/>
  <c r="G268" i="5"/>
  <c r="H268" i="5" s="1"/>
  <c r="I268" i="5" s="1"/>
  <c r="C228" i="5"/>
  <c r="G227" i="5" s="1"/>
  <c r="K227" i="5" s="1"/>
  <c r="G226" i="5"/>
  <c r="H226" i="5" s="1"/>
  <c r="I226" i="5" s="1"/>
  <c r="K224" i="5"/>
  <c r="H224" i="5"/>
  <c r="I224" i="5" s="1"/>
  <c r="K306" i="5"/>
  <c r="H306" i="5"/>
  <c r="I306" i="5" s="1"/>
  <c r="L306" i="5" s="1"/>
  <c r="E291" i="5"/>
  <c r="C293" i="5"/>
  <c r="B155" i="5"/>
  <c r="C155" i="5" s="1"/>
  <c r="D292" i="5"/>
  <c r="F248" i="5"/>
  <c r="D269" i="5"/>
  <c r="G174" i="5"/>
  <c r="H174" i="5" s="1"/>
  <c r="I174" i="5" s="1"/>
  <c r="E308" i="5"/>
  <c r="H308" i="5"/>
  <c r="I308" i="5" s="1"/>
  <c r="E226" i="5"/>
  <c r="F226" i="5" s="1"/>
  <c r="D128" i="5"/>
  <c r="E128" i="5" s="1"/>
  <c r="F128" i="5" s="1"/>
  <c r="H307" i="5"/>
  <c r="I307" i="5" s="1"/>
  <c r="L307" i="5" s="1"/>
  <c r="M307" i="5" s="1"/>
  <c r="G291" i="5"/>
  <c r="H291" i="5" s="1"/>
  <c r="I291" i="5" s="1"/>
  <c r="G290" i="5"/>
  <c r="C250" i="5"/>
  <c r="G249" i="5" s="1"/>
  <c r="K249" i="5" s="1"/>
  <c r="G248" i="5"/>
  <c r="F307" i="5"/>
  <c r="L267" i="5"/>
  <c r="F267" i="5"/>
  <c r="E153" i="5"/>
  <c r="F153" i="5" s="1"/>
  <c r="H153" i="5"/>
  <c r="K308" i="5"/>
  <c r="J202" i="5"/>
  <c r="B270" i="5"/>
  <c r="C270" i="5" s="1"/>
  <c r="D154" i="5"/>
  <c r="F290" i="5"/>
  <c r="E268" i="5"/>
  <c r="M266" i="5"/>
  <c r="D204" i="5"/>
  <c r="D309" i="5"/>
  <c r="D227" i="5"/>
  <c r="D64" i="5"/>
  <c r="B129" i="5"/>
  <c r="C129" i="5" s="1"/>
  <c r="C130" i="5" s="1"/>
  <c r="M304" i="4"/>
  <c r="D83" i="5"/>
  <c r="E83" i="5" s="1"/>
  <c r="E203" i="5"/>
  <c r="F203" i="5" s="1"/>
  <c r="H203" i="5"/>
  <c r="I203" i="5" s="1"/>
  <c r="C310" i="5"/>
  <c r="G309" i="5" s="1"/>
  <c r="N289" i="5"/>
  <c r="D109" i="5"/>
  <c r="E109" i="5" s="1"/>
  <c r="F109" i="5" s="1"/>
  <c r="D249" i="5"/>
  <c r="B84" i="5"/>
  <c r="C84" i="5" s="1"/>
  <c r="C85" i="5" s="1"/>
  <c r="P305" i="5"/>
  <c r="Q304" i="5"/>
  <c r="B205" i="5"/>
  <c r="C205" i="5" s="1"/>
  <c r="C176" i="5"/>
  <c r="G175" i="5" s="1"/>
  <c r="H175" i="5" s="1"/>
  <c r="I175" i="5" s="1"/>
  <c r="M289" i="5"/>
  <c r="C111" i="5"/>
  <c r="D111" i="5" s="1"/>
  <c r="E111" i="5" s="1"/>
  <c r="F111" i="5" s="1"/>
  <c r="D110" i="5"/>
  <c r="E110" i="5" s="1"/>
  <c r="F110" i="5" s="1"/>
  <c r="O306" i="5"/>
  <c r="J267" i="5"/>
  <c r="K267" i="5"/>
  <c r="H225" i="5"/>
  <c r="I225" i="5" s="1"/>
  <c r="B26" i="2"/>
  <c r="O241" i="1"/>
  <c r="K240" i="1"/>
  <c r="L240" i="1" s="1"/>
  <c r="K222" i="1"/>
  <c r="L222" i="1" s="1"/>
  <c r="G290" i="4"/>
  <c r="D127" i="4"/>
  <c r="E127" i="4" s="1"/>
  <c r="F127" i="4" s="1"/>
  <c r="F288" i="4"/>
  <c r="N288" i="4" s="1"/>
  <c r="L288" i="4"/>
  <c r="M288" i="4" s="1"/>
  <c r="E225" i="4"/>
  <c r="F225" i="4" s="1"/>
  <c r="B292" i="4"/>
  <c r="C307" i="4"/>
  <c r="G306" i="4" s="1"/>
  <c r="K268" i="4"/>
  <c r="G268" i="4"/>
  <c r="G267" i="4"/>
  <c r="E175" i="4"/>
  <c r="F175" i="4" s="1"/>
  <c r="D269" i="4"/>
  <c r="B109" i="4"/>
  <c r="C109" i="4" s="1"/>
  <c r="C110" i="4" s="1"/>
  <c r="B308" i="4"/>
  <c r="C308" i="4" s="1"/>
  <c r="A309" i="4"/>
  <c r="C127" i="4"/>
  <c r="G126" i="4" s="1"/>
  <c r="K289" i="4"/>
  <c r="D226" i="4"/>
  <c r="D248" i="4"/>
  <c r="F267" i="4"/>
  <c r="M287" i="4"/>
  <c r="J266" i="4"/>
  <c r="D268" i="4"/>
  <c r="B205" i="4"/>
  <c r="C205" i="4" s="1"/>
  <c r="C270" i="4"/>
  <c r="B270" i="4"/>
  <c r="D291" i="4"/>
  <c r="D82" i="4"/>
  <c r="E82" i="4" s="1"/>
  <c r="B249" i="4"/>
  <c r="C249" i="4" s="1"/>
  <c r="F289" i="4"/>
  <c r="E306" i="4"/>
  <c r="B83" i="4"/>
  <c r="C83" i="4" s="1"/>
  <c r="A84" i="4"/>
  <c r="D204" i="4"/>
  <c r="C177" i="4"/>
  <c r="D177" i="4" s="1"/>
  <c r="E177" i="4" s="1"/>
  <c r="F177" i="4" s="1"/>
  <c r="D176" i="4"/>
  <c r="Q302" i="4"/>
  <c r="P303" i="4"/>
  <c r="C227" i="4"/>
  <c r="B227" i="4"/>
  <c r="K245" i="4"/>
  <c r="H245" i="4"/>
  <c r="I245" i="4" s="1"/>
  <c r="L245" i="4" s="1"/>
  <c r="F305" i="4"/>
  <c r="J287" i="4"/>
  <c r="N287" i="4" s="1"/>
  <c r="H289" i="4"/>
  <c r="I289" i="4" s="1"/>
  <c r="L289" i="4" s="1"/>
  <c r="M289" i="4" s="1"/>
  <c r="E153" i="4"/>
  <c r="F153" i="4" s="1"/>
  <c r="D126" i="4"/>
  <c r="E126" i="4" s="1"/>
  <c r="F126" i="4" s="1"/>
  <c r="G175" i="4"/>
  <c r="H175" i="4" s="1"/>
  <c r="I175" i="4" s="1"/>
  <c r="H247" i="4"/>
  <c r="I247" i="4" s="1"/>
  <c r="E247" i="4"/>
  <c r="D108" i="4"/>
  <c r="E108" i="4" s="1"/>
  <c r="F108" i="4" s="1"/>
  <c r="G305" i="4"/>
  <c r="E290" i="4"/>
  <c r="H290" i="4"/>
  <c r="I290" i="4" s="1"/>
  <c r="G225" i="4"/>
  <c r="C154" i="4"/>
  <c r="H246" i="4"/>
  <c r="I246" i="4" s="1"/>
  <c r="L246" i="4" s="1"/>
  <c r="G247" i="4"/>
  <c r="D62" i="4"/>
  <c r="O304" i="4"/>
  <c r="N304" i="4"/>
  <c r="E203" i="4"/>
  <c r="F203" i="4" s="1"/>
  <c r="H203" i="4"/>
  <c r="I203" i="4" s="1"/>
  <c r="A64" i="4"/>
  <c r="C63" i="4"/>
  <c r="B63" i="4"/>
  <c r="K224" i="4"/>
  <c r="B128" i="4"/>
  <c r="A129" i="4"/>
  <c r="B155" i="4"/>
  <c r="C155" i="4" s="1"/>
  <c r="H224" i="4"/>
  <c r="I224" i="4" s="1"/>
  <c r="F246" i="4"/>
  <c r="J202" i="4"/>
  <c r="B20" i="1"/>
  <c r="C19" i="1"/>
  <c r="D19" i="1" s="1"/>
  <c r="E16" i="1"/>
  <c r="F16" i="1" s="1"/>
  <c r="G16" i="1" s="1"/>
  <c r="I16" i="1" s="1"/>
  <c r="J16" i="1"/>
  <c r="Q259" i="1"/>
  <c r="J260" i="1"/>
  <c r="J189" i="1"/>
  <c r="C262" i="1"/>
  <c r="B263" i="1"/>
  <c r="D261" i="1"/>
  <c r="E261" i="1" s="1"/>
  <c r="B246" i="1"/>
  <c r="C245" i="1"/>
  <c r="D244" i="1"/>
  <c r="E244" i="1" s="1"/>
  <c r="B228" i="1"/>
  <c r="C227" i="1"/>
  <c r="D226" i="1"/>
  <c r="E226" i="1" s="1"/>
  <c r="B210" i="1"/>
  <c r="C209" i="1"/>
  <c r="D208" i="1"/>
  <c r="J208" i="1" s="1"/>
  <c r="B192" i="1"/>
  <c r="C191" i="1"/>
  <c r="D190" i="1"/>
  <c r="J190" i="1" s="1"/>
  <c r="B174" i="1"/>
  <c r="C173" i="1"/>
  <c r="D172" i="1"/>
  <c r="E172" i="1" s="1"/>
  <c r="D154" i="1"/>
  <c r="E154" i="1" s="1"/>
  <c r="F154" i="1" s="1"/>
  <c r="C155" i="1"/>
  <c r="B156" i="1"/>
  <c r="B138" i="1"/>
  <c r="C137" i="1"/>
  <c r="D136" i="1"/>
  <c r="E136" i="1" s="1"/>
  <c r="B120" i="1"/>
  <c r="C119" i="1"/>
  <c r="D118" i="1"/>
  <c r="E118" i="1" s="1"/>
  <c r="B102" i="1"/>
  <c r="C101" i="1"/>
  <c r="D100" i="1"/>
  <c r="E100" i="1" s="1"/>
  <c r="N16" i="1"/>
  <c r="H259" i="1"/>
  <c r="G223" i="1"/>
  <c r="I223" i="1" s="1"/>
  <c r="H241" i="1"/>
  <c r="G241" i="1"/>
  <c r="I241" i="1" s="1"/>
  <c r="H223" i="1"/>
  <c r="G187" i="1"/>
  <c r="I187" i="1" s="1"/>
  <c r="H187" i="1"/>
  <c r="G259" i="1"/>
  <c r="I259" i="1" s="1"/>
  <c r="K259" i="1" s="1"/>
  <c r="J207" i="1"/>
  <c r="G205" i="1"/>
  <c r="I205" i="1" s="1"/>
  <c r="I204" i="1"/>
  <c r="H205" i="1"/>
  <c r="F189" i="1"/>
  <c r="O260" i="1"/>
  <c r="N260" i="1"/>
  <c r="M261" i="1"/>
  <c r="P262" i="1"/>
  <c r="O242" i="1"/>
  <c r="N242" i="1"/>
  <c r="F243" i="1"/>
  <c r="M243" i="1"/>
  <c r="N224" i="1"/>
  <c r="F225" i="1"/>
  <c r="M225" i="1"/>
  <c r="H207" i="1"/>
  <c r="G207" i="1"/>
  <c r="I207" i="1" s="1"/>
  <c r="M208" i="1"/>
  <c r="M190" i="1"/>
  <c r="H171" i="1"/>
  <c r="G171" i="1"/>
  <c r="I171" i="1" s="1"/>
  <c r="M172" i="1"/>
  <c r="H153" i="1"/>
  <c r="G153" i="1"/>
  <c r="I153" i="1" s="1"/>
  <c r="H135" i="1"/>
  <c r="G135" i="1"/>
  <c r="F99" i="1"/>
  <c r="B83" i="1"/>
  <c r="C83" i="1" s="1"/>
  <c r="D83" i="1" s="1"/>
  <c r="E80" i="1"/>
  <c r="E81" i="1"/>
  <c r="D63" i="1"/>
  <c r="B65" i="1"/>
  <c r="C64" i="1"/>
  <c r="F15" i="1"/>
  <c r="G15" i="1" s="1"/>
  <c r="I15" i="1" s="1"/>
  <c r="K15" i="1" s="1"/>
  <c r="B47" i="1"/>
  <c r="C47" i="1" s="1"/>
  <c r="P18" i="1"/>
  <c r="M17" i="1"/>
  <c r="E17" i="1"/>
  <c r="J308" i="5" l="1"/>
  <c r="M306" i="5"/>
  <c r="J306" i="5"/>
  <c r="N306" i="5" s="1"/>
  <c r="G128" i="5"/>
  <c r="K291" i="5"/>
  <c r="J203" i="5"/>
  <c r="C271" i="5"/>
  <c r="G270" i="5" s="1"/>
  <c r="G269" i="5"/>
  <c r="C156" i="5"/>
  <c r="G155" i="5"/>
  <c r="G154" i="5"/>
  <c r="H154" i="5" s="1"/>
  <c r="K309" i="5"/>
  <c r="H306" i="4"/>
  <c r="I306" i="4" s="1"/>
  <c r="K306" i="4"/>
  <c r="C206" i="5"/>
  <c r="J248" i="5"/>
  <c r="K248" i="5"/>
  <c r="H248" i="5"/>
  <c r="I248" i="5" s="1"/>
  <c r="L248" i="5" s="1"/>
  <c r="E269" i="5"/>
  <c r="C294" i="5"/>
  <c r="D294" i="5" s="1"/>
  <c r="E294" i="5" s="1"/>
  <c r="F294" i="5" s="1"/>
  <c r="D293" i="5"/>
  <c r="K223" i="1"/>
  <c r="L223" i="1" s="1"/>
  <c r="D205" i="5"/>
  <c r="D129" i="5"/>
  <c r="E129" i="5" s="1"/>
  <c r="F129" i="5" s="1"/>
  <c r="L268" i="5"/>
  <c r="F268" i="5"/>
  <c r="J225" i="5"/>
  <c r="G292" i="5"/>
  <c r="J224" i="5"/>
  <c r="P306" i="5"/>
  <c r="Q305" i="5"/>
  <c r="C131" i="5"/>
  <c r="D130" i="5"/>
  <c r="E130" i="5" s="1"/>
  <c r="F130" i="5" s="1"/>
  <c r="C251" i="5"/>
  <c r="D251" i="5" s="1"/>
  <c r="E251" i="5" s="1"/>
  <c r="F251" i="5" s="1"/>
  <c r="D250" i="5"/>
  <c r="J246" i="4"/>
  <c r="L291" i="5"/>
  <c r="M291" i="5" s="1"/>
  <c r="F291" i="5"/>
  <c r="J226" i="5"/>
  <c r="K226" i="5"/>
  <c r="C86" i="5"/>
  <c r="D86" i="5" s="1"/>
  <c r="E86" i="5" s="1"/>
  <c r="D85" i="5"/>
  <c r="E85" i="5" s="1"/>
  <c r="G204" i="5"/>
  <c r="E292" i="5"/>
  <c r="C311" i="5"/>
  <c r="D311" i="5" s="1"/>
  <c r="E311" i="5" s="1"/>
  <c r="F311" i="5" s="1"/>
  <c r="D310" i="5"/>
  <c r="J245" i="4"/>
  <c r="D84" i="5"/>
  <c r="E84" i="5" s="1"/>
  <c r="H227" i="5"/>
  <c r="I227" i="5" s="1"/>
  <c r="E227" i="5"/>
  <c r="F227" i="5" s="1"/>
  <c r="E154" i="5"/>
  <c r="F154" i="5" s="1"/>
  <c r="M267" i="5"/>
  <c r="K290" i="5"/>
  <c r="H290" i="5"/>
  <c r="I290" i="5" s="1"/>
  <c r="L290" i="5" s="1"/>
  <c r="M290" i="5" s="1"/>
  <c r="L308" i="5"/>
  <c r="M308" i="5" s="1"/>
  <c r="F308" i="5"/>
  <c r="C229" i="5"/>
  <c r="D229" i="5" s="1"/>
  <c r="E229" i="5" s="1"/>
  <c r="F229" i="5" s="1"/>
  <c r="D228" i="5"/>
  <c r="H249" i="5"/>
  <c r="I249" i="5" s="1"/>
  <c r="E249" i="5"/>
  <c r="E309" i="5"/>
  <c r="H309" i="5"/>
  <c r="I309" i="5" s="1"/>
  <c r="J291" i="5"/>
  <c r="D155" i="5"/>
  <c r="C177" i="5"/>
  <c r="D177" i="5" s="1"/>
  <c r="E177" i="5" s="1"/>
  <c r="F177" i="5" s="1"/>
  <c r="D176" i="5"/>
  <c r="H204" i="5"/>
  <c r="I204" i="5" s="1"/>
  <c r="E204" i="5"/>
  <c r="F204" i="5" s="1"/>
  <c r="D270" i="5"/>
  <c r="J307" i="5"/>
  <c r="N307" i="5" s="1"/>
  <c r="J268" i="5"/>
  <c r="K268" i="5"/>
  <c r="M204" i="1"/>
  <c r="K204" i="1" s="1"/>
  <c r="L204" i="1" s="1"/>
  <c r="K205" i="1" s="1"/>
  <c r="L205" i="1" s="1"/>
  <c r="K206" i="1" s="1"/>
  <c r="K241" i="1"/>
  <c r="L241" i="1" s="1"/>
  <c r="D110" i="4"/>
  <c r="E110" i="4" s="1"/>
  <c r="F110" i="4" s="1"/>
  <c r="C111" i="4"/>
  <c r="D111" i="4" s="1"/>
  <c r="E111" i="4" s="1"/>
  <c r="F111" i="4" s="1"/>
  <c r="E248" i="4"/>
  <c r="B129" i="4"/>
  <c r="C129" i="4" s="1"/>
  <c r="K225" i="4"/>
  <c r="L247" i="4"/>
  <c r="F247" i="4"/>
  <c r="D227" i="4"/>
  <c r="B84" i="4"/>
  <c r="C84" i="4" s="1"/>
  <c r="C85" i="4" s="1"/>
  <c r="D249" i="4"/>
  <c r="D205" i="4"/>
  <c r="E226" i="4"/>
  <c r="F226" i="4" s="1"/>
  <c r="C271" i="4"/>
  <c r="D128" i="4"/>
  <c r="E128" i="4" s="1"/>
  <c r="F128" i="4" s="1"/>
  <c r="C228" i="4"/>
  <c r="G227" i="4" s="1"/>
  <c r="C128" i="4"/>
  <c r="G127" i="4" s="1"/>
  <c r="L290" i="4"/>
  <c r="F290" i="4"/>
  <c r="G269" i="4"/>
  <c r="H269" i="4" s="1"/>
  <c r="I269" i="4" s="1"/>
  <c r="G226" i="4"/>
  <c r="E268" i="4"/>
  <c r="H268" i="4"/>
  <c r="I268" i="4" s="1"/>
  <c r="J289" i="4"/>
  <c r="G307" i="4"/>
  <c r="K307" i="4"/>
  <c r="D307" i="4"/>
  <c r="C250" i="4"/>
  <c r="G249" i="4" s="1"/>
  <c r="K249" i="4" s="1"/>
  <c r="P304" i="4"/>
  <c r="Q303" i="4"/>
  <c r="K305" i="4"/>
  <c r="H305" i="4"/>
  <c r="I305" i="4" s="1"/>
  <c r="L305" i="4" s="1"/>
  <c r="M305" i="4" s="1"/>
  <c r="O305" i="4"/>
  <c r="F306" i="4"/>
  <c r="L306" i="4"/>
  <c r="M306" i="4" s="1"/>
  <c r="E269" i="4"/>
  <c r="J203" i="4"/>
  <c r="B64" i="4"/>
  <c r="E204" i="4"/>
  <c r="F204" i="4" s="1"/>
  <c r="G248" i="4"/>
  <c r="H248" i="4" s="1"/>
  <c r="I248" i="4" s="1"/>
  <c r="D83" i="4"/>
  <c r="E83" i="4" s="1"/>
  <c r="J224" i="4"/>
  <c r="E176" i="4"/>
  <c r="F176" i="4" s="1"/>
  <c r="B309" i="4"/>
  <c r="C309" i="4" s="1"/>
  <c r="C292" i="4"/>
  <c r="D292" i="4" s="1"/>
  <c r="J290" i="4"/>
  <c r="K290" i="4"/>
  <c r="G154" i="4"/>
  <c r="G153" i="4"/>
  <c r="H153" i="4" s="1"/>
  <c r="D109" i="4"/>
  <c r="E109" i="4" s="1"/>
  <c r="F109" i="4" s="1"/>
  <c r="D155" i="4"/>
  <c r="D63" i="4"/>
  <c r="J247" i="4"/>
  <c r="K247" i="4"/>
  <c r="J306" i="4"/>
  <c r="G176" i="4"/>
  <c r="H176" i="4" s="1"/>
  <c r="I176" i="4" s="1"/>
  <c r="N289" i="4"/>
  <c r="E291" i="4"/>
  <c r="D308" i="4"/>
  <c r="H225" i="4"/>
  <c r="I225" i="4" s="1"/>
  <c r="J267" i="4"/>
  <c r="K267" i="4"/>
  <c r="H267" i="4"/>
  <c r="I267" i="4" s="1"/>
  <c r="L267" i="4" s="1"/>
  <c r="G205" i="4"/>
  <c r="C206" i="4"/>
  <c r="C156" i="4"/>
  <c r="G204" i="4"/>
  <c r="H204" i="4" s="1"/>
  <c r="I204" i="4" s="1"/>
  <c r="D154" i="4"/>
  <c r="D270" i="4"/>
  <c r="B21" i="1"/>
  <c r="C20" i="1"/>
  <c r="D20" i="1" s="1"/>
  <c r="H16" i="1"/>
  <c r="J261" i="1"/>
  <c r="Q260" i="1"/>
  <c r="T260" i="1" s="1"/>
  <c r="D262" i="1"/>
  <c r="E262" i="1" s="1"/>
  <c r="B264" i="1"/>
  <c r="C263" i="1"/>
  <c r="D245" i="1"/>
  <c r="E245" i="1" s="1"/>
  <c r="C246" i="1"/>
  <c r="B247" i="1"/>
  <c r="D227" i="1"/>
  <c r="E227" i="1" s="1"/>
  <c r="C228" i="1"/>
  <c r="B229" i="1"/>
  <c r="E208" i="1"/>
  <c r="F208" i="1" s="1"/>
  <c r="D209" i="1"/>
  <c r="E209" i="1" s="1"/>
  <c r="C210" i="1"/>
  <c r="B211" i="1"/>
  <c r="E190" i="1"/>
  <c r="F190" i="1" s="1"/>
  <c r="G190" i="1" s="1"/>
  <c r="I190" i="1" s="1"/>
  <c r="D191" i="1"/>
  <c r="E191" i="1" s="1"/>
  <c r="F191" i="1" s="1"/>
  <c r="C192" i="1"/>
  <c r="B193" i="1"/>
  <c r="D173" i="1"/>
  <c r="E173" i="1" s="1"/>
  <c r="F173" i="1" s="1"/>
  <c r="C174" i="1"/>
  <c r="B175" i="1"/>
  <c r="C156" i="1"/>
  <c r="B157" i="1"/>
  <c r="D155" i="1"/>
  <c r="E155" i="1" s="1"/>
  <c r="F155" i="1" s="1"/>
  <c r="C138" i="1"/>
  <c r="B139" i="1"/>
  <c r="D137" i="1"/>
  <c r="E137" i="1" s="1"/>
  <c r="F137" i="1" s="1"/>
  <c r="D119" i="1"/>
  <c r="E119" i="1" s="1"/>
  <c r="C120" i="1"/>
  <c r="B121" i="1"/>
  <c r="B103" i="1"/>
  <c r="C102" i="1"/>
  <c r="D101" i="1"/>
  <c r="E101" i="1" s="1"/>
  <c r="T261" i="1"/>
  <c r="J243" i="1"/>
  <c r="G189" i="1"/>
  <c r="I189" i="1" s="1"/>
  <c r="H189" i="1"/>
  <c r="L15" i="1"/>
  <c r="K16" i="1" s="1"/>
  <c r="J225" i="1"/>
  <c r="F261" i="1"/>
  <c r="M262" i="1"/>
  <c r="H260" i="1"/>
  <c r="F260" i="1"/>
  <c r="G260" i="1" s="1"/>
  <c r="I260" i="1" s="1"/>
  <c r="P263" i="1"/>
  <c r="N261" i="1"/>
  <c r="O261" i="1"/>
  <c r="M244" i="1"/>
  <c r="J244" i="1"/>
  <c r="H243" i="1"/>
  <c r="G243" i="1"/>
  <c r="I243" i="1" s="1"/>
  <c r="H242" i="1"/>
  <c r="F242" i="1"/>
  <c r="G242" i="1" s="1"/>
  <c r="I242" i="1" s="1"/>
  <c r="K242" i="1" s="1"/>
  <c r="L242" i="1" s="1"/>
  <c r="N243" i="1"/>
  <c r="O243" i="1"/>
  <c r="M226" i="1"/>
  <c r="J226" i="1"/>
  <c r="H225" i="1"/>
  <c r="G225" i="1"/>
  <c r="I225" i="1" s="1"/>
  <c r="H224" i="1"/>
  <c r="F224" i="1"/>
  <c r="G224" i="1" s="1"/>
  <c r="I224" i="1" s="1"/>
  <c r="K224" i="1" s="1"/>
  <c r="L224" i="1" s="1"/>
  <c r="N225" i="1"/>
  <c r="M209" i="1"/>
  <c r="M191" i="1"/>
  <c r="H154" i="1"/>
  <c r="G154" i="1"/>
  <c r="I154" i="1" s="1"/>
  <c r="F116" i="1"/>
  <c r="G116" i="1" s="1"/>
  <c r="F98" i="1"/>
  <c r="B84" i="1"/>
  <c r="C84" i="1" s="1"/>
  <c r="D84" i="1" s="1"/>
  <c r="B66" i="1"/>
  <c r="C65" i="1"/>
  <c r="D64" i="1"/>
  <c r="B48" i="1"/>
  <c r="C48" i="1" s="1"/>
  <c r="F17" i="1"/>
  <c r="G17" i="1" s="1"/>
  <c r="N17" i="1"/>
  <c r="O17" i="1"/>
  <c r="J17" i="1"/>
  <c r="P19" i="1"/>
  <c r="J18" i="1"/>
  <c r="M18" i="1"/>
  <c r="J290" i="5" l="1"/>
  <c r="N290" i="5" s="1"/>
  <c r="G250" i="5"/>
  <c r="O307" i="5"/>
  <c r="Q306" i="5" s="1"/>
  <c r="G293" i="5"/>
  <c r="K293" i="5" s="1"/>
  <c r="G310" i="5"/>
  <c r="H310" i="5" s="1"/>
  <c r="I310" i="5" s="1"/>
  <c r="N291" i="5"/>
  <c r="J309" i="5"/>
  <c r="K270" i="5"/>
  <c r="E176" i="5"/>
  <c r="F176" i="5" s="1"/>
  <c r="L249" i="5"/>
  <c r="F249" i="5"/>
  <c r="E205" i="5"/>
  <c r="F205" i="5" s="1"/>
  <c r="J225" i="4"/>
  <c r="G176" i="5"/>
  <c r="H176" i="5" s="1"/>
  <c r="I176" i="5" s="1"/>
  <c r="J204" i="5"/>
  <c r="E310" i="5"/>
  <c r="E250" i="5"/>
  <c r="H250" i="5"/>
  <c r="I250" i="5" s="1"/>
  <c r="P307" i="5"/>
  <c r="J227" i="5"/>
  <c r="K292" i="5"/>
  <c r="C207" i="5"/>
  <c r="D207" i="5" s="1"/>
  <c r="E207" i="5" s="1"/>
  <c r="F207" i="5" s="1"/>
  <c r="D206" i="5"/>
  <c r="D156" i="5"/>
  <c r="C157" i="5"/>
  <c r="G156" i="5" s="1"/>
  <c r="E155" i="5"/>
  <c r="F155" i="5" s="1"/>
  <c r="H155" i="5"/>
  <c r="J249" i="5"/>
  <c r="K250" i="5"/>
  <c r="H293" i="5"/>
  <c r="I293" i="5" s="1"/>
  <c r="E293" i="5"/>
  <c r="G205" i="5"/>
  <c r="H205" i="5" s="1"/>
  <c r="I205" i="5" s="1"/>
  <c r="K269" i="5"/>
  <c r="E228" i="5"/>
  <c r="F228" i="5" s="1"/>
  <c r="H270" i="5"/>
  <c r="I270" i="5" s="1"/>
  <c r="E270" i="5"/>
  <c r="G228" i="5"/>
  <c r="H228" i="5" s="1"/>
  <c r="I228" i="5" s="1"/>
  <c r="O308" i="5"/>
  <c r="N308" i="5"/>
  <c r="H292" i="5"/>
  <c r="I292" i="5" s="1"/>
  <c r="L292" i="5" s="1"/>
  <c r="M268" i="5"/>
  <c r="H269" i="5"/>
  <c r="I269" i="5" s="1"/>
  <c r="L269" i="5" s="1"/>
  <c r="L309" i="5"/>
  <c r="M309" i="5" s="1"/>
  <c r="F309" i="5"/>
  <c r="F292" i="5"/>
  <c r="G131" i="5"/>
  <c r="D131" i="5"/>
  <c r="E131" i="5" s="1"/>
  <c r="F131" i="5" s="1"/>
  <c r="F269" i="5"/>
  <c r="C272" i="5"/>
  <c r="D272" i="5" s="1"/>
  <c r="E272" i="5" s="1"/>
  <c r="F272" i="5" s="1"/>
  <c r="D271" i="5"/>
  <c r="C130" i="4"/>
  <c r="G128" i="4"/>
  <c r="E292" i="4"/>
  <c r="C310" i="4"/>
  <c r="G309" i="4"/>
  <c r="K309" i="4" s="1"/>
  <c r="G308" i="4"/>
  <c r="K226" i="4"/>
  <c r="C207" i="4"/>
  <c r="D207" i="4" s="1"/>
  <c r="E207" i="4" s="1"/>
  <c r="F207" i="4" s="1"/>
  <c r="G206" i="4"/>
  <c r="D206" i="4"/>
  <c r="F291" i="4"/>
  <c r="C64" i="4"/>
  <c r="C65" i="4" s="1"/>
  <c r="P305" i="4"/>
  <c r="Q304" i="4"/>
  <c r="J269" i="4"/>
  <c r="K269" i="4"/>
  <c r="C272" i="4"/>
  <c r="D272" i="4" s="1"/>
  <c r="E272" i="4" s="1"/>
  <c r="F272" i="4" s="1"/>
  <c r="G271" i="4"/>
  <c r="D271" i="4"/>
  <c r="C86" i="4"/>
  <c r="D86" i="4" s="1"/>
  <c r="E86" i="4" s="1"/>
  <c r="D85" i="4"/>
  <c r="E85" i="4" s="1"/>
  <c r="E308" i="4"/>
  <c r="H205" i="4"/>
  <c r="I205" i="4" s="1"/>
  <c r="E205" i="4"/>
  <c r="F205" i="4" s="1"/>
  <c r="C251" i="4"/>
  <c r="D251" i="4" s="1"/>
  <c r="E251" i="4" s="1"/>
  <c r="F251" i="4" s="1"/>
  <c r="D250" i="4"/>
  <c r="E307" i="4"/>
  <c r="H307" i="4"/>
  <c r="I307" i="4" s="1"/>
  <c r="N290" i="4"/>
  <c r="G270" i="4"/>
  <c r="H270" i="4" s="1"/>
  <c r="I270" i="4" s="1"/>
  <c r="D84" i="4"/>
  <c r="E84" i="4" s="1"/>
  <c r="D309" i="4"/>
  <c r="L268" i="4"/>
  <c r="M268" i="4" s="1"/>
  <c r="F268" i="4"/>
  <c r="M267" i="4"/>
  <c r="M290" i="4"/>
  <c r="H227" i="4"/>
  <c r="I227" i="4" s="1"/>
  <c r="E227" i="4"/>
  <c r="F227" i="4" s="1"/>
  <c r="F248" i="4"/>
  <c r="L248" i="4"/>
  <c r="N306" i="4"/>
  <c r="H155" i="4"/>
  <c r="E155" i="4"/>
  <c r="F155" i="4" s="1"/>
  <c r="E270" i="4"/>
  <c r="F269" i="4"/>
  <c r="L269" i="4"/>
  <c r="J305" i="4"/>
  <c r="N305" i="4" s="1"/>
  <c r="J268" i="4"/>
  <c r="C157" i="4"/>
  <c r="G156" i="4" s="1"/>
  <c r="D156" i="4"/>
  <c r="D129" i="4"/>
  <c r="E129" i="4" s="1"/>
  <c r="F129" i="4" s="1"/>
  <c r="H154" i="4"/>
  <c r="E154" i="4"/>
  <c r="F154" i="4" s="1"/>
  <c r="J248" i="4"/>
  <c r="K248" i="4"/>
  <c r="C229" i="4"/>
  <c r="D229" i="4" s="1"/>
  <c r="E229" i="4" s="1"/>
  <c r="F229" i="4" s="1"/>
  <c r="D228" i="4"/>
  <c r="G155" i="4"/>
  <c r="H249" i="4"/>
  <c r="I249" i="4" s="1"/>
  <c r="E249" i="4"/>
  <c r="J204" i="4"/>
  <c r="C293" i="4"/>
  <c r="G291" i="4"/>
  <c r="K227" i="4"/>
  <c r="H226" i="4"/>
  <c r="I226" i="4" s="1"/>
  <c r="B22" i="1"/>
  <c r="C21" i="1"/>
  <c r="D21" i="1" s="1"/>
  <c r="J262" i="1"/>
  <c r="L16" i="1"/>
  <c r="L259" i="1"/>
  <c r="K260" i="1" s="1"/>
  <c r="Q261" i="1" s="1"/>
  <c r="T262" i="1" s="1"/>
  <c r="W269" i="1" s="1"/>
  <c r="D263" i="1"/>
  <c r="E263" i="1" s="1"/>
  <c r="C264" i="1"/>
  <c r="D264" i="1" s="1"/>
  <c r="B265" i="1"/>
  <c r="D246" i="1"/>
  <c r="E246" i="1" s="1"/>
  <c r="B248" i="1"/>
  <c r="C247" i="1"/>
  <c r="B230" i="1"/>
  <c r="C229" i="1"/>
  <c r="D228" i="1"/>
  <c r="E228" i="1" s="1"/>
  <c r="B212" i="1"/>
  <c r="C211" i="1"/>
  <c r="D210" i="1"/>
  <c r="E210" i="1" s="1"/>
  <c r="B194" i="1"/>
  <c r="C193" i="1"/>
  <c r="D192" i="1"/>
  <c r="E192" i="1" s="1"/>
  <c r="B176" i="1"/>
  <c r="C175" i="1"/>
  <c r="D174" i="1"/>
  <c r="E174" i="1" s="1"/>
  <c r="F174" i="1" s="1"/>
  <c r="B158" i="1"/>
  <c r="C157" i="1"/>
  <c r="D156" i="1"/>
  <c r="E156" i="1" s="1"/>
  <c r="D138" i="1"/>
  <c r="E138" i="1" s="1"/>
  <c r="B140" i="1"/>
  <c r="C139" i="1"/>
  <c r="D120" i="1"/>
  <c r="E120" i="1" s="1"/>
  <c r="B122" i="1"/>
  <c r="C121" i="1"/>
  <c r="B104" i="1"/>
  <c r="C103" i="1"/>
  <c r="D102" i="1"/>
  <c r="E102" i="1" s="1"/>
  <c r="W268" i="1"/>
  <c r="H208" i="1"/>
  <c r="T263" i="1"/>
  <c r="H261" i="1"/>
  <c r="H190" i="1"/>
  <c r="G261" i="1"/>
  <c r="I261" i="1" s="1"/>
  <c r="G208" i="1"/>
  <c r="I208" i="1" s="1"/>
  <c r="L206" i="1"/>
  <c r="K207" i="1" s="1"/>
  <c r="L207" i="1" s="1"/>
  <c r="K225" i="1"/>
  <c r="L225" i="1" s="1"/>
  <c r="K243" i="1"/>
  <c r="L243" i="1" s="1"/>
  <c r="M263" i="1"/>
  <c r="O262" i="1"/>
  <c r="N262" i="1"/>
  <c r="P264" i="1"/>
  <c r="F245" i="1"/>
  <c r="M245" i="1"/>
  <c r="O244" i="1"/>
  <c r="N244" i="1"/>
  <c r="J227" i="1"/>
  <c r="M227" i="1"/>
  <c r="N226" i="1"/>
  <c r="H209" i="1"/>
  <c r="M210" i="1"/>
  <c r="J209" i="1"/>
  <c r="F209" i="1"/>
  <c r="G209" i="1" s="1"/>
  <c r="I209" i="1" s="1"/>
  <c r="M192" i="1"/>
  <c r="J191" i="1"/>
  <c r="H191" i="1"/>
  <c r="G191" i="1"/>
  <c r="I191" i="1" s="1"/>
  <c r="H173" i="1"/>
  <c r="G173" i="1"/>
  <c r="I173" i="1" s="1"/>
  <c r="H172" i="1"/>
  <c r="F172" i="1"/>
  <c r="G172" i="1" s="1"/>
  <c r="I172" i="1" s="1"/>
  <c r="H155" i="1"/>
  <c r="G155" i="1"/>
  <c r="I155" i="1" s="1"/>
  <c r="H136" i="1"/>
  <c r="F136" i="1"/>
  <c r="G136" i="1" s="1"/>
  <c r="H137" i="1"/>
  <c r="G137" i="1"/>
  <c r="F117" i="1"/>
  <c r="G117" i="1" s="1"/>
  <c r="F101" i="1"/>
  <c r="E83" i="1"/>
  <c r="B85" i="1"/>
  <c r="C85" i="1" s="1"/>
  <c r="D85" i="1" s="1"/>
  <c r="E82" i="1"/>
  <c r="D65" i="1"/>
  <c r="B67" i="1"/>
  <c r="C66" i="1"/>
  <c r="B49" i="1"/>
  <c r="C49" i="1" s="1"/>
  <c r="E18" i="1"/>
  <c r="F18" i="1" s="1"/>
  <c r="G18" i="1" s="1"/>
  <c r="M19" i="1"/>
  <c r="J19" i="1"/>
  <c r="H17" i="1"/>
  <c r="O18" i="1"/>
  <c r="N18" i="1"/>
  <c r="P20" i="1"/>
  <c r="M292" i="5" l="1"/>
  <c r="K310" i="5"/>
  <c r="J250" i="5"/>
  <c r="J269" i="5"/>
  <c r="J293" i="5"/>
  <c r="G206" i="5"/>
  <c r="F250" i="5"/>
  <c r="L250" i="5"/>
  <c r="E271" i="5"/>
  <c r="P308" i="5"/>
  <c r="Q307" i="5"/>
  <c r="J292" i="5"/>
  <c r="N292" i="5" s="1"/>
  <c r="L310" i="5"/>
  <c r="F310" i="5"/>
  <c r="O309" i="5"/>
  <c r="N309" i="5"/>
  <c r="J228" i="5"/>
  <c r="K228" i="5"/>
  <c r="F293" i="5"/>
  <c r="L293" i="5"/>
  <c r="M293" i="5" s="1"/>
  <c r="G157" i="5"/>
  <c r="D157" i="5"/>
  <c r="J310" i="5"/>
  <c r="G271" i="5"/>
  <c r="H271" i="5" s="1"/>
  <c r="I271" i="5" s="1"/>
  <c r="F270" i="5"/>
  <c r="L270" i="5"/>
  <c r="M270" i="5" s="1"/>
  <c r="E156" i="5"/>
  <c r="F156" i="5" s="1"/>
  <c r="H156" i="5"/>
  <c r="J205" i="5"/>
  <c r="M269" i="5"/>
  <c r="H206" i="5"/>
  <c r="I206" i="5" s="1"/>
  <c r="E206" i="5"/>
  <c r="F206" i="5" s="1"/>
  <c r="J270" i="5"/>
  <c r="G157" i="4"/>
  <c r="D157" i="4"/>
  <c r="E206" i="4"/>
  <c r="F206" i="4" s="1"/>
  <c r="H206" i="4"/>
  <c r="I206" i="4" s="1"/>
  <c r="F270" i="4"/>
  <c r="L270" i="4"/>
  <c r="J307" i="4"/>
  <c r="J205" i="4"/>
  <c r="F308" i="4"/>
  <c r="C311" i="4"/>
  <c r="D311" i="4" s="1"/>
  <c r="E311" i="4" s="1"/>
  <c r="F311" i="4" s="1"/>
  <c r="D310" i="4"/>
  <c r="K308" i="4"/>
  <c r="F307" i="4"/>
  <c r="L307" i="4"/>
  <c r="M307" i="4" s="1"/>
  <c r="O306" i="4"/>
  <c r="E250" i="4"/>
  <c r="F292" i="4"/>
  <c r="G293" i="4"/>
  <c r="C294" i="4"/>
  <c r="D294" i="4" s="1"/>
  <c r="E294" i="4" s="1"/>
  <c r="F294" i="4" s="1"/>
  <c r="D293" i="4"/>
  <c r="L249" i="4"/>
  <c r="F249" i="4"/>
  <c r="K291" i="4"/>
  <c r="H291" i="4"/>
  <c r="I291" i="4" s="1"/>
  <c r="L291" i="4" s="1"/>
  <c r="M291" i="4" s="1"/>
  <c r="E228" i="4"/>
  <c r="F228" i="4" s="1"/>
  <c r="M269" i="4"/>
  <c r="E309" i="4"/>
  <c r="H309" i="4"/>
  <c r="I309" i="4" s="1"/>
  <c r="J226" i="4"/>
  <c r="H308" i="4"/>
  <c r="I308" i="4" s="1"/>
  <c r="L308" i="4" s="1"/>
  <c r="M308" i="4" s="1"/>
  <c r="G228" i="4"/>
  <c r="H228" i="4" s="1"/>
  <c r="I228" i="4" s="1"/>
  <c r="J249" i="4"/>
  <c r="E271" i="4"/>
  <c r="H271" i="4"/>
  <c r="I271" i="4" s="1"/>
  <c r="C66" i="4"/>
  <c r="D66" i="4" s="1"/>
  <c r="D65" i="4"/>
  <c r="D64" i="4"/>
  <c r="J206" i="4"/>
  <c r="G292" i="4"/>
  <c r="H156" i="4"/>
  <c r="E156" i="4"/>
  <c r="F156" i="4" s="1"/>
  <c r="J270" i="4"/>
  <c r="K270" i="4"/>
  <c r="G250" i="4"/>
  <c r="K271" i="4"/>
  <c r="J227" i="4"/>
  <c r="C131" i="4"/>
  <c r="D130" i="4"/>
  <c r="E130" i="4" s="1"/>
  <c r="F130" i="4" s="1"/>
  <c r="B23" i="1"/>
  <c r="C22" i="1"/>
  <c r="D22" i="1" s="1"/>
  <c r="J210" i="1"/>
  <c r="J263" i="1"/>
  <c r="J192" i="1"/>
  <c r="E264" i="1"/>
  <c r="C265" i="1"/>
  <c r="B266" i="1"/>
  <c r="D247" i="1"/>
  <c r="E247" i="1" s="1"/>
  <c r="C248" i="1"/>
  <c r="B249" i="1"/>
  <c r="D229" i="1"/>
  <c r="E229" i="1" s="1"/>
  <c r="C230" i="1"/>
  <c r="B231" i="1"/>
  <c r="D211" i="1"/>
  <c r="E211" i="1" s="1"/>
  <c r="C212" i="1"/>
  <c r="B213" i="1"/>
  <c r="D193" i="1"/>
  <c r="E193" i="1" s="1"/>
  <c r="C194" i="1"/>
  <c r="B195" i="1"/>
  <c r="C176" i="1"/>
  <c r="B177" i="1"/>
  <c r="D175" i="1"/>
  <c r="E175" i="1" s="1"/>
  <c r="D157" i="1"/>
  <c r="E157" i="1" s="1"/>
  <c r="C158" i="1"/>
  <c r="B159" i="1"/>
  <c r="C140" i="1"/>
  <c r="B141" i="1"/>
  <c r="D139" i="1"/>
  <c r="E139" i="1" s="1"/>
  <c r="F139" i="1" s="1"/>
  <c r="C122" i="1"/>
  <c r="B123" i="1"/>
  <c r="D121" i="1"/>
  <c r="E121" i="1" s="1"/>
  <c r="D103" i="1"/>
  <c r="E103" i="1" s="1"/>
  <c r="C104" i="1"/>
  <c r="B105" i="1"/>
  <c r="L260" i="1"/>
  <c r="K261" i="1" s="1"/>
  <c r="U263" i="1"/>
  <c r="T267" i="1"/>
  <c r="T265" i="1"/>
  <c r="F210" i="1"/>
  <c r="K208" i="1"/>
  <c r="L208" i="1" s="1"/>
  <c r="K209" i="1" s="1"/>
  <c r="L209" i="1" s="1"/>
  <c r="F192" i="1"/>
  <c r="F263" i="1"/>
  <c r="J245" i="1"/>
  <c r="F227" i="1"/>
  <c r="M264" i="1"/>
  <c r="N263" i="1"/>
  <c r="O263" i="1"/>
  <c r="H262" i="1"/>
  <c r="F262" i="1"/>
  <c r="G262" i="1" s="1"/>
  <c r="I262" i="1" s="1"/>
  <c r="P265" i="1"/>
  <c r="M246" i="1"/>
  <c r="J246" i="1"/>
  <c r="N245" i="1"/>
  <c r="O245" i="1"/>
  <c r="H244" i="1"/>
  <c r="F244" i="1"/>
  <c r="G244" i="1" s="1"/>
  <c r="I244" i="1" s="1"/>
  <c r="K244" i="1" s="1"/>
  <c r="L244" i="1" s="1"/>
  <c r="H245" i="1"/>
  <c r="G245" i="1"/>
  <c r="I245" i="1" s="1"/>
  <c r="M228" i="1"/>
  <c r="J228" i="1"/>
  <c r="N227" i="1"/>
  <c r="H226" i="1"/>
  <c r="F226" i="1"/>
  <c r="G226" i="1" s="1"/>
  <c r="I226" i="1" s="1"/>
  <c r="K226" i="1" s="1"/>
  <c r="L226" i="1" s="1"/>
  <c r="M211" i="1"/>
  <c r="H192" i="1"/>
  <c r="M193" i="1"/>
  <c r="H174" i="1"/>
  <c r="G174" i="1"/>
  <c r="I174" i="1" s="1"/>
  <c r="M175" i="1"/>
  <c r="H138" i="1"/>
  <c r="F138" i="1"/>
  <c r="G138" i="1" s="1"/>
  <c r="F118" i="1"/>
  <c r="G118" i="1" s="1"/>
  <c r="F100" i="1"/>
  <c r="B86" i="1"/>
  <c r="C86" i="1" s="1"/>
  <c r="D86" i="1" s="1"/>
  <c r="D87" i="1" s="1"/>
  <c r="D88" i="1" s="1"/>
  <c r="D89" i="1" s="1"/>
  <c r="D90" i="1" s="1"/>
  <c r="D66" i="1"/>
  <c r="B68" i="1"/>
  <c r="C67" i="1"/>
  <c r="B50" i="1"/>
  <c r="C50" i="1" s="1"/>
  <c r="E19" i="1"/>
  <c r="I17" i="1"/>
  <c r="K17" i="1" s="1"/>
  <c r="L17" i="1" s="1"/>
  <c r="H18" i="1"/>
  <c r="I18" i="1"/>
  <c r="M20" i="1"/>
  <c r="E20" i="1"/>
  <c r="P21" i="1"/>
  <c r="O19" i="1"/>
  <c r="N19" i="1"/>
  <c r="M310" i="5" l="1"/>
  <c r="N293" i="5"/>
  <c r="J271" i="5"/>
  <c r="K271" i="5"/>
  <c r="F271" i="5"/>
  <c r="L271" i="5"/>
  <c r="J309" i="4"/>
  <c r="P309" i="5"/>
  <c r="Q308" i="5"/>
  <c r="H157" i="5"/>
  <c r="E157" i="5"/>
  <c r="F157" i="5" s="1"/>
  <c r="O310" i="5"/>
  <c r="N310" i="5"/>
  <c r="J206" i="5"/>
  <c r="K250" i="4"/>
  <c r="E310" i="4"/>
  <c r="J271" i="4"/>
  <c r="F250" i="4"/>
  <c r="L250" i="4"/>
  <c r="L309" i="4"/>
  <c r="M309" i="4" s="1"/>
  <c r="F309" i="4"/>
  <c r="H250" i="4"/>
  <c r="I250" i="4" s="1"/>
  <c r="G310" i="4"/>
  <c r="H310" i="4" s="1"/>
  <c r="I310" i="4" s="1"/>
  <c r="M270" i="4"/>
  <c r="H293" i="4"/>
  <c r="I293" i="4" s="1"/>
  <c r="E293" i="4"/>
  <c r="G131" i="4"/>
  <c r="D131" i="4"/>
  <c r="E131" i="4" s="1"/>
  <c r="F131" i="4" s="1"/>
  <c r="K292" i="4"/>
  <c r="H292" i="4"/>
  <c r="I292" i="4" s="1"/>
  <c r="L292" i="4" s="1"/>
  <c r="M292" i="4" s="1"/>
  <c r="J228" i="4"/>
  <c r="K228" i="4"/>
  <c r="O307" i="4"/>
  <c r="N307" i="4"/>
  <c r="O308" i="4"/>
  <c r="K293" i="4"/>
  <c r="H157" i="4"/>
  <c r="E157" i="4"/>
  <c r="F157" i="4" s="1"/>
  <c r="F271" i="4"/>
  <c r="L271" i="4"/>
  <c r="M271" i="4" s="1"/>
  <c r="P306" i="4"/>
  <c r="Q305" i="4"/>
  <c r="J291" i="4"/>
  <c r="N291" i="4" s="1"/>
  <c r="J308" i="4"/>
  <c r="N308" i="4" s="1"/>
  <c r="B24" i="1"/>
  <c r="C23" i="1"/>
  <c r="J211" i="1"/>
  <c r="J264" i="1"/>
  <c r="J193" i="1"/>
  <c r="Q262" i="1"/>
  <c r="T264" i="1" s="1"/>
  <c r="W270" i="1" s="1"/>
  <c r="L261" i="1"/>
  <c r="C266" i="1"/>
  <c r="D266" i="1" s="1"/>
  <c r="B267" i="1"/>
  <c r="D265" i="1"/>
  <c r="E265" i="1" s="1"/>
  <c r="F265" i="1" s="1"/>
  <c r="B250" i="1"/>
  <c r="C249" i="1"/>
  <c r="D248" i="1"/>
  <c r="D249" i="1" s="1"/>
  <c r="D250" i="1" s="1"/>
  <c r="D251" i="1" s="1"/>
  <c r="D252" i="1" s="1"/>
  <c r="B232" i="1"/>
  <c r="C231" i="1"/>
  <c r="D230" i="1"/>
  <c r="D231" i="1" s="1"/>
  <c r="D232" i="1" s="1"/>
  <c r="D233" i="1" s="1"/>
  <c r="D234" i="1" s="1"/>
  <c r="D212" i="1"/>
  <c r="D213" i="1" s="1"/>
  <c r="D214" i="1" s="1"/>
  <c r="D215" i="1" s="1"/>
  <c r="D216" i="1" s="1"/>
  <c r="B214" i="1"/>
  <c r="C213" i="1"/>
  <c r="B196" i="1"/>
  <c r="C195" i="1"/>
  <c r="D194" i="1"/>
  <c r="D195" i="1" s="1"/>
  <c r="D196" i="1" s="1"/>
  <c r="D197" i="1" s="1"/>
  <c r="D198" i="1" s="1"/>
  <c r="D176" i="1"/>
  <c r="D177" i="1" s="1"/>
  <c r="D178" i="1" s="1"/>
  <c r="D179" i="1" s="1"/>
  <c r="D180" i="1" s="1"/>
  <c r="B178" i="1"/>
  <c r="C177" i="1"/>
  <c r="C159" i="1"/>
  <c r="B160" i="1"/>
  <c r="D158" i="1"/>
  <c r="D159" i="1" s="1"/>
  <c r="D160" i="1" s="1"/>
  <c r="D161" i="1" s="1"/>
  <c r="D162" i="1" s="1"/>
  <c r="B142" i="1"/>
  <c r="C141" i="1"/>
  <c r="D140" i="1"/>
  <c r="D141" i="1" s="1"/>
  <c r="D142" i="1" s="1"/>
  <c r="D143" i="1" s="1"/>
  <c r="D144" i="1" s="1"/>
  <c r="B124" i="1"/>
  <c r="C123" i="1"/>
  <c r="D122" i="1"/>
  <c r="D123" i="1" s="1"/>
  <c r="D124" i="1" s="1"/>
  <c r="D125" i="1" s="1"/>
  <c r="D126" i="1" s="1"/>
  <c r="B106" i="1"/>
  <c r="C105" i="1"/>
  <c r="D104" i="1"/>
  <c r="D105" i="1" s="1"/>
  <c r="D106" i="1" s="1"/>
  <c r="D107" i="1" s="1"/>
  <c r="D108" i="1" s="1"/>
  <c r="U265" i="1"/>
  <c r="K262" i="1"/>
  <c r="Q263" i="1" s="1"/>
  <c r="T266" i="1" s="1"/>
  <c r="W271" i="1" s="1"/>
  <c r="G192" i="1"/>
  <c r="I192" i="1" s="1"/>
  <c r="H263" i="1"/>
  <c r="G227" i="1"/>
  <c r="I227" i="1" s="1"/>
  <c r="K227" i="1" s="1"/>
  <c r="L227" i="1" s="1"/>
  <c r="G210" i="1"/>
  <c r="I210" i="1" s="1"/>
  <c r="K210" i="1" s="1"/>
  <c r="L210" i="1" s="1"/>
  <c r="H227" i="1"/>
  <c r="H210" i="1"/>
  <c r="G263" i="1"/>
  <c r="I263" i="1" s="1"/>
  <c r="F211" i="1"/>
  <c r="M265" i="1"/>
  <c r="O264" i="1"/>
  <c r="N264" i="1"/>
  <c r="P266" i="1"/>
  <c r="K245" i="1"/>
  <c r="L245" i="1" s="1"/>
  <c r="F247" i="1"/>
  <c r="M247" i="1"/>
  <c r="O246" i="1"/>
  <c r="N246" i="1"/>
  <c r="J229" i="1"/>
  <c r="M229" i="1"/>
  <c r="N228" i="1"/>
  <c r="M212" i="1"/>
  <c r="M194" i="1"/>
  <c r="H175" i="1"/>
  <c r="F175" i="1"/>
  <c r="G175" i="1" s="1"/>
  <c r="I175" i="1" s="1"/>
  <c r="M176" i="1"/>
  <c r="H156" i="1"/>
  <c r="F156" i="1"/>
  <c r="G156" i="1" s="1"/>
  <c r="I156" i="1" s="1"/>
  <c r="H157" i="1"/>
  <c r="F157" i="1"/>
  <c r="G157" i="1" s="1"/>
  <c r="I157" i="1" s="1"/>
  <c r="H139" i="1"/>
  <c r="G139" i="1"/>
  <c r="F119" i="1"/>
  <c r="G119" i="1" s="1"/>
  <c r="B87" i="1"/>
  <c r="C87" i="1" s="1"/>
  <c r="E85" i="1"/>
  <c r="E84" i="1"/>
  <c r="B69" i="1"/>
  <c r="C68" i="1"/>
  <c r="D67" i="1"/>
  <c r="B51" i="1"/>
  <c r="C51" i="1" s="1"/>
  <c r="F20" i="1"/>
  <c r="G20" i="1" s="1"/>
  <c r="I20" i="1" s="1"/>
  <c r="F19" i="1"/>
  <c r="G19" i="1" s="1"/>
  <c r="I19" i="1" s="1"/>
  <c r="K18" i="1"/>
  <c r="L18" i="1" s="1"/>
  <c r="H20" i="1"/>
  <c r="H19" i="1"/>
  <c r="P22" i="1"/>
  <c r="M21" i="1"/>
  <c r="E21" i="1"/>
  <c r="N20" i="1"/>
  <c r="O20" i="1"/>
  <c r="J20" i="1"/>
  <c r="P310" i="5" l="1"/>
  <c r="Q309" i="5"/>
  <c r="M271" i="5"/>
  <c r="D23" i="1"/>
  <c r="D24" i="1" s="1"/>
  <c r="M23" i="1"/>
  <c r="J293" i="4"/>
  <c r="F293" i="4"/>
  <c r="L293" i="4"/>
  <c r="M293" i="4" s="1"/>
  <c r="P307" i="4"/>
  <c r="Q306" i="4"/>
  <c r="J310" i="4"/>
  <c r="K310" i="4"/>
  <c r="L310" i="4"/>
  <c r="F310" i="4"/>
  <c r="Q307" i="4"/>
  <c r="P308" i="4"/>
  <c r="J292" i="4"/>
  <c r="N292" i="4" s="1"/>
  <c r="N309" i="4"/>
  <c r="O309" i="4"/>
  <c r="J250" i="4"/>
  <c r="B25" i="1"/>
  <c r="C24" i="1"/>
  <c r="J194" i="1"/>
  <c r="E195" i="1"/>
  <c r="E177" i="1"/>
  <c r="E213" i="1"/>
  <c r="E140" i="1"/>
  <c r="F140" i="1" s="1"/>
  <c r="E104" i="1"/>
  <c r="E176" i="1"/>
  <c r="E105" i="1"/>
  <c r="E194" i="1"/>
  <c r="F194" i="1" s="1"/>
  <c r="D267" i="1"/>
  <c r="B268" i="1"/>
  <c r="C267" i="1"/>
  <c r="E248" i="1"/>
  <c r="E249" i="1"/>
  <c r="C250" i="1"/>
  <c r="E250" i="1" s="1"/>
  <c r="B251" i="1"/>
  <c r="E230" i="1"/>
  <c r="E231" i="1"/>
  <c r="C232" i="1"/>
  <c r="E232" i="1" s="1"/>
  <c r="B233" i="1"/>
  <c r="C214" i="1"/>
  <c r="E214" i="1" s="1"/>
  <c r="B215" i="1"/>
  <c r="E212" i="1"/>
  <c r="F212" i="1" s="1"/>
  <c r="C196" i="1"/>
  <c r="E196" i="1" s="1"/>
  <c r="B197" i="1"/>
  <c r="C178" i="1"/>
  <c r="E178" i="1" s="1"/>
  <c r="B179" i="1"/>
  <c r="E158" i="1"/>
  <c r="F158" i="1" s="1"/>
  <c r="C160" i="1"/>
  <c r="E160" i="1" s="1"/>
  <c r="B161" i="1"/>
  <c r="E159" i="1"/>
  <c r="E141" i="1"/>
  <c r="F141" i="1" s="1"/>
  <c r="C142" i="1"/>
  <c r="E142" i="1" s="1"/>
  <c r="B143" i="1"/>
  <c r="E122" i="1"/>
  <c r="E123" i="1"/>
  <c r="C124" i="1"/>
  <c r="E124" i="1" s="1"/>
  <c r="B125" i="1"/>
  <c r="B107" i="1"/>
  <c r="C106" i="1"/>
  <c r="E106" i="1" s="1"/>
  <c r="L262" i="1"/>
  <c r="K263" i="1" s="1"/>
  <c r="Q264" i="1" s="1"/>
  <c r="T268" i="1" s="1"/>
  <c r="W272" i="1" s="1"/>
  <c r="U267" i="1"/>
  <c r="T269" i="1"/>
  <c r="H211" i="1"/>
  <c r="F229" i="1"/>
  <c r="G211" i="1"/>
  <c r="I211" i="1" s="1"/>
  <c r="K211" i="1" s="1"/>
  <c r="L211" i="1" s="1"/>
  <c r="J265" i="1"/>
  <c r="J247" i="1"/>
  <c r="H264" i="1"/>
  <c r="F264" i="1"/>
  <c r="G264" i="1" s="1"/>
  <c r="I264" i="1" s="1"/>
  <c r="T271" i="1" s="1"/>
  <c r="P267" i="1"/>
  <c r="H265" i="1"/>
  <c r="G265" i="1"/>
  <c r="I265" i="1" s="1"/>
  <c r="M266" i="1"/>
  <c r="N265" i="1"/>
  <c r="O265" i="1"/>
  <c r="H246" i="1"/>
  <c r="F246" i="1"/>
  <c r="G246" i="1" s="1"/>
  <c r="I246" i="1" s="1"/>
  <c r="K246" i="1" s="1"/>
  <c r="L246" i="1" s="1"/>
  <c r="H247" i="1"/>
  <c r="G247" i="1"/>
  <c r="I247" i="1" s="1"/>
  <c r="M248" i="1"/>
  <c r="N247" i="1"/>
  <c r="O247" i="1"/>
  <c r="M230" i="1"/>
  <c r="J230" i="1"/>
  <c r="N229" i="1"/>
  <c r="H228" i="1"/>
  <c r="F228" i="1"/>
  <c r="G228" i="1" s="1"/>
  <c r="I228" i="1" s="1"/>
  <c r="K228" i="1" s="1"/>
  <c r="L228" i="1" s="1"/>
  <c r="H229" i="1"/>
  <c r="J213" i="1"/>
  <c r="M213" i="1"/>
  <c r="J212" i="1"/>
  <c r="M195" i="1"/>
  <c r="H193" i="1"/>
  <c r="F193" i="1"/>
  <c r="G193" i="1" s="1"/>
  <c r="I193" i="1" s="1"/>
  <c r="M177" i="1"/>
  <c r="F120" i="1"/>
  <c r="G120" i="1" s="1"/>
  <c r="F102" i="1"/>
  <c r="F103" i="1"/>
  <c r="B88" i="1"/>
  <c r="C88" i="1" s="1"/>
  <c r="D68" i="1"/>
  <c r="B70" i="1"/>
  <c r="C69" i="1"/>
  <c r="B52" i="1"/>
  <c r="C52" i="1" s="1"/>
  <c r="F21" i="1"/>
  <c r="G21" i="1" s="1"/>
  <c r="I21" i="1" s="1"/>
  <c r="K19" i="1"/>
  <c r="L19" i="1" s="1"/>
  <c r="K20" i="1" s="1"/>
  <c r="L20" i="1" s="1"/>
  <c r="H21" i="1"/>
  <c r="P23" i="1"/>
  <c r="N21" i="1"/>
  <c r="O21" i="1"/>
  <c r="M22" i="1"/>
  <c r="J21" i="1"/>
  <c r="N293" i="4" l="1"/>
  <c r="M310" i="4"/>
  <c r="K21" i="1"/>
  <c r="D268" i="1"/>
  <c r="D269" i="1" s="1"/>
  <c r="D270" i="1" s="1"/>
  <c r="J24" i="1"/>
  <c r="P309" i="4"/>
  <c r="Q308" i="4"/>
  <c r="N310" i="4"/>
  <c r="O310" i="4"/>
  <c r="B26" i="1"/>
  <c r="C25" i="1"/>
  <c r="D25" i="1"/>
  <c r="D26" i="1" s="1"/>
  <c r="G212" i="1"/>
  <c r="I212" i="1" s="1"/>
  <c r="K212" i="1" s="1"/>
  <c r="L212" i="1" s="1"/>
  <c r="L213" i="1" s="1"/>
  <c r="L214" i="1" s="1"/>
  <c r="L215" i="1" s="1"/>
  <c r="L216" i="1" s="1"/>
  <c r="H212" i="1"/>
  <c r="G140" i="1"/>
  <c r="G158" i="1"/>
  <c r="I158" i="1" s="1"/>
  <c r="J22" i="1"/>
  <c r="H158" i="1"/>
  <c r="E266" i="1"/>
  <c r="H194" i="1"/>
  <c r="H140" i="1"/>
  <c r="E267" i="1"/>
  <c r="C268" i="1"/>
  <c r="B269" i="1"/>
  <c r="C251" i="1"/>
  <c r="E251" i="1" s="1"/>
  <c r="B252" i="1"/>
  <c r="C252" i="1" s="1"/>
  <c r="E252" i="1" s="1"/>
  <c r="B234" i="1"/>
  <c r="C234" i="1" s="1"/>
  <c r="E234" i="1" s="1"/>
  <c r="C233" i="1"/>
  <c r="E233" i="1" s="1"/>
  <c r="B216" i="1"/>
  <c r="C216" i="1" s="1"/>
  <c r="E216" i="1" s="1"/>
  <c r="C215" i="1"/>
  <c r="E215" i="1" s="1"/>
  <c r="B198" i="1"/>
  <c r="C198" i="1" s="1"/>
  <c r="E198" i="1" s="1"/>
  <c r="C197" i="1"/>
  <c r="E197" i="1" s="1"/>
  <c r="B180" i="1"/>
  <c r="C180" i="1" s="1"/>
  <c r="E180" i="1" s="1"/>
  <c r="C179" i="1"/>
  <c r="E179" i="1" s="1"/>
  <c r="B162" i="1"/>
  <c r="C162" i="1" s="1"/>
  <c r="E162" i="1" s="1"/>
  <c r="C161" i="1"/>
  <c r="E161" i="1" s="1"/>
  <c r="B144" i="1"/>
  <c r="C144" i="1" s="1"/>
  <c r="E144" i="1" s="1"/>
  <c r="C143" i="1"/>
  <c r="E143" i="1" s="1"/>
  <c r="B126" i="1"/>
  <c r="C126" i="1" s="1"/>
  <c r="E126" i="1" s="1"/>
  <c r="C125" i="1"/>
  <c r="E125" i="1" s="1"/>
  <c r="B108" i="1"/>
  <c r="C108" i="1" s="1"/>
  <c r="E108" i="1" s="1"/>
  <c r="C107" i="1"/>
  <c r="E107" i="1" s="1"/>
  <c r="T273" i="1"/>
  <c r="L263" i="1"/>
  <c r="K264" i="1" s="1"/>
  <c r="U269" i="1"/>
  <c r="G194" i="1"/>
  <c r="I194" i="1" s="1"/>
  <c r="K247" i="1"/>
  <c r="L247" i="1" s="1"/>
  <c r="G229" i="1"/>
  <c r="I229" i="1" s="1"/>
  <c r="K229" i="1" s="1"/>
  <c r="L229" i="1" s="1"/>
  <c r="J267" i="1"/>
  <c r="J266" i="1"/>
  <c r="O266" i="1"/>
  <c r="N266" i="1"/>
  <c r="M267" i="1"/>
  <c r="P268" i="1"/>
  <c r="J249" i="1"/>
  <c r="J248" i="1"/>
  <c r="O248" i="1"/>
  <c r="N248" i="1"/>
  <c r="M249" i="1"/>
  <c r="M231" i="1"/>
  <c r="N230" i="1"/>
  <c r="M214" i="1"/>
  <c r="H195" i="1"/>
  <c r="F195" i="1"/>
  <c r="G195" i="1" s="1"/>
  <c r="I195" i="1" s="1"/>
  <c r="J195" i="1"/>
  <c r="M196" i="1"/>
  <c r="F178" i="1"/>
  <c r="H176" i="1"/>
  <c r="F176" i="1"/>
  <c r="G176" i="1" s="1"/>
  <c r="I176" i="1" s="1"/>
  <c r="M178" i="1"/>
  <c r="F160" i="1"/>
  <c r="H141" i="1"/>
  <c r="G141" i="1"/>
  <c r="F121" i="1"/>
  <c r="G121" i="1" s="1"/>
  <c r="B89" i="1"/>
  <c r="C89" i="1" s="1"/>
  <c r="E86" i="1"/>
  <c r="B71" i="1"/>
  <c r="C70" i="1"/>
  <c r="D69" i="1"/>
  <c r="B53" i="1"/>
  <c r="C53" i="1" s="1"/>
  <c r="E22" i="1"/>
  <c r="L21" i="1"/>
  <c r="O22" i="1"/>
  <c r="N22" i="1"/>
  <c r="P24" i="1"/>
  <c r="E268" i="1" l="1"/>
  <c r="P310" i="4"/>
  <c r="Q309" i="4"/>
  <c r="B27" i="1"/>
  <c r="C27" i="1" s="1"/>
  <c r="C26" i="1"/>
  <c r="E23" i="1"/>
  <c r="F23" i="1" s="1"/>
  <c r="G23" i="1" s="1"/>
  <c r="J23" i="1"/>
  <c r="B270" i="1"/>
  <c r="C270" i="1" s="1"/>
  <c r="C269" i="1"/>
  <c r="E269" i="1" s="1"/>
  <c r="L264" i="1"/>
  <c r="K265" i="1" s="1"/>
  <c r="Q265" i="1"/>
  <c r="T270" i="1" s="1"/>
  <c r="W273" i="1" s="1"/>
  <c r="F267" i="1"/>
  <c r="F249" i="1"/>
  <c r="G249" i="1" s="1"/>
  <c r="I249" i="1" s="1"/>
  <c r="M268" i="1"/>
  <c r="P269" i="1"/>
  <c r="H266" i="1"/>
  <c r="F266" i="1"/>
  <c r="G266" i="1" s="1"/>
  <c r="I266" i="1" s="1"/>
  <c r="O267" i="1"/>
  <c r="N267" i="1"/>
  <c r="J268" i="1"/>
  <c r="M250" i="1"/>
  <c r="H248" i="1"/>
  <c r="F248" i="1"/>
  <c r="G248" i="1" s="1"/>
  <c r="I248" i="1" s="1"/>
  <c r="K248" i="1" s="1"/>
  <c r="L248" i="1" s="1"/>
  <c r="L249" i="1" s="1"/>
  <c r="L250" i="1" s="1"/>
  <c r="L251" i="1" s="1"/>
  <c r="L252" i="1" s="1"/>
  <c r="O249" i="1"/>
  <c r="N249" i="1"/>
  <c r="J232" i="1"/>
  <c r="H230" i="1"/>
  <c r="F230" i="1"/>
  <c r="G230" i="1" s="1"/>
  <c r="I230" i="1" s="1"/>
  <c r="K230" i="1" s="1"/>
  <c r="L230" i="1" s="1"/>
  <c r="L231" i="1" s="1"/>
  <c r="L232" i="1" s="1"/>
  <c r="L233" i="1" s="1"/>
  <c r="L234" i="1" s="1"/>
  <c r="M232" i="1"/>
  <c r="J231" i="1"/>
  <c r="N231" i="1"/>
  <c r="M215" i="1"/>
  <c r="H213" i="1"/>
  <c r="F213" i="1"/>
  <c r="G213" i="1" s="1"/>
  <c r="I213" i="1" s="1"/>
  <c r="M216" i="1"/>
  <c r="J214" i="1"/>
  <c r="M197" i="1"/>
  <c r="J196" i="1"/>
  <c r="M198" i="1"/>
  <c r="H177" i="1"/>
  <c r="F177" i="1"/>
  <c r="G177" i="1" s="1"/>
  <c r="I177" i="1" s="1"/>
  <c r="M180" i="1"/>
  <c r="G178" i="1"/>
  <c r="I178" i="1" s="1"/>
  <c r="H178" i="1"/>
  <c r="M179" i="1"/>
  <c r="G160" i="1"/>
  <c r="I160" i="1" s="1"/>
  <c r="H160" i="1"/>
  <c r="H159" i="1"/>
  <c r="F159" i="1"/>
  <c r="G159" i="1" s="1"/>
  <c r="I159" i="1" s="1"/>
  <c r="F123" i="1"/>
  <c r="G123" i="1" s="1"/>
  <c r="F122" i="1"/>
  <c r="G122" i="1" s="1"/>
  <c r="F104" i="1"/>
  <c r="F106" i="1"/>
  <c r="F105" i="1"/>
  <c r="E88" i="1"/>
  <c r="B90" i="1"/>
  <c r="C90" i="1" s="1"/>
  <c r="E87" i="1"/>
  <c r="D70" i="1"/>
  <c r="B72" i="1"/>
  <c r="C71" i="1"/>
  <c r="B54" i="1"/>
  <c r="C54" i="1" s="1"/>
  <c r="M24" i="1"/>
  <c r="F22" i="1"/>
  <c r="G22" i="1" s="1"/>
  <c r="I22" i="1" s="1"/>
  <c r="K22" i="1" s="1"/>
  <c r="L22" i="1" s="1"/>
  <c r="H22" i="1"/>
  <c r="P25" i="1"/>
  <c r="O23" i="1"/>
  <c r="N23" i="1"/>
  <c r="E24" i="1"/>
  <c r="N24" i="1" l="1"/>
  <c r="D27" i="1"/>
  <c r="T274" i="1"/>
  <c r="E270" i="1"/>
  <c r="M270" i="1"/>
  <c r="L265" i="1"/>
  <c r="K266" i="1" s="1"/>
  <c r="L266" i="1" s="1"/>
  <c r="L267" i="1" s="1"/>
  <c r="L268" i="1" s="1"/>
  <c r="L269" i="1" s="1"/>
  <c r="L270" i="1" s="1"/>
  <c r="Q266" i="1"/>
  <c r="H267" i="1"/>
  <c r="G267" i="1"/>
  <c r="I267" i="1" s="1"/>
  <c r="Q268" i="1" s="1"/>
  <c r="T277" i="1" s="1"/>
  <c r="W276" i="1" s="1"/>
  <c r="H249" i="1"/>
  <c r="O24" i="1"/>
  <c r="F232" i="1"/>
  <c r="G232" i="1" s="1"/>
  <c r="I232" i="1" s="1"/>
  <c r="J269" i="1"/>
  <c r="O268" i="1"/>
  <c r="N268" i="1"/>
  <c r="M269" i="1"/>
  <c r="P270" i="1"/>
  <c r="H250" i="1"/>
  <c r="F250" i="1"/>
  <c r="G250" i="1" s="1"/>
  <c r="I250" i="1" s="1"/>
  <c r="O250" i="1"/>
  <c r="N250" i="1"/>
  <c r="J250" i="1"/>
  <c r="J251" i="1"/>
  <c r="M251" i="1"/>
  <c r="H231" i="1"/>
  <c r="F231" i="1"/>
  <c r="G231" i="1" s="1"/>
  <c r="I231" i="1" s="1"/>
  <c r="M233" i="1"/>
  <c r="N232" i="1"/>
  <c r="H214" i="1"/>
  <c r="F214" i="1"/>
  <c r="G214" i="1" s="1"/>
  <c r="I214" i="1" s="1"/>
  <c r="J215" i="1"/>
  <c r="H196" i="1"/>
  <c r="F196" i="1"/>
  <c r="G196" i="1" s="1"/>
  <c r="I196" i="1" s="1"/>
  <c r="J197" i="1"/>
  <c r="H179" i="1"/>
  <c r="F179" i="1"/>
  <c r="G179" i="1" s="1"/>
  <c r="I179" i="1" s="1"/>
  <c r="H142" i="1"/>
  <c r="F142" i="1"/>
  <c r="G142" i="1" s="1"/>
  <c r="F125" i="1"/>
  <c r="C72" i="1"/>
  <c r="D71" i="1"/>
  <c r="F24" i="1"/>
  <c r="G24" i="1" s="1"/>
  <c r="H23" i="1"/>
  <c r="I23" i="1"/>
  <c r="P26" i="1"/>
  <c r="E25" i="1"/>
  <c r="M25" i="1"/>
  <c r="K23" i="1" l="1"/>
  <c r="L23" i="1" s="1"/>
  <c r="T275" i="1"/>
  <c r="W275" i="1" s="1"/>
  <c r="T272" i="1"/>
  <c r="W274" i="1" s="1"/>
  <c r="Q267" i="1"/>
  <c r="T276" i="1" s="1"/>
  <c r="H232" i="1"/>
  <c r="F269" i="1"/>
  <c r="G269" i="1" s="1"/>
  <c r="I269" i="1" s="1"/>
  <c r="Q270" i="1" s="1"/>
  <c r="T279" i="1" s="1"/>
  <c r="W278" i="1" s="1"/>
  <c r="J233" i="1"/>
  <c r="O269" i="1"/>
  <c r="N269" i="1"/>
  <c r="H268" i="1"/>
  <c r="F268" i="1"/>
  <c r="G268" i="1" s="1"/>
  <c r="I268" i="1" s="1"/>
  <c r="Q269" i="1" s="1"/>
  <c r="T278" i="1" s="1"/>
  <c r="W277" i="1" s="1"/>
  <c r="M252" i="1"/>
  <c r="O251" i="1"/>
  <c r="N251" i="1"/>
  <c r="M234" i="1"/>
  <c r="H233" i="1"/>
  <c r="F233" i="1"/>
  <c r="G233" i="1" s="1"/>
  <c r="I233" i="1" s="1"/>
  <c r="N233" i="1"/>
  <c r="J198" i="1"/>
  <c r="J216" i="1"/>
  <c r="H215" i="1"/>
  <c r="F215" i="1"/>
  <c r="G215" i="1" s="1"/>
  <c r="I215" i="1" s="1"/>
  <c r="H216" i="1"/>
  <c r="F216" i="1"/>
  <c r="G216" i="1" s="1"/>
  <c r="I216" i="1" s="1"/>
  <c r="H197" i="1"/>
  <c r="F197" i="1"/>
  <c r="G197" i="1" s="1"/>
  <c r="I197" i="1" s="1"/>
  <c r="H198" i="1"/>
  <c r="F198" i="1"/>
  <c r="G198" i="1" s="1"/>
  <c r="I198" i="1" s="1"/>
  <c r="H180" i="1"/>
  <c r="F180" i="1"/>
  <c r="G180" i="1" s="1"/>
  <c r="I180" i="1" s="1"/>
  <c r="H162" i="1"/>
  <c r="F162" i="1"/>
  <c r="G162" i="1" s="1"/>
  <c r="I162" i="1" s="1"/>
  <c r="H161" i="1"/>
  <c r="F161" i="1"/>
  <c r="G161" i="1" s="1"/>
  <c r="I161" i="1" s="1"/>
  <c r="H143" i="1"/>
  <c r="F143" i="1"/>
  <c r="G143" i="1" s="1"/>
  <c r="H144" i="1"/>
  <c r="F144" i="1"/>
  <c r="G144" i="1" s="1"/>
  <c r="G125" i="1"/>
  <c r="F124" i="1"/>
  <c r="G124" i="1" s="1"/>
  <c r="E89" i="1"/>
  <c r="D72" i="1"/>
  <c r="M26" i="1"/>
  <c r="O26" i="1" s="1"/>
  <c r="F25" i="1"/>
  <c r="G25" i="1" s="1"/>
  <c r="I25" i="1" s="1"/>
  <c r="N25" i="1"/>
  <c r="O25" i="1"/>
  <c r="H24" i="1"/>
  <c r="I24" i="1"/>
  <c r="P27" i="1"/>
  <c r="H25" i="1"/>
  <c r="E26" i="1"/>
  <c r="J25" i="1"/>
  <c r="K24" i="1" l="1"/>
  <c r="L24" i="1" s="1"/>
  <c r="K25" i="1" s="1"/>
  <c r="L25" i="1" s="1"/>
  <c r="H269" i="1"/>
  <c r="N26" i="1"/>
  <c r="J234" i="1"/>
  <c r="H270" i="1"/>
  <c r="F270" i="1"/>
  <c r="G270" i="1" s="1"/>
  <c r="I270" i="1" s="1"/>
  <c r="O270" i="1"/>
  <c r="N270" i="1"/>
  <c r="J270" i="1"/>
  <c r="H252" i="1"/>
  <c r="F252" i="1"/>
  <c r="G252" i="1" s="1"/>
  <c r="I252" i="1" s="1"/>
  <c r="H251" i="1"/>
  <c r="F251" i="1"/>
  <c r="G251" i="1" s="1"/>
  <c r="I251" i="1" s="1"/>
  <c r="O252" i="1"/>
  <c r="N252" i="1"/>
  <c r="J252" i="1"/>
  <c r="H234" i="1"/>
  <c r="F234" i="1"/>
  <c r="G234" i="1" s="1"/>
  <c r="I234" i="1" s="1"/>
  <c r="N234" i="1"/>
  <c r="F126" i="1"/>
  <c r="G126" i="1" s="1"/>
  <c r="F107" i="1"/>
  <c r="E90" i="1"/>
  <c r="F26" i="1"/>
  <c r="G26" i="1" s="1"/>
  <c r="M27" i="1"/>
  <c r="N27" i="1" s="1"/>
  <c r="E27" i="1"/>
  <c r="J26" i="1"/>
  <c r="O27" i="1" l="1"/>
  <c r="F108" i="1"/>
  <c r="F27" i="1"/>
  <c r="G27" i="1" s="1"/>
  <c r="I27" i="1" s="1"/>
  <c r="H27" i="1"/>
  <c r="H26" i="1"/>
  <c r="I26" i="1"/>
  <c r="K26" i="1" s="1"/>
  <c r="L26" i="1" s="1"/>
  <c r="J27" i="1"/>
  <c r="K27" i="1" l="1"/>
  <c r="L27" i="1" s="1"/>
</calcChain>
</file>

<file path=xl/sharedStrings.xml><?xml version="1.0" encoding="utf-8"?>
<sst xmlns="http://schemas.openxmlformats.org/spreadsheetml/2006/main" count="1075" uniqueCount="92">
  <si>
    <t>t</t>
  </si>
  <si>
    <t>hdom</t>
  </si>
  <si>
    <t>N</t>
  </si>
  <si>
    <t>dg</t>
  </si>
  <si>
    <t>Nthin</t>
  </si>
  <si>
    <t>Vthin</t>
  </si>
  <si>
    <t>Vtot</t>
  </si>
  <si>
    <t>mai</t>
  </si>
  <si>
    <t>cai</t>
  </si>
  <si>
    <t>tai</t>
  </si>
  <si>
    <t>h</t>
  </si>
  <si>
    <t>Thinnings</t>
  </si>
  <si>
    <t>hdom     (m)</t>
  </si>
  <si>
    <t>hg                   (m)</t>
  </si>
  <si>
    <t>dg               (cm)</t>
  </si>
  <si>
    <r>
      <t>G             (m</t>
    </r>
    <r>
      <rPr>
        <vertAlign val="superscript"/>
        <sz val="11"/>
        <color theme="0"/>
        <rFont val="Calibri"/>
        <family val="2"/>
        <scheme val="minor"/>
      </rPr>
      <t>2</t>
    </r>
    <r>
      <rPr>
        <sz val="11"/>
        <color theme="0"/>
        <rFont val="Calibri"/>
        <family val="2"/>
        <scheme val="minor"/>
      </rPr>
      <t>ha</t>
    </r>
    <r>
      <rPr>
        <vertAlign val="superscript"/>
        <sz val="11"/>
        <color theme="0"/>
        <rFont val="Calibri"/>
        <family val="2"/>
        <scheme val="minor"/>
      </rPr>
      <t>-1</t>
    </r>
    <r>
      <rPr>
        <sz val="11"/>
        <color theme="0"/>
        <rFont val="Calibri"/>
        <family val="2"/>
        <scheme val="minor"/>
      </rPr>
      <t>)</t>
    </r>
  </si>
  <si>
    <r>
      <t>V             (m</t>
    </r>
    <r>
      <rPr>
        <vertAlign val="superscript"/>
        <sz val="11"/>
        <color theme="0"/>
        <rFont val="Calibri"/>
        <family val="2"/>
        <scheme val="minor"/>
      </rPr>
      <t>3</t>
    </r>
    <r>
      <rPr>
        <sz val="11"/>
        <color theme="0"/>
        <rFont val="Calibri"/>
        <family val="2"/>
        <scheme val="minor"/>
      </rPr>
      <t>ha</t>
    </r>
    <r>
      <rPr>
        <vertAlign val="superscript"/>
        <sz val="11"/>
        <color theme="0"/>
        <rFont val="Calibri"/>
        <family val="2"/>
        <scheme val="minor"/>
      </rPr>
      <t>-1</t>
    </r>
    <r>
      <rPr>
        <sz val="11"/>
        <color theme="0"/>
        <rFont val="Calibri"/>
        <family val="2"/>
        <scheme val="minor"/>
      </rPr>
      <t>)</t>
    </r>
  </si>
  <si>
    <r>
      <rPr>
        <sz val="10"/>
        <color theme="0"/>
        <rFont val="Symbol"/>
        <family val="1"/>
        <charset val="2"/>
      </rPr>
      <t>S</t>
    </r>
    <r>
      <rPr>
        <sz val="10"/>
        <color theme="0"/>
        <rFont val="Arial"/>
        <family val="2"/>
      </rPr>
      <t>Vthin</t>
    </r>
  </si>
  <si>
    <t>Fw=</t>
  </si>
  <si>
    <t>v</t>
  </si>
  <si>
    <r>
      <t xml:space="preserve"> vg          (m</t>
    </r>
    <r>
      <rPr>
        <vertAlign val="superscript"/>
        <sz val="11"/>
        <color theme="0"/>
        <rFont val="Calibri"/>
        <family val="2"/>
        <scheme val="minor"/>
      </rPr>
      <t>3</t>
    </r>
    <r>
      <rPr>
        <sz val="11"/>
        <color theme="0"/>
        <rFont val="Calibri"/>
        <family val="2"/>
        <scheme val="minor"/>
      </rPr>
      <t>ha</t>
    </r>
    <r>
      <rPr>
        <vertAlign val="superscript"/>
        <sz val="11"/>
        <color theme="0"/>
        <rFont val="Calibri"/>
        <family val="2"/>
        <scheme val="minor"/>
      </rPr>
      <t>-1</t>
    </r>
    <r>
      <rPr>
        <sz val="11"/>
        <color theme="0"/>
        <rFont val="Calibri"/>
        <family val="2"/>
        <scheme val="minor"/>
      </rPr>
      <t>)</t>
    </r>
  </si>
  <si>
    <t>Average tree</t>
  </si>
  <si>
    <t>Standing Stand After Thinning</t>
  </si>
  <si>
    <t>Increments</t>
  </si>
  <si>
    <t>S=</t>
  </si>
  <si>
    <t>Nthin = Nt-Nt-1</t>
  </si>
  <si>
    <t>mai = Vtot/t</t>
  </si>
  <si>
    <t>tai = (t-(t-1)) /2</t>
  </si>
  <si>
    <r>
      <t>cai = (V</t>
    </r>
    <r>
      <rPr>
        <vertAlign val="subscript"/>
        <sz val="11"/>
        <color theme="1"/>
        <rFont val="Calibri"/>
        <family val="2"/>
        <scheme val="minor"/>
      </rPr>
      <t>t</t>
    </r>
    <r>
      <rPr>
        <sz val="11"/>
        <color theme="1"/>
        <rFont val="Calibri"/>
        <family val="2"/>
        <scheme val="minor"/>
      </rPr>
      <t xml:space="preserve"> -V</t>
    </r>
    <r>
      <rPr>
        <vertAlign val="subscript"/>
        <sz val="11"/>
        <color theme="1"/>
        <rFont val="Calibri"/>
        <family val="2"/>
        <scheme val="minor"/>
      </rPr>
      <t>t-1</t>
    </r>
    <r>
      <rPr>
        <sz val="11"/>
        <color theme="1"/>
        <rFont val="Calibri"/>
        <family val="2"/>
        <scheme val="minor"/>
      </rPr>
      <t>)/(t-(t-1))</t>
    </r>
  </si>
  <si>
    <t>t=</t>
  </si>
  <si>
    <t>N=</t>
  </si>
  <si>
    <t>bt</t>
  </si>
  <si>
    <t>at</t>
  </si>
  <si>
    <r>
      <t>t</t>
    </r>
    <r>
      <rPr>
        <vertAlign val="subscript"/>
        <sz val="11"/>
        <color theme="1"/>
        <rFont val="Calibri"/>
        <family val="2"/>
        <scheme val="minor"/>
      </rPr>
      <t>max</t>
    </r>
    <r>
      <rPr>
        <sz val="11"/>
        <color theme="1"/>
        <rFont val="Calibri"/>
        <family val="2"/>
        <scheme val="minor"/>
      </rPr>
      <t>=</t>
    </r>
  </si>
  <si>
    <r>
      <t>N</t>
    </r>
    <r>
      <rPr>
        <vertAlign val="subscript"/>
        <sz val="11"/>
        <color theme="0"/>
        <rFont val="Calibri"/>
        <family val="2"/>
        <scheme val="minor"/>
      </rPr>
      <t>FW</t>
    </r>
  </si>
  <si>
    <t>Npl=</t>
  </si>
  <si>
    <t>thin_p=</t>
  </si>
  <si>
    <t>t_aux</t>
  </si>
  <si>
    <t>Yield Table for maritime Pine (base age =50)</t>
  </si>
  <si>
    <r>
      <t>t</t>
    </r>
    <r>
      <rPr>
        <vertAlign val="subscript"/>
        <sz val="11"/>
        <color theme="1"/>
        <rFont val="Calibri"/>
        <family val="2"/>
        <scheme val="minor"/>
      </rPr>
      <t>last_thin</t>
    </r>
    <r>
      <rPr>
        <sz val="11"/>
        <color theme="1"/>
        <rFont val="Calibri"/>
        <family val="2"/>
        <scheme val="minor"/>
      </rPr>
      <t>=</t>
    </r>
  </si>
  <si>
    <t>1º</t>
  </si>
  <si>
    <t>2º</t>
  </si>
  <si>
    <t>3º</t>
  </si>
  <si>
    <t>4º</t>
  </si>
  <si>
    <t>5º</t>
  </si>
  <si>
    <t>6º</t>
  </si>
  <si>
    <t>7º</t>
  </si>
  <si>
    <t>8º</t>
  </si>
  <si>
    <t>9º</t>
  </si>
  <si>
    <t>10º</t>
  </si>
  <si>
    <t>11º</t>
  </si>
  <si>
    <t>12º</t>
  </si>
  <si>
    <t>13º</t>
  </si>
  <si>
    <t>14º</t>
  </si>
  <si>
    <r>
      <t xml:space="preserve">      G = PI() /40000 dg</t>
    </r>
    <r>
      <rPr>
        <vertAlign val="superscript"/>
        <sz val="11"/>
        <color theme="1"/>
        <rFont val="Calibri"/>
        <family val="2"/>
        <scheme val="minor"/>
      </rPr>
      <t>2</t>
    </r>
  </si>
  <si>
    <r>
      <t xml:space="preserve">      V= vg  N</t>
    </r>
    <r>
      <rPr>
        <vertAlign val="subscript"/>
        <sz val="11"/>
        <color theme="1"/>
        <rFont val="Calibri"/>
        <family val="2"/>
        <scheme val="minor"/>
      </rPr>
      <t>Fw</t>
    </r>
  </si>
  <si>
    <t>Acréscimos</t>
  </si>
  <si>
    <t>G</t>
  </si>
  <si>
    <t>Vp</t>
  </si>
  <si>
    <r>
      <t>V</t>
    </r>
    <r>
      <rPr>
        <b/>
        <vertAlign val="subscript"/>
        <sz val="10"/>
        <rFont val="Arial"/>
        <family val="2"/>
      </rPr>
      <t>s</t>
    </r>
  </si>
  <si>
    <r>
      <t>N</t>
    </r>
    <r>
      <rPr>
        <b/>
        <vertAlign val="subscript"/>
        <sz val="10"/>
        <rFont val="Arial"/>
        <family val="2"/>
      </rPr>
      <t>s</t>
    </r>
  </si>
  <si>
    <t>ama</t>
  </si>
  <si>
    <t>ac</t>
  </si>
  <si>
    <t>Yied table based on thinned volume</t>
  </si>
  <si>
    <t>Fw</t>
  </si>
  <si>
    <t>Iqe</t>
  </si>
  <si>
    <t>idade do primeiro desbaste:</t>
  </si>
  <si>
    <t>idade do último desbaste:</t>
  </si>
  <si>
    <t>periodicidade de desbaste:</t>
  </si>
  <si>
    <t>Standing stand before thinning</t>
  </si>
  <si>
    <t>Thinning</t>
  </si>
  <si>
    <t>Standing stand after thinning</t>
  </si>
  <si>
    <r>
      <t>G</t>
    </r>
    <r>
      <rPr>
        <b/>
        <vertAlign val="subscript"/>
        <sz val="10"/>
        <rFont val="Arial"/>
        <family val="2"/>
      </rPr>
      <t>s</t>
    </r>
  </si>
  <si>
    <t>N'</t>
  </si>
  <si>
    <t>G'</t>
  </si>
  <si>
    <t>dg'</t>
  </si>
  <si>
    <t>V'</t>
  </si>
  <si>
    <t>t-ac</t>
  </si>
  <si>
    <t>STEP BY STEP VERSION:</t>
  </si>
  <si>
    <t xml:space="preserve">      Nthin = Nthin_t1  -Nthin_t2</t>
  </si>
  <si>
    <t xml:space="preserve">      Vthin = Vtot - V</t>
  </si>
  <si>
    <t xml:space="preserve">       Sum Vthin (sum of total thinned volume alng the simulation period)</t>
  </si>
  <si>
    <t>14ª</t>
  </si>
  <si>
    <r>
      <t xml:space="preserve">       cai = (Vtot2 - Vtot1) / (t2-t1)       </t>
    </r>
    <r>
      <rPr>
        <i/>
        <sz val="9"/>
        <color theme="1"/>
        <rFont val="Calibri"/>
        <family val="2"/>
        <scheme val="minor"/>
      </rPr>
      <t>(current annual increment)</t>
    </r>
  </si>
  <si>
    <r>
      <t xml:space="preserve">       mai = Vtot / t                        </t>
    </r>
    <r>
      <rPr>
        <i/>
        <sz val="9"/>
        <color theme="1"/>
        <rFont val="Calibri"/>
        <family val="2"/>
        <scheme val="minor"/>
      </rPr>
      <t xml:space="preserve">          (mean annual increment)</t>
    </r>
  </si>
  <si>
    <t xml:space="preserve">       tai = mid point of the interval between 2 thinnings</t>
  </si>
  <si>
    <t>Set of equations to be used:</t>
  </si>
  <si>
    <t>(thinning from below)</t>
  </si>
  <si>
    <t>S</t>
  </si>
  <si>
    <r>
      <t>tfirst</t>
    </r>
    <r>
      <rPr>
        <vertAlign val="subscript"/>
        <sz val="11"/>
        <color theme="1"/>
        <rFont val="Calibri"/>
        <family val="2"/>
        <scheme val="minor"/>
      </rPr>
      <t>_thin</t>
    </r>
    <r>
      <rPr>
        <sz val="11"/>
        <color theme="1"/>
        <rFont val="Calibri"/>
        <family val="2"/>
        <scheme val="minor"/>
      </rPr>
      <t>=</t>
    </r>
  </si>
  <si>
    <t xml:space="preserve">based on total volume </t>
  </si>
  <si>
    <t xml:space="preserve">based on thinned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</si>
</sst>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0"/>
    <numFmt numFmtId="166" formatCode="0.0000"/>
  </numFmts>
  <fonts count="46">
    <font>
      <sz val="11"/>
      <color theme="1"/>
      <name val="Calibri"/>
      <family val="2"/>
      <scheme val="minor"/>
    </font>
    <font>
      <sz val="11"/>
      <color rgb="FFFF0000"/>
      <name val="Calibri"/>
      <family val="2"/>
      <scheme val="minor"/>
    </font>
    <font>
      <sz val="11"/>
      <color theme="0" tint="-0.499984740745262"/>
      <name val="Calibri"/>
      <family val="2"/>
      <scheme val="minor"/>
    </font>
    <font>
      <sz val="11"/>
      <color theme="0"/>
      <name val="Calibri"/>
      <family val="2"/>
      <scheme val="minor"/>
    </font>
    <font>
      <sz val="11"/>
      <name val="Calibri"/>
      <family val="2"/>
      <scheme val="minor"/>
    </font>
    <font>
      <vertAlign val="superscript"/>
      <sz val="11"/>
      <color theme="0"/>
      <name val="Calibri"/>
      <family val="2"/>
      <scheme val="minor"/>
    </font>
    <font>
      <sz val="10"/>
      <color theme="0"/>
      <name val="Arial"/>
      <family val="2"/>
    </font>
    <font>
      <sz val="10"/>
      <color theme="0"/>
      <name val="Symbol"/>
      <family val="1"/>
      <charset val="2"/>
    </font>
    <font>
      <sz val="11"/>
      <color rgb="FF0000FF"/>
      <name val="Calibri"/>
      <family val="2"/>
      <scheme val="minor"/>
    </font>
    <font>
      <b/>
      <sz val="10"/>
      <color theme="9" tint="-0.249977111117893"/>
      <name val="Calibri"/>
      <family val="2"/>
      <scheme val="minor"/>
    </font>
    <font>
      <sz val="10"/>
      <color theme="9" tint="-0.249977111117893"/>
      <name val="Calibri"/>
      <family val="2"/>
      <scheme val="minor"/>
    </font>
    <font>
      <sz val="10"/>
      <color theme="1"/>
      <name val="Calibri"/>
      <family val="2"/>
      <scheme val="minor"/>
    </font>
    <font>
      <sz val="11"/>
      <color theme="9"/>
      <name val="Calibri"/>
      <family val="2"/>
      <scheme val="minor"/>
    </font>
    <font>
      <vertAlign val="subscript"/>
      <sz val="11"/>
      <color theme="1"/>
      <name val="Calibri"/>
      <family val="2"/>
      <scheme val="minor"/>
    </font>
    <font>
      <b/>
      <sz val="11"/>
      <color theme="0"/>
      <name val="Calibri"/>
      <family val="2"/>
      <scheme val="minor"/>
    </font>
    <font>
      <sz val="10"/>
      <name val="Calibri"/>
      <family val="2"/>
      <scheme val="minor"/>
    </font>
    <font>
      <i/>
      <sz val="11"/>
      <color theme="2" tint="-0.249977111117893"/>
      <name val="Calibri"/>
      <family val="2"/>
      <scheme val="minor"/>
    </font>
    <font>
      <b/>
      <sz val="10"/>
      <color rgb="FF00B0F0"/>
      <name val="Calibri"/>
      <family val="2"/>
      <scheme val="minor"/>
    </font>
    <font>
      <vertAlign val="subscript"/>
      <sz val="11"/>
      <color theme="0"/>
      <name val="Calibri"/>
      <family val="2"/>
      <scheme val="minor"/>
    </font>
    <font>
      <b/>
      <sz val="11"/>
      <color theme="1"/>
      <name val="Calibri"/>
      <family val="2"/>
      <scheme val="minor"/>
    </font>
    <font>
      <b/>
      <i/>
      <sz val="14"/>
      <color rgb="FF00B0F0"/>
      <name val="Calibri"/>
      <family val="2"/>
      <scheme val="minor"/>
    </font>
    <font>
      <b/>
      <i/>
      <sz val="16"/>
      <color rgb="FF00B0F0"/>
      <name val="Calibri"/>
      <family val="2"/>
      <scheme val="minor"/>
    </font>
    <font>
      <i/>
      <sz val="9"/>
      <color theme="2" tint="-0.249977111117893"/>
      <name val="Calibri"/>
      <family val="2"/>
      <scheme val="minor"/>
    </font>
    <font>
      <vertAlign val="superscript"/>
      <sz val="11"/>
      <color theme="1"/>
      <name val="Calibri"/>
      <family val="2"/>
      <scheme val="minor"/>
    </font>
    <font>
      <b/>
      <sz val="10"/>
      <name val="Arial"/>
      <family val="2"/>
    </font>
    <font>
      <b/>
      <vertAlign val="subscript"/>
      <sz val="10"/>
      <name val="Arial"/>
      <family val="2"/>
    </font>
    <font>
      <sz val="10"/>
      <name val="Arial"/>
      <family val="2"/>
    </font>
    <font>
      <sz val="10"/>
      <name val="Arial"/>
    </font>
    <font>
      <b/>
      <sz val="12"/>
      <name val="Arial"/>
      <family val="2"/>
    </font>
    <font>
      <b/>
      <sz val="10"/>
      <name val="Iqe"/>
    </font>
    <font>
      <sz val="10"/>
      <color indexed="17"/>
      <name val="Arial"/>
      <family val="2"/>
    </font>
    <font>
      <sz val="10"/>
      <color indexed="50"/>
      <name val="Arial"/>
      <family val="2"/>
    </font>
    <font>
      <sz val="10"/>
      <color indexed="62"/>
      <name val="Arial"/>
      <family val="2"/>
    </font>
    <font>
      <sz val="10"/>
      <color indexed="60"/>
      <name val="Arial"/>
      <family val="2"/>
    </font>
    <font>
      <sz val="10"/>
      <color indexed="45"/>
      <name val="Arial"/>
      <family val="2"/>
    </font>
    <font>
      <sz val="10"/>
      <color indexed="14"/>
      <name val="Arial"/>
      <family val="2"/>
    </font>
    <font>
      <sz val="10"/>
      <color indexed="18"/>
      <name val="Arial"/>
      <family val="2"/>
    </font>
    <font>
      <b/>
      <sz val="10"/>
      <color indexed="45"/>
      <name val="Arial"/>
      <family val="2"/>
    </font>
    <font>
      <b/>
      <sz val="10"/>
      <color indexed="21"/>
      <name val="Arial"/>
      <family val="2"/>
    </font>
    <font>
      <i/>
      <sz val="9"/>
      <color theme="1"/>
      <name val="Calibri"/>
      <family val="2"/>
      <scheme val="minor"/>
    </font>
    <font>
      <b/>
      <sz val="11"/>
      <color theme="7" tint="-0.249977111117893"/>
      <name val="Calibri"/>
      <family val="2"/>
      <scheme val="minor"/>
    </font>
    <font>
      <b/>
      <sz val="11"/>
      <color rgb="FFC00000"/>
      <name val="Calibri"/>
      <family val="2"/>
      <scheme val="minor"/>
    </font>
    <font>
      <sz val="11"/>
      <color theme="9" tint="-0.249977111117893"/>
      <name val="Calibri"/>
      <family val="2"/>
      <scheme val="minor"/>
    </font>
    <font>
      <i/>
      <sz val="9"/>
      <color rgb="FF0000FF"/>
      <name val="Calibri"/>
      <family val="2"/>
      <scheme val="minor"/>
    </font>
    <font>
      <b/>
      <sz val="11"/>
      <color theme="9"/>
      <name val="Calibri"/>
      <family val="2"/>
      <scheme val="minor"/>
    </font>
    <font>
      <i/>
      <sz val="11"/>
      <color theme="4" tint="-0.249977111117893"/>
      <name val="Calibri"/>
      <family val="2"/>
      <scheme val="minor"/>
    </font>
  </fonts>
  <fills count="16">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theme="9" tint="-0.249977111117893"/>
        <bgColor indexed="64"/>
      </patternFill>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9"/>
        <bgColor indexed="64"/>
      </patternFill>
    </fill>
    <fill>
      <patternFill patternType="solid">
        <fgColor indexed="51"/>
        <bgColor indexed="64"/>
      </patternFill>
    </fill>
    <fill>
      <patternFill patternType="solid">
        <fgColor indexed="52"/>
        <bgColor indexed="64"/>
      </patternFill>
    </fill>
    <fill>
      <patternFill patternType="solid">
        <fgColor theme="9" tint="0.79998168889431442"/>
        <bgColor indexed="64"/>
      </patternFill>
    </fill>
    <fill>
      <patternFill patternType="solid">
        <fgColor indexed="45"/>
        <bgColor indexed="64"/>
      </patternFill>
    </fill>
    <fill>
      <patternFill patternType="solid">
        <fgColor indexed="44"/>
        <bgColor indexed="64"/>
      </patternFill>
    </fill>
    <fill>
      <patternFill patternType="solid">
        <fgColor indexed="5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27" fillId="0" borderId="0"/>
  </cellStyleXfs>
  <cellXfs count="268">
    <xf numFmtId="0" fontId="0" fillId="0" borderId="0" xfId="0"/>
    <xf numFmtId="164" fontId="0" fillId="0" borderId="0" xfId="0" applyNumberFormat="1"/>
    <xf numFmtId="0" fontId="0" fillId="0" borderId="0" xfId="0" applyAlignment="1">
      <alignment horizontal="right"/>
    </xf>
    <xf numFmtId="0" fontId="0" fillId="0" borderId="5" xfId="0" applyBorder="1" applyAlignment="1">
      <alignment horizontal="right"/>
    </xf>
    <xf numFmtId="0" fontId="0" fillId="0" borderId="1" xfId="0" applyBorder="1" applyAlignment="1">
      <alignment horizontal="right"/>
    </xf>
    <xf numFmtId="164" fontId="2" fillId="0" borderId="5" xfId="0" applyNumberFormat="1" applyFont="1" applyBorder="1"/>
    <xf numFmtId="164" fontId="0" fillId="0" borderId="5" xfId="0" applyNumberFormat="1" applyBorder="1"/>
    <xf numFmtId="1" fontId="0" fillId="0" borderId="5" xfId="0" applyNumberFormat="1" applyBorder="1"/>
    <xf numFmtId="164" fontId="1" fillId="0" borderId="5" xfId="0" applyNumberFormat="1" applyFont="1" applyBorder="1"/>
    <xf numFmtId="0" fontId="0" fillId="0" borderId="5" xfId="0" applyBorder="1"/>
    <xf numFmtId="164" fontId="4" fillId="0" borderId="5" xfId="0" applyNumberFormat="1" applyFont="1" applyBorder="1"/>
    <xf numFmtId="0" fontId="8" fillId="0" borderId="5" xfId="0" applyFont="1" applyBorder="1" applyAlignment="1">
      <alignment horizontal="right"/>
    </xf>
    <xf numFmtId="164" fontId="0" fillId="0" borderId="1" xfId="0" applyNumberFormat="1" applyBorder="1"/>
    <xf numFmtId="164" fontId="0" fillId="0" borderId="3" xfId="0" applyNumberFormat="1" applyBorder="1"/>
    <xf numFmtId="1" fontId="0" fillId="0" borderId="7" xfId="0" applyNumberFormat="1" applyBorder="1"/>
    <xf numFmtId="164" fontId="0" fillId="0" borderId="7" xfId="0" applyNumberFormat="1" applyBorder="1"/>
    <xf numFmtId="164" fontId="1" fillId="0" borderId="7" xfId="0" applyNumberFormat="1" applyFont="1" applyBorder="1"/>
    <xf numFmtId="1" fontId="0" fillId="0" borderId="8" xfId="0" applyNumberFormat="1" applyBorder="1"/>
    <xf numFmtId="164" fontId="0" fillId="0" borderId="8" xfId="0" applyNumberFormat="1" applyBorder="1"/>
    <xf numFmtId="164" fontId="4" fillId="0" borderId="8" xfId="0" applyNumberFormat="1" applyFont="1" applyBorder="1"/>
    <xf numFmtId="1" fontId="0" fillId="5" borderId="0" xfId="0" applyNumberFormat="1" applyFill="1" applyBorder="1"/>
    <xf numFmtId="164" fontId="0" fillId="5" borderId="0" xfId="0" applyNumberFormat="1" applyFill="1" applyBorder="1"/>
    <xf numFmtId="164" fontId="4" fillId="5" borderId="0" xfId="0" applyNumberFormat="1" applyFont="1" applyFill="1" applyBorder="1"/>
    <xf numFmtId="0" fontId="8" fillId="0" borderId="3" xfId="0" applyFont="1" applyBorder="1" applyAlignment="1">
      <alignment horizontal="right"/>
    </xf>
    <xf numFmtId="1" fontId="0" fillId="0" borderId="10" xfId="0" applyNumberFormat="1" applyBorder="1"/>
    <xf numFmtId="1" fontId="0" fillId="0" borderId="4" xfId="0" applyNumberFormat="1" applyBorder="1"/>
    <xf numFmtId="1" fontId="0" fillId="0" borderId="3" xfId="0" applyNumberFormat="1" applyBorder="1"/>
    <xf numFmtId="1" fontId="0" fillId="0" borderId="1" xfId="0" applyNumberFormat="1" applyBorder="1"/>
    <xf numFmtId="164" fontId="4" fillId="0" borderId="7" xfId="0" applyNumberFormat="1" applyFont="1" applyBorder="1"/>
    <xf numFmtId="164" fontId="4" fillId="0" borderId="1" xfId="0" applyNumberFormat="1" applyFont="1" applyBorder="1"/>
    <xf numFmtId="164" fontId="12" fillId="0" borderId="5" xfId="0" applyNumberFormat="1" applyFont="1" applyBorder="1"/>
    <xf numFmtId="0" fontId="0" fillId="0" borderId="1" xfId="0" applyBorder="1"/>
    <xf numFmtId="164" fontId="0" fillId="0" borderId="11" xfId="0" applyNumberFormat="1" applyBorder="1"/>
    <xf numFmtId="164" fontId="0" fillId="0" borderId="12" xfId="0" applyNumberFormat="1" applyBorder="1"/>
    <xf numFmtId="0" fontId="3" fillId="6" borderId="5" xfId="0" applyFont="1" applyFill="1" applyBorder="1" applyAlignment="1">
      <alignment horizontal="center" wrapText="1"/>
    </xf>
    <xf numFmtId="0" fontId="3" fillId="6" borderId="0" xfId="0" applyFont="1" applyFill="1" applyAlignment="1">
      <alignment horizontal="center" vertical="center" wrapText="1"/>
    </xf>
    <xf numFmtId="0" fontId="9" fillId="7" borderId="5" xfId="0" applyFont="1" applyFill="1" applyBorder="1" applyAlignment="1">
      <alignment horizontal="center"/>
    </xf>
    <xf numFmtId="0" fontId="15" fillId="7" borderId="5" xfId="0" applyFont="1" applyFill="1" applyBorder="1"/>
    <xf numFmtId="0" fontId="11" fillId="7" borderId="5" xfId="0" applyFont="1" applyFill="1" applyBorder="1"/>
    <xf numFmtId="1" fontId="8" fillId="0" borderId="5" xfId="0" applyNumberFormat="1" applyFont="1" applyBorder="1" applyAlignment="1">
      <alignment horizontal="right"/>
    </xf>
    <xf numFmtId="0" fontId="17" fillId="7" borderId="5" xfId="0" applyFont="1" applyFill="1" applyBorder="1" applyAlignment="1">
      <alignment horizontal="center"/>
    </xf>
    <xf numFmtId="0" fontId="0" fillId="5" borderId="0" xfId="0" applyFill="1" applyAlignment="1">
      <alignment horizontal="right"/>
    </xf>
    <xf numFmtId="1" fontId="8" fillId="5" borderId="0" xfId="0" applyNumberFormat="1" applyFont="1" applyFill="1" applyAlignment="1">
      <alignment horizontal="left"/>
    </xf>
    <xf numFmtId="0" fontId="0" fillId="5" borderId="0" xfId="0" applyFill="1"/>
    <xf numFmtId="0" fontId="8" fillId="5" borderId="0" xfId="0" applyFont="1" applyFill="1" applyAlignment="1">
      <alignment horizontal="left"/>
    </xf>
    <xf numFmtId="0" fontId="8" fillId="5" borderId="0" xfId="0" applyFont="1" applyFill="1" applyBorder="1" applyAlignment="1">
      <alignment horizontal="left"/>
    </xf>
    <xf numFmtId="0" fontId="16" fillId="5" borderId="0" xfId="0" applyFont="1" applyFill="1" applyAlignment="1">
      <alignment horizontal="center"/>
    </xf>
    <xf numFmtId="0" fontId="11" fillId="5" borderId="0" xfId="0" applyFont="1" applyFill="1"/>
    <xf numFmtId="0" fontId="9" fillId="5" borderId="0" xfId="0" applyFont="1" applyFill="1" applyAlignment="1">
      <alignment horizontal="center"/>
    </xf>
    <xf numFmtId="0" fontId="10" fillId="5" borderId="0" xfId="0" applyFont="1" applyFill="1" applyAlignment="1">
      <alignment horizontal="center"/>
    </xf>
    <xf numFmtId="165" fontId="11" fillId="7" borderId="5" xfId="0" applyNumberFormat="1" applyFont="1" applyFill="1" applyBorder="1"/>
    <xf numFmtId="1" fontId="1" fillId="0" borderId="5" xfId="0" applyNumberFormat="1" applyFont="1" applyBorder="1"/>
    <xf numFmtId="0" fontId="21" fillId="0" borderId="0" xfId="0" applyFont="1"/>
    <xf numFmtId="0" fontId="21" fillId="5" borderId="0" xfId="0" applyFont="1" applyFill="1"/>
    <xf numFmtId="0" fontId="0" fillId="5" borderId="0" xfId="0" applyFill="1" applyAlignment="1">
      <alignment horizontal="left"/>
    </xf>
    <xf numFmtId="0" fontId="22" fillId="5" borderId="0" xfId="0" applyFont="1" applyFill="1" applyAlignment="1">
      <alignment horizontal="center"/>
    </xf>
    <xf numFmtId="0" fontId="0" fillId="5" borderId="0" xfId="0" applyFill="1" applyAlignment="1">
      <alignment horizontal="center"/>
    </xf>
    <xf numFmtId="164" fontId="0" fillId="5" borderId="0" xfId="0" applyNumberFormat="1" applyFill="1"/>
    <xf numFmtId="0" fontId="22" fillId="5" borderId="0" xfId="0" applyFont="1" applyFill="1" applyAlignment="1">
      <alignment horizontal="right"/>
    </xf>
    <xf numFmtId="0" fontId="27" fillId="0" borderId="0" xfId="1"/>
    <xf numFmtId="0" fontId="24" fillId="0" borderId="14" xfId="1" applyFont="1" applyFill="1" applyBorder="1" applyAlignment="1">
      <alignment horizontal="right"/>
    </xf>
    <xf numFmtId="2" fontId="24" fillId="0" borderId="15" xfId="1" applyNumberFormat="1" applyFont="1" applyFill="1" applyBorder="1"/>
    <xf numFmtId="2" fontId="27" fillId="0" borderId="0" xfId="1" applyNumberFormat="1" applyFill="1"/>
    <xf numFmtId="1" fontId="24" fillId="0" borderId="0" xfId="1" applyNumberFormat="1" applyFont="1" applyFill="1"/>
    <xf numFmtId="2" fontId="24" fillId="0" borderId="0" xfId="1" applyNumberFormat="1" applyFont="1" applyFill="1"/>
    <xf numFmtId="0" fontId="24" fillId="0" borderId="0" xfId="1" applyFont="1" applyFill="1" applyAlignment="1">
      <alignment horizontal="right"/>
    </xf>
    <xf numFmtId="0" fontId="24" fillId="0" borderId="0" xfId="1" applyFont="1" applyFill="1" applyAlignment="1">
      <alignment horizontal="left"/>
    </xf>
    <xf numFmtId="0" fontId="27" fillId="0" borderId="0" xfId="1" applyFill="1"/>
    <xf numFmtId="166" fontId="24" fillId="0" borderId="0" xfId="1" applyNumberFormat="1" applyFont="1" applyFill="1"/>
    <xf numFmtId="166" fontId="27" fillId="0" borderId="0" xfId="1" applyNumberFormat="1" applyFill="1"/>
    <xf numFmtId="0" fontId="24" fillId="0" borderId="16" xfId="1" applyFont="1" applyFill="1" applyBorder="1" applyAlignment="1">
      <alignment horizontal="right"/>
    </xf>
    <xf numFmtId="1" fontId="24" fillId="0" borderId="17" xfId="1" applyNumberFormat="1" applyFont="1" applyFill="1" applyBorder="1"/>
    <xf numFmtId="0" fontId="24" fillId="10" borderId="18" xfId="1" applyFont="1" applyFill="1" applyBorder="1" applyAlignment="1">
      <alignment horizontal="right"/>
    </xf>
    <xf numFmtId="1" fontId="29" fillId="10" borderId="19" xfId="1" applyNumberFormat="1" applyFont="1" applyFill="1" applyBorder="1"/>
    <xf numFmtId="0" fontId="24" fillId="0" borderId="20" xfId="1" applyFont="1" applyFill="1" applyBorder="1" applyAlignment="1">
      <alignment horizontal="left"/>
    </xf>
    <xf numFmtId="1" fontId="29" fillId="0" borderId="21" xfId="1" applyNumberFormat="1" applyFont="1" applyFill="1" applyBorder="1"/>
    <xf numFmtId="2" fontId="27" fillId="0" borderId="22" xfId="1" applyNumberFormat="1" applyFill="1" applyBorder="1"/>
    <xf numFmtId="1" fontId="27" fillId="0" borderId="19" xfId="1" applyNumberFormat="1" applyFill="1" applyBorder="1"/>
    <xf numFmtId="2" fontId="27" fillId="0" borderId="21" xfId="1" applyNumberFormat="1" applyFill="1" applyBorder="1"/>
    <xf numFmtId="1" fontId="26" fillId="0" borderId="23" xfId="1" applyNumberFormat="1" applyFont="1" applyFill="1" applyBorder="1"/>
    <xf numFmtId="1" fontId="29" fillId="0" borderId="0" xfId="1" applyNumberFormat="1" applyFont="1" applyFill="1"/>
    <xf numFmtId="0" fontId="24" fillId="0" borderId="0" xfId="1" applyFont="1" applyFill="1"/>
    <xf numFmtId="0" fontId="27" fillId="0" borderId="0" xfId="1" applyFill="1" applyBorder="1"/>
    <xf numFmtId="166" fontId="27" fillId="0" borderId="0" xfId="1" applyNumberFormat="1" applyFill="1" applyBorder="1"/>
    <xf numFmtId="2" fontId="24" fillId="0" borderId="24" xfId="1" applyNumberFormat="1" applyFont="1" applyFill="1" applyBorder="1" applyAlignment="1">
      <alignment horizontal="center"/>
    </xf>
    <xf numFmtId="2" fontId="24" fillId="0" borderId="28" xfId="1" applyNumberFormat="1" applyFont="1" applyFill="1" applyBorder="1" applyAlignment="1">
      <alignment horizontal="center"/>
    </xf>
    <xf numFmtId="2" fontId="24" fillId="0" borderId="29" xfId="1" applyNumberFormat="1" applyFont="1" applyFill="1" applyBorder="1" applyAlignment="1">
      <alignment horizontal="center"/>
    </xf>
    <xf numFmtId="0" fontId="24" fillId="0" borderId="27" xfId="1" applyFont="1" applyFill="1" applyBorder="1" applyAlignment="1">
      <alignment horizontal="center"/>
    </xf>
    <xf numFmtId="2" fontId="24" fillId="0" borderId="27" xfId="1" applyNumberFormat="1" applyFont="1" applyFill="1" applyBorder="1" applyAlignment="1">
      <alignment horizontal="center"/>
    </xf>
    <xf numFmtId="0" fontId="24" fillId="0" borderId="28" xfId="1" applyFont="1" applyFill="1" applyBorder="1" applyAlignment="1">
      <alignment horizontal="center"/>
    </xf>
    <xf numFmtId="0" fontId="24" fillId="0" borderId="0" xfId="1" applyFont="1" applyFill="1" applyBorder="1" applyAlignment="1">
      <alignment horizontal="center"/>
    </xf>
    <xf numFmtId="0" fontId="27" fillId="0" borderId="0" xfId="1" applyAlignment="1">
      <alignment horizontal="center"/>
    </xf>
    <xf numFmtId="0" fontId="26" fillId="0" borderId="30" xfId="1" applyFont="1" applyFill="1" applyBorder="1" applyAlignment="1">
      <alignment horizontal="right"/>
    </xf>
    <xf numFmtId="164" fontId="30" fillId="0" borderId="22" xfId="1" applyNumberFormat="1" applyFont="1" applyFill="1" applyBorder="1"/>
    <xf numFmtId="2" fontId="24" fillId="0" borderId="0" xfId="1" applyNumberFormat="1" applyFont="1" applyFill="1" applyBorder="1" applyAlignment="1">
      <alignment horizontal="center"/>
    </xf>
    <xf numFmtId="0" fontId="24" fillId="0" borderId="31" xfId="1" applyFont="1" applyFill="1" applyBorder="1" applyAlignment="1">
      <alignment horizontal="center"/>
    </xf>
    <xf numFmtId="2" fontId="24" fillId="0" borderId="31" xfId="1" applyNumberFormat="1" applyFont="1" applyFill="1" applyBorder="1" applyAlignment="1">
      <alignment horizontal="center"/>
    </xf>
    <xf numFmtId="0" fontId="26" fillId="0" borderId="0" xfId="1" applyFont="1" applyFill="1" applyBorder="1" applyAlignment="1">
      <alignment vertical="center"/>
    </xf>
    <xf numFmtId="0" fontId="24" fillId="0" borderId="32" xfId="1" applyFont="1" applyFill="1" applyBorder="1" applyAlignment="1">
      <alignment horizontal="center"/>
    </xf>
    <xf numFmtId="0" fontId="26" fillId="0" borderId="18" xfId="1" applyFont="1" applyFill="1" applyBorder="1"/>
    <xf numFmtId="1" fontId="26" fillId="0" borderId="22" xfId="1" applyNumberFormat="1" applyFont="1" applyFill="1" applyBorder="1" applyAlignment="1">
      <alignment horizontal="right"/>
    </xf>
    <xf numFmtId="164" fontId="26" fillId="0" borderId="22" xfId="1" applyNumberFormat="1" applyFont="1" applyFill="1" applyBorder="1"/>
    <xf numFmtId="1" fontId="26" fillId="0" borderId="33" xfId="1" applyNumberFormat="1" applyFont="1" applyFill="1" applyBorder="1" applyAlignment="1">
      <alignment horizontal="right"/>
    </xf>
    <xf numFmtId="164" fontId="26" fillId="0" borderId="22" xfId="1" applyNumberFormat="1" applyFont="1" applyFill="1" applyBorder="1" applyAlignment="1">
      <alignment horizontal="right"/>
    </xf>
    <xf numFmtId="1" fontId="26" fillId="0" borderId="33" xfId="1" applyNumberFormat="1" applyFont="1" applyFill="1" applyBorder="1"/>
    <xf numFmtId="164" fontId="26" fillId="0" borderId="18" xfId="1" applyNumberFormat="1" applyFont="1" applyFill="1" applyBorder="1"/>
    <xf numFmtId="2" fontId="26" fillId="0" borderId="22" xfId="1" applyNumberFormat="1" applyFont="1" applyFill="1" applyBorder="1"/>
    <xf numFmtId="2" fontId="26" fillId="0" borderId="19" xfId="1" applyNumberFormat="1" applyFont="1" applyFill="1" applyBorder="1"/>
    <xf numFmtId="0" fontId="26" fillId="0" borderId="30" xfId="1" applyFont="1" applyFill="1" applyBorder="1"/>
    <xf numFmtId="164" fontId="30" fillId="0" borderId="0" xfId="1" applyNumberFormat="1" applyFont="1" applyFill="1" applyBorder="1"/>
    <xf numFmtId="1" fontId="26" fillId="0" borderId="0" xfId="1" applyNumberFormat="1" applyFont="1" applyFill="1" applyBorder="1" applyAlignment="1">
      <alignment horizontal="right"/>
    </xf>
    <xf numFmtId="164" fontId="26" fillId="0" borderId="0" xfId="1" applyNumberFormat="1" applyFont="1" applyFill="1" applyBorder="1"/>
    <xf numFmtId="1" fontId="26" fillId="0" borderId="31" xfId="1" applyNumberFormat="1" applyFont="1" applyFill="1" applyBorder="1" applyAlignment="1">
      <alignment horizontal="right"/>
    </xf>
    <xf numFmtId="164" fontId="26" fillId="0" borderId="0" xfId="1" applyNumberFormat="1" applyFont="1" applyFill="1" applyBorder="1" applyAlignment="1">
      <alignment horizontal="right"/>
    </xf>
    <xf numFmtId="1" fontId="26" fillId="0" borderId="31" xfId="1" applyNumberFormat="1" applyFont="1" applyFill="1" applyBorder="1"/>
    <xf numFmtId="164" fontId="26" fillId="0" borderId="30" xfId="1" applyNumberFormat="1" applyFont="1" applyFill="1" applyBorder="1"/>
    <xf numFmtId="2" fontId="26" fillId="0" borderId="0" xfId="1" applyNumberFormat="1" applyFont="1" applyFill="1" applyBorder="1"/>
    <xf numFmtId="2" fontId="26" fillId="0" borderId="32" xfId="1" applyNumberFormat="1" applyFont="1" applyFill="1" applyBorder="1"/>
    <xf numFmtId="1" fontId="26" fillId="9" borderId="0" xfId="1" applyNumberFormat="1" applyFont="1" applyFill="1" applyBorder="1" applyAlignment="1">
      <alignment horizontal="right"/>
    </xf>
    <xf numFmtId="0" fontId="27" fillId="9" borderId="0" xfId="1" applyFill="1" applyBorder="1"/>
    <xf numFmtId="164" fontId="26" fillId="9" borderId="0" xfId="1" applyNumberFormat="1" applyFont="1" applyFill="1" applyBorder="1"/>
    <xf numFmtId="164" fontId="26" fillId="9" borderId="0" xfId="1" applyNumberFormat="1" applyFont="1" applyFill="1" applyBorder="1" applyAlignment="1">
      <alignment horizontal="right"/>
    </xf>
    <xf numFmtId="164" fontId="31" fillId="0" borderId="0" xfId="1" applyNumberFormat="1" applyFont="1" applyFill="1" applyBorder="1"/>
    <xf numFmtId="2" fontId="31" fillId="0" borderId="31" xfId="1" applyNumberFormat="1" applyFont="1" applyFill="1" applyBorder="1"/>
    <xf numFmtId="2" fontId="27" fillId="0" borderId="0" xfId="1" applyNumberFormat="1" applyFill="1" applyBorder="1"/>
    <xf numFmtId="2" fontId="27" fillId="0" borderId="31" xfId="1" applyNumberFormat="1" applyFill="1" applyBorder="1"/>
    <xf numFmtId="0" fontId="27" fillId="0" borderId="30" xfId="1" applyFill="1" applyBorder="1"/>
    <xf numFmtId="166" fontId="27" fillId="0" borderId="32" xfId="1" applyNumberFormat="1" applyFill="1" applyBorder="1"/>
    <xf numFmtId="0" fontId="26" fillId="0" borderId="27" xfId="1" applyFont="1" applyFill="1" applyBorder="1"/>
    <xf numFmtId="164" fontId="30" fillId="0" borderId="29" xfId="1" applyNumberFormat="1" applyFont="1" applyFill="1" applyBorder="1"/>
    <xf numFmtId="1" fontId="26" fillId="0" borderId="29" xfId="1" applyNumberFormat="1" applyFont="1" applyFill="1" applyBorder="1" applyAlignment="1">
      <alignment horizontal="right"/>
    </xf>
    <xf numFmtId="164" fontId="31" fillId="0" borderId="29" xfId="1" applyNumberFormat="1" applyFont="1" applyFill="1" applyBorder="1"/>
    <xf numFmtId="2" fontId="31" fillId="0" borderId="34" xfId="1" applyNumberFormat="1" applyFont="1" applyFill="1" applyBorder="1"/>
    <xf numFmtId="2" fontId="27" fillId="0" borderId="29" xfId="1" applyNumberFormat="1" applyFill="1" applyBorder="1"/>
    <xf numFmtId="2" fontId="27" fillId="0" borderId="34" xfId="1" applyNumberFormat="1" applyFill="1" applyBorder="1"/>
    <xf numFmtId="0" fontId="27" fillId="0" borderId="29" xfId="1" applyFill="1" applyBorder="1"/>
    <xf numFmtId="0" fontId="27" fillId="0" borderId="27" xfId="1" applyFill="1" applyBorder="1"/>
    <xf numFmtId="166" fontId="27" fillId="0" borderId="35" xfId="1" applyNumberFormat="1" applyFill="1" applyBorder="1"/>
    <xf numFmtId="0" fontId="26" fillId="0" borderId="0" xfId="1" applyFont="1" applyFill="1" applyBorder="1"/>
    <xf numFmtId="2" fontId="31" fillId="0" borderId="0" xfId="1" applyNumberFormat="1" applyFont="1" applyFill="1" applyBorder="1"/>
    <xf numFmtId="0" fontId="26" fillId="0" borderId="31" xfId="1" applyFont="1" applyFill="1" applyBorder="1" applyAlignment="1">
      <alignment horizontal="right"/>
    </xf>
    <xf numFmtId="1" fontId="26" fillId="10" borderId="22" xfId="1" applyNumberFormat="1" applyFont="1" applyFill="1" applyBorder="1" applyAlignment="1">
      <alignment horizontal="right"/>
    </xf>
    <xf numFmtId="2" fontId="24" fillId="0" borderId="22" xfId="1" applyNumberFormat="1" applyFont="1" applyFill="1" applyBorder="1" applyAlignment="1">
      <alignment horizontal="center"/>
    </xf>
    <xf numFmtId="0" fontId="24" fillId="0" borderId="33" xfId="1" applyFont="1" applyFill="1" applyBorder="1" applyAlignment="1">
      <alignment horizontal="center"/>
    </xf>
    <xf numFmtId="2" fontId="24" fillId="0" borderId="33" xfId="1" applyNumberFormat="1" applyFont="1" applyFill="1" applyBorder="1" applyAlignment="1">
      <alignment horizontal="center"/>
    </xf>
    <xf numFmtId="1" fontId="26" fillId="11" borderId="0" xfId="1" applyNumberFormat="1" applyFont="1" applyFill="1" applyBorder="1" applyAlignment="1">
      <alignment horizontal="right"/>
    </xf>
    <xf numFmtId="1" fontId="26" fillId="12" borderId="0" xfId="1" applyNumberFormat="1" applyFont="1" applyFill="1" applyBorder="1" applyAlignment="1">
      <alignment horizontal="right"/>
    </xf>
    <xf numFmtId="2" fontId="24" fillId="0" borderId="19" xfId="1" applyNumberFormat="1" applyFont="1" applyFill="1" applyBorder="1" applyAlignment="1">
      <alignment horizontal="center"/>
    </xf>
    <xf numFmtId="0" fontId="24" fillId="0" borderId="22" xfId="1" applyFont="1" applyFill="1" applyBorder="1" applyAlignment="1">
      <alignment horizontal="center"/>
    </xf>
    <xf numFmtId="164" fontId="30" fillId="0" borderId="33" xfId="1" applyNumberFormat="1" applyFont="1" applyFill="1" applyBorder="1"/>
    <xf numFmtId="164" fontId="32" fillId="0" borderId="22" xfId="1" applyNumberFormat="1" applyFont="1" applyFill="1" applyBorder="1"/>
    <xf numFmtId="164" fontId="26" fillId="0" borderId="19" xfId="1" applyNumberFormat="1" applyFont="1" applyFill="1" applyBorder="1"/>
    <xf numFmtId="164" fontId="30" fillId="0" borderId="31" xfId="1" applyNumberFormat="1" applyFont="1" applyFill="1" applyBorder="1"/>
    <xf numFmtId="164" fontId="32" fillId="0" borderId="0" xfId="1" applyNumberFormat="1" applyFont="1" applyFill="1" applyBorder="1"/>
    <xf numFmtId="164" fontId="26" fillId="0" borderId="32" xfId="1" applyNumberFormat="1" applyFont="1" applyFill="1" applyBorder="1"/>
    <xf numFmtId="164" fontId="31" fillId="0" borderId="32" xfId="1" applyNumberFormat="1" applyFont="1" applyFill="1" applyBorder="1"/>
    <xf numFmtId="164" fontId="30" fillId="0" borderId="34" xfId="1" applyNumberFormat="1" applyFont="1" applyFill="1" applyBorder="1"/>
    <xf numFmtId="164" fontId="32" fillId="0" borderId="29" xfId="1" applyNumberFormat="1" applyFont="1" applyFill="1" applyBorder="1"/>
    <xf numFmtId="164" fontId="31" fillId="0" borderId="35" xfId="1" applyNumberFormat="1" applyFont="1" applyFill="1" applyBorder="1"/>
    <xf numFmtId="2" fontId="31" fillId="0" borderId="29" xfId="1" applyNumberFormat="1" applyFont="1" applyFill="1" applyBorder="1"/>
    <xf numFmtId="0" fontId="24" fillId="0" borderId="19" xfId="1" applyFont="1" applyFill="1" applyBorder="1" applyAlignment="1">
      <alignment horizontal="center"/>
    </xf>
    <xf numFmtId="0" fontId="26" fillId="0" borderId="33" xfId="1" applyFont="1" applyFill="1" applyBorder="1"/>
    <xf numFmtId="164" fontId="26" fillId="13" borderId="22" xfId="1" applyNumberFormat="1" applyFont="1" applyFill="1" applyBorder="1"/>
    <xf numFmtId="0" fontId="26" fillId="0" borderId="31" xfId="1" applyFont="1" applyFill="1" applyBorder="1"/>
    <xf numFmtId="164" fontId="26" fillId="13" borderId="0" xfId="1" applyNumberFormat="1" applyFont="1" applyFill="1" applyBorder="1"/>
    <xf numFmtId="0" fontId="26" fillId="0" borderId="34" xfId="1" applyFont="1" applyFill="1" applyBorder="1"/>
    <xf numFmtId="164" fontId="26" fillId="13" borderId="29" xfId="1" applyNumberFormat="1" applyFont="1" applyFill="1" applyBorder="1"/>
    <xf numFmtId="164" fontId="33" fillId="0" borderId="19" xfId="1" applyNumberFormat="1" applyFont="1" applyFill="1" applyBorder="1"/>
    <xf numFmtId="164" fontId="33" fillId="0" borderId="32" xfId="1" applyNumberFormat="1" applyFont="1" applyFill="1" applyBorder="1"/>
    <xf numFmtId="164" fontId="33" fillId="0" borderId="35" xfId="1" applyNumberFormat="1" applyFont="1" applyFill="1" applyBorder="1"/>
    <xf numFmtId="164" fontId="33" fillId="0" borderId="0" xfId="1" applyNumberFormat="1" applyFont="1" applyFill="1" applyBorder="1"/>
    <xf numFmtId="1" fontId="34" fillId="0" borderId="33" xfId="1" applyNumberFormat="1" applyFont="1" applyFill="1" applyBorder="1" applyAlignment="1">
      <alignment horizontal="right"/>
    </xf>
    <xf numFmtId="1" fontId="34" fillId="0" borderId="31" xfId="1" applyNumberFormat="1" applyFont="1" applyFill="1" applyBorder="1" applyAlignment="1">
      <alignment horizontal="right"/>
    </xf>
    <xf numFmtId="0" fontId="27" fillId="0" borderId="0" xfId="1" applyBorder="1"/>
    <xf numFmtId="2" fontId="27" fillId="0" borderId="32" xfId="1" applyNumberFormat="1" applyFill="1" applyBorder="1"/>
    <xf numFmtId="1" fontId="34" fillId="0" borderId="34" xfId="1" applyNumberFormat="1" applyFont="1" applyFill="1" applyBorder="1" applyAlignment="1">
      <alignment horizontal="right"/>
    </xf>
    <xf numFmtId="2" fontId="27" fillId="0" borderId="35" xfId="1" applyNumberFormat="1" applyFill="1" applyBorder="1"/>
    <xf numFmtId="1" fontId="34" fillId="0" borderId="0" xfId="1" applyNumberFormat="1" applyFont="1" applyFill="1" applyBorder="1" applyAlignment="1">
      <alignment horizontal="right"/>
    </xf>
    <xf numFmtId="164" fontId="26" fillId="14" borderId="22" xfId="1" applyNumberFormat="1" applyFont="1" applyFill="1" applyBorder="1" applyAlignment="1">
      <alignment horizontal="right"/>
    </xf>
    <xf numFmtId="164" fontId="26" fillId="14" borderId="0" xfId="1" applyNumberFormat="1" applyFont="1" applyFill="1" applyBorder="1" applyAlignment="1">
      <alignment horizontal="right"/>
    </xf>
    <xf numFmtId="164" fontId="26" fillId="14" borderId="29" xfId="1" applyNumberFormat="1" applyFont="1" applyFill="1" applyBorder="1" applyAlignment="1">
      <alignment horizontal="right"/>
    </xf>
    <xf numFmtId="164" fontId="33" fillId="0" borderId="22" xfId="1" applyNumberFormat="1" applyFont="1" applyFill="1" applyBorder="1"/>
    <xf numFmtId="1" fontId="26" fillId="0" borderId="22" xfId="1" applyNumberFormat="1" applyFont="1" applyFill="1" applyBorder="1"/>
    <xf numFmtId="1" fontId="26" fillId="0" borderId="0" xfId="1" applyNumberFormat="1" applyFont="1" applyFill="1" applyBorder="1"/>
    <xf numFmtId="164" fontId="33" fillId="0" borderId="29" xfId="1" applyNumberFormat="1" applyFont="1" applyFill="1" applyBorder="1"/>
    <xf numFmtId="0" fontId="27" fillId="0" borderId="34" xfId="1" applyBorder="1"/>
    <xf numFmtId="0" fontId="27" fillId="0" borderId="29" xfId="1" applyBorder="1"/>
    <xf numFmtId="164" fontId="26" fillId="15" borderId="19" xfId="1" applyNumberFormat="1" applyFont="1" applyFill="1" applyBorder="1"/>
    <xf numFmtId="164" fontId="26" fillId="15" borderId="32" xfId="1" applyNumberFormat="1" applyFont="1" applyFill="1" applyBorder="1"/>
    <xf numFmtId="0" fontId="27" fillId="0" borderId="35" xfId="1" applyBorder="1"/>
    <xf numFmtId="164" fontId="26" fillId="0" borderId="27" xfId="1" applyNumberFormat="1" applyFont="1" applyFill="1" applyBorder="1"/>
    <xf numFmtId="1" fontId="35" fillId="0" borderId="0" xfId="1" applyNumberFormat="1" applyFont="1" applyFill="1" applyBorder="1"/>
    <xf numFmtId="164" fontId="36" fillId="0" borderId="0" xfId="1" applyNumberFormat="1" applyFont="1" applyFill="1" applyBorder="1"/>
    <xf numFmtId="0" fontId="26" fillId="0" borderId="36" xfId="1" applyFont="1" applyFill="1" applyBorder="1"/>
    <xf numFmtId="164" fontId="30" fillId="0" borderId="6" xfId="1" applyNumberFormat="1" applyFont="1" applyFill="1" applyBorder="1"/>
    <xf numFmtId="1" fontId="35" fillId="0" borderId="33" xfId="1" applyNumberFormat="1" applyFont="1" applyFill="1" applyBorder="1"/>
    <xf numFmtId="164" fontId="36" fillId="0" borderId="22" xfId="1" applyNumberFormat="1" applyFont="1" applyFill="1" applyBorder="1"/>
    <xf numFmtId="164" fontId="37" fillId="0" borderId="22" xfId="1" applyNumberFormat="1" applyFont="1" applyFill="1" applyBorder="1"/>
    <xf numFmtId="1" fontId="35" fillId="0" borderId="31" xfId="1" applyNumberFormat="1" applyFont="1" applyFill="1" applyBorder="1"/>
    <xf numFmtId="164" fontId="37" fillId="0" borderId="0" xfId="1" applyNumberFormat="1" applyFont="1" applyFill="1" applyBorder="1"/>
    <xf numFmtId="0" fontId="27" fillId="0" borderId="35" xfId="1" applyFill="1" applyBorder="1"/>
    <xf numFmtId="164" fontId="26" fillId="0" borderId="35" xfId="1" applyNumberFormat="1" applyFont="1" applyFill="1" applyBorder="1"/>
    <xf numFmtId="164" fontId="38" fillId="0" borderId="19" xfId="1" applyNumberFormat="1" applyFont="1" applyFill="1" applyBorder="1"/>
    <xf numFmtId="164" fontId="38" fillId="0" borderId="32" xfId="1" applyNumberFormat="1" applyFont="1" applyFill="1" applyBorder="1"/>
    <xf numFmtId="2" fontId="26" fillId="0" borderId="33" xfId="1" applyNumberFormat="1" applyFont="1" applyFill="1" applyBorder="1"/>
    <xf numFmtId="2" fontId="26" fillId="0" borderId="31" xfId="1" applyNumberFormat="1" applyFont="1" applyFill="1" applyBorder="1"/>
    <xf numFmtId="0" fontId="27" fillId="0" borderId="34" xfId="1" applyFill="1" applyBorder="1"/>
    <xf numFmtId="0" fontId="19" fillId="0" borderId="0" xfId="0" applyFont="1"/>
    <xf numFmtId="0" fontId="20" fillId="5" borderId="0" xfId="0" applyFont="1" applyFill="1"/>
    <xf numFmtId="164" fontId="40" fillId="0" borderId="5" xfId="0" applyNumberFormat="1" applyFont="1" applyBorder="1"/>
    <xf numFmtId="164" fontId="41" fillId="0" borderId="5" xfId="0" applyNumberFormat="1" applyFont="1" applyBorder="1"/>
    <xf numFmtId="0" fontId="42" fillId="0" borderId="5" xfId="0" applyFont="1" applyBorder="1"/>
    <xf numFmtId="0" fontId="43" fillId="5" borderId="0" xfId="0" applyFont="1" applyFill="1"/>
    <xf numFmtId="1" fontId="19" fillId="0" borderId="5" xfId="0" applyNumberFormat="1" applyFont="1" applyBorder="1"/>
    <xf numFmtId="164" fontId="44" fillId="0" borderId="5" xfId="0" applyNumberFormat="1" applyFont="1" applyBorder="1"/>
    <xf numFmtId="164" fontId="0" fillId="0" borderId="5" xfId="0" applyNumberFormat="1" applyBorder="1" applyAlignment="1">
      <alignment horizontal="right"/>
    </xf>
    <xf numFmtId="0" fontId="24" fillId="0" borderId="18" xfId="1" applyFont="1" applyFill="1" applyBorder="1" applyAlignment="1">
      <alignment horizontal="center" vertical="center"/>
    </xf>
    <xf numFmtId="0" fontId="24" fillId="0" borderId="27" xfId="1" applyFont="1" applyFill="1" applyBorder="1" applyAlignment="1">
      <alignment horizontal="center" vertical="center"/>
    </xf>
    <xf numFmtId="2" fontId="24" fillId="0" borderId="22" xfId="1" applyNumberFormat="1" applyFont="1" applyFill="1" applyBorder="1" applyAlignment="1">
      <alignment horizontal="center"/>
    </xf>
    <xf numFmtId="2" fontId="24" fillId="0" borderId="13" xfId="1" applyNumberFormat="1" applyFont="1" applyFill="1" applyBorder="1" applyAlignment="1">
      <alignment horizontal="center"/>
    </xf>
    <xf numFmtId="2" fontId="24" fillId="0" borderId="20" xfId="1" applyNumberFormat="1" applyFont="1" applyFill="1" applyBorder="1" applyAlignment="1">
      <alignment horizontal="center"/>
    </xf>
    <xf numFmtId="2" fontId="24" fillId="0" borderId="21" xfId="1" applyNumberFormat="1" applyFont="1" applyFill="1" applyBorder="1" applyAlignment="1">
      <alignment horizontal="center"/>
    </xf>
    <xf numFmtId="2" fontId="24" fillId="0" borderId="24" xfId="1" applyNumberFormat="1" applyFont="1" applyFill="1" applyBorder="1" applyAlignment="1">
      <alignment horizontal="center"/>
    </xf>
    <xf numFmtId="0" fontId="24" fillId="0" borderId="25" xfId="1" applyFont="1" applyFill="1" applyBorder="1" applyAlignment="1">
      <alignment horizontal="center" vertical="center"/>
    </xf>
    <xf numFmtId="0" fontId="26" fillId="0" borderId="29" xfId="1" applyFont="1" applyFill="1" applyBorder="1" applyAlignment="1">
      <alignment vertical="center"/>
    </xf>
    <xf numFmtId="0" fontId="24" fillId="0" borderId="26" xfId="1" applyFont="1" applyFill="1" applyBorder="1" applyAlignment="1">
      <alignment horizontal="center"/>
    </xf>
    <xf numFmtId="0" fontId="24" fillId="0" borderId="19" xfId="1" applyFont="1" applyFill="1" applyBorder="1" applyAlignment="1">
      <alignment horizontal="center"/>
    </xf>
    <xf numFmtId="0" fontId="28" fillId="0" borderId="0" xfId="1" applyFont="1" applyAlignment="1">
      <alignment horizontal="center"/>
    </xf>
    <xf numFmtId="0" fontId="14" fillId="3" borderId="5" xfId="0" applyFont="1" applyFill="1" applyBorder="1" applyAlignment="1">
      <alignment horizontal="center" wrapText="1"/>
    </xf>
    <xf numFmtId="0" fontId="14" fillId="4" borderId="5" xfId="0" applyFont="1" applyFill="1" applyBorder="1" applyAlignment="1">
      <alignment horizontal="center" wrapText="1"/>
    </xf>
    <xf numFmtId="0" fontId="3" fillId="3" borderId="5" xfId="0" applyFont="1" applyFill="1" applyBorder="1" applyAlignment="1">
      <alignment horizontal="center" vertical="center" wrapText="1"/>
    </xf>
    <xf numFmtId="0" fontId="3" fillId="6" borderId="1" xfId="0" applyFont="1" applyFill="1" applyBorder="1" applyAlignment="1">
      <alignment horizontal="center" wrapText="1"/>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3" fillId="8" borderId="7"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164" fontId="6" fillId="4" borderId="7" xfId="0" applyNumberFormat="1" applyFont="1" applyFill="1" applyBorder="1" applyAlignment="1">
      <alignment horizontal="center" vertical="center" wrapText="1"/>
    </xf>
    <xf numFmtId="164" fontId="6" fillId="4"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wrapText="1"/>
    </xf>
    <xf numFmtId="0" fontId="3" fillId="4" borderId="5" xfId="0" applyFont="1" applyFill="1" applyBorder="1" applyAlignment="1">
      <alignment horizontal="center" wrapText="1"/>
    </xf>
    <xf numFmtId="0" fontId="0" fillId="2" borderId="5" xfId="0" applyFill="1" applyBorder="1" applyAlignment="1">
      <alignment horizont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5" xfId="0" applyFill="1" applyBorder="1" applyAlignment="1">
      <alignment horizontal="center" vertical="center" wrapText="1"/>
    </xf>
    <xf numFmtId="164" fontId="0" fillId="0" borderId="11"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4" xfId="0" applyNumberForma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center" vertical="center"/>
    </xf>
    <xf numFmtId="0" fontId="0" fillId="0" borderId="0" xfId="0" applyAlignment="1">
      <alignment horizontal="center" vertical="center"/>
    </xf>
    <xf numFmtId="0" fontId="0" fillId="5" borderId="21" xfId="0" applyFill="1" applyBorder="1" applyAlignment="1">
      <alignment horizontal="center"/>
    </xf>
    <xf numFmtId="0" fontId="0" fillId="5" borderId="37" xfId="0" applyFill="1" applyBorder="1" applyAlignment="1">
      <alignment horizontal="center"/>
    </xf>
    <xf numFmtId="0" fontId="4" fillId="0" borderId="20" xfId="1" applyFont="1" applyFill="1" applyBorder="1" applyAlignment="1">
      <alignment horizontal="center"/>
    </xf>
    <xf numFmtId="0" fontId="4" fillId="0" borderId="21" xfId="1" applyFont="1" applyFill="1" applyBorder="1" applyAlignment="1">
      <alignment horizontal="center"/>
    </xf>
    <xf numFmtId="0" fontId="45" fillId="5" borderId="0" xfId="0" applyFont="1" applyFill="1"/>
    <xf numFmtId="0" fontId="28" fillId="0" borderId="0" xfId="1" applyFont="1" applyAlignment="1"/>
  </cellXfs>
  <cellStyles count="2">
    <cellStyle name="Normal" xfId="0" builtinId="0"/>
    <cellStyle name="Normal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647058823529413"/>
          <c:y val="0.08"/>
          <c:w val="0.6470588235294118"/>
          <c:h val="0.65"/>
        </c:manualLayout>
      </c:layout>
      <c:scatterChart>
        <c:scatterStyle val="smoothMarker"/>
        <c:varyColors val="0"/>
        <c:ser>
          <c:idx val="0"/>
          <c:order val="0"/>
          <c:tx>
            <c:v>ac</c:v>
          </c:tx>
          <c:spPr>
            <a:ln w="25400">
              <a:solidFill>
                <a:srgbClr val="008000"/>
              </a:solidFill>
              <a:prstDash val="solid"/>
            </a:ln>
          </c:spPr>
          <c:marker>
            <c:symbol val="none"/>
          </c:marker>
          <c:xVal>
            <c:numRef>
              <c:f>YT_ThinnedVolume_solved!$A$299:$A$311</c:f>
              <c:numCache>
                <c:formatCode>General</c:formatCode>
                <c:ptCount val="13"/>
                <c:pt idx="0">
                  <c:v>15</c:v>
                </c:pt>
                <c:pt idx="1">
                  <c:v>20</c:v>
                </c:pt>
                <c:pt idx="2">
                  <c:v>25</c:v>
                </c:pt>
                <c:pt idx="3">
                  <c:v>30</c:v>
                </c:pt>
                <c:pt idx="4">
                  <c:v>35</c:v>
                </c:pt>
                <c:pt idx="5">
                  <c:v>40</c:v>
                </c:pt>
                <c:pt idx="6">
                  <c:v>45</c:v>
                </c:pt>
                <c:pt idx="7">
                  <c:v>50</c:v>
                </c:pt>
                <c:pt idx="8">
                  <c:v>55</c:v>
                </c:pt>
                <c:pt idx="9">
                  <c:v>60</c:v>
                </c:pt>
                <c:pt idx="10">
                  <c:v>65</c:v>
                </c:pt>
                <c:pt idx="11">
                  <c:v>70</c:v>
                </c:pt>
                <c:pt idx="12">
                  <c:v>75</c:v>
                </c:pt>
              </c:numCache>
            </c:numRef>
          </c:xVal>
          <c:yVal>
            <c:numRef>
              <c:f>YT_ThinnedVolume_solved!$Q$299:$Q$311</c:f>
              <c:numCache>
                <c:formatCode>0.00</c:formatCode>
                <c:ptCount val="13"/>
                <c:pt idx="0">
                  <c:v>18.389672953151873</c:v>
                </c:pt>
                <c:pt idx="1">
                  <c:v>17.645885817695092</c:v>
                </c:pt>
                <c:pt idx="2">
                  <c:v>14.685843392196626</c:v>
                </c:pt>
                <c:pt idx="3">
                  <c:v>12.306762744920809</c:v>
                </c:pt>
                <c:pt idx="4">
                  <c:v>10.356709730888213</c:v>
                </c:pt>
                <c:pt idx="5">
                  <c:v>8.6760558279497904</c:v>
                </c:pt>
                <c:pt idx="6">
                  <c:v>7.176435727834928</c:v>
                </c:pt>
                <c:pt idx="7">
                  <c:v>5.8086307774157602</c:v>
                </c:pt>
                <c:pt idx="8">
                  <c:v>4.5442299005269433</c:v>
                </c:pt>
                <c:pt idx="9">
                  <c:v>3.3667628683571591</c:v>
                </c:pt>
                <c:pt idx="10">
                  <c:v>2.3141510364859643</c:v>
                </c:pt>
              </c:numCache>
            </c:numRef>
          </c:yVal>
          <c:smooth val="1"/>
          <c:extLst>
            <c:ext xmlns:c16="http://schemas.microsoft.com/office/drawing/2014/chart" uri="{C3380CC4-5D6E-409C-BE32-E72D297353CC}">
              <c16:uniqueId val="{00000000-FF3F-4E0B-BB21-22FD01730C71}"/>
            </c:ext>
          </c:extLst>
        </c:ser>
        <c:ser>
          <c:idx val="1"/>
          <c:order val="1"/>
          <c:tx>
            <c:v>ama</c:v>
          </c:tx>
          <c:spPr>
            <a:ln w="25400">
              <a:solidFill>
                <a:srgbClr val="99CC00"/>
              </a:solidFill>
              <a:prstDash val="solid"/>
            </a:ln>
          </c:spPr>
          <c:marker>
            <c:symbol val="none"/>
          </c:marker>
          <c:xVal>
            <c:numRef>
              <c:f>YT_ThinnedVolume_solved!$A$299:$A$311</c:f>
              <c:numCache>
                <c:formatCode>General</c:formatCode>
                <c:ptCount val="13"/>
                <c:pt idx="0">
                  <c:v>15</c:v>
                </c:pt>
                <c:pt idx="1">
                  <c:v>20</c:v>
                </c:pt>
                <c:pt idx="2">
                  <c:v>25</c:v>
                </c:pt>
                <c:pt idx="3">
                  <c:v>30</c:v>
                </c:pt>
                <c:pt idx="4">
                  <c:v>35</c:v>
                </c:pt>
                <c:pt idx="5">
                  <c:v>40</c:v>
                </c:pt>
                <c:pt idx="6">
                  <c:v>45</c:v>
                </c:pt>
                <c:pt idx="7">
                  <c:v>50</c:v>
                </c:pt>
                <c:pt idx="8">
                  <c:v>55</c:v>
                </c:pt>
                <c:pt idx="9">
                  <c:v>60</c:v>
                </c:pt>
                <c:pt idx="10">
                  <c:v>65</c:v>
                </c:pt>
                <c:pt idx="11">
                  <c:v>70</c:v>
                </c:pt>
                <c:pt idx="12">
                  <c:v>75</c:v>
                </c:pt>
              </c:numCache>
            </c:numRef>
          </c:xVal>
          <c:yVal>
            <c:numRef>
              <c:f>YT_ThinnedVolume_solved!$P$299:$P$311</c:f>
              <c:numCache>
                <c:formatCode>0.00</c:formatCode>
                <c:ptCount val="13"/>
                <c:pt idx="0">
                  <c:v>4.7665747802001279</c:v>
                </c:pt>
                <c:pt idx="1">
                  <c:v>8.1723493234380644</c:v>
                </c:pt>
                <c:pt idx="2">
                  <c:v>10.067056622289469</c:v>
                </c:pt>
                <c:pt idx="3">
                  <c:v>10.836854417273996</c:v>
                </c:pt>
                <c:pt idx="4">
                  <c:v>11.046841321223541</c:v>
                </c:pt>
                <c:pt idx="5">
                  <c:v>10.960574872431625</c:v>
                </c:pt>
                <c:pt idx="6">
                  <c:v>10.706739423044754</c:v>
                </c:pt>
                <c:pt idx="7">
                  <c:v>10.353709053523771</c:v>
                </c:pt>
                <c:pt idx="8">
                  <c:v>9.9405201193321346</c:v>
                </c:pt>
                <c:pt idx="9">
                  <c:v>9.4908292677650348</c:v>
                </c:pt>
                <c:pt idx="10">
                  <c:v>9.0197472370413525</c:v>
                </c:pt>
                <c:pt idx="11">
                  <c:v>8.5407760798588246</c:v>
                </c:pt>
              </c:numCache>
            </c:numRef>
          </c:yVal>
          <c:smooth val="1"/>
          <c:extLst>
            <c:ext xmlns:c16="http://schemas.microsoft.com/office/drawing/2014/chart" uri="{C3380CC4-5D6E-409C-BE32-E72D297353CC}">
              <c16:uniqueId val="{00000001-FF3F-4E0B-BB21-22FD01730C71}"/>
            </c:ext>
          </c:extLst>
        </c:ser>
        <c:dLbls>
          <c:showLegendKey val="0"/>
          <c:showVal val="0"/>
          <c:showCatName val="0"/>
          <c:showSerName val="0"/>
          <c:showPercent val="0"/>
          <c:showBubbleSize val="0"/>
        </c:dLbls>
        <c:axId val="544517343"/>
        <c:axId val="1"/>
      </c:scatterChart>
      <c:valAx>
        <c:axId val="544517343"/>
        <c:scaling>
          <c:orientation val="minMax"/>
          <c:max val="80"/>
        </c:scaling>
        <c:delete val="0"/>
        <c:axPos val="b"/>
        <c:title>
          <c:tx>
            <c:rich>
              <a:bodyPr/>
              <a:lstStyle/>
              <a:p>
                <a:pPr>
                  <a:defRPr sz="875" b="0" i="0" u="none" strike="noStrike" baseline="0">
                    <a:solidFill>
                      <a:srgbClr val="000000"/>
                    </a:solidFill>
                    <a:latin typeface="Arial"/>
                    <a:ea typeface="Arial"/>
                    <a:cs typeface="Arial"/>
                  </a:defRPr>
                </a:pPr>
                <a:r>
                  <a:rPr lang="en-US"/>
                  <a:t>idade (anos)</a:t>
                </a:r>
              </a:p>
            </c:rich>
          </c:tx>
          <c:layout>
            <c:manualLayout>
              <c:xMode val="edge"/>
              <c:yMode val="edge"/>
              <c:x val="0.42226890756302521"/>
              <c:y val="0.8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
        <c:crosses val="autoZero"/>
        <c:crossBetween val="midCat"/>
        <c:majorUnit val="5"/>
        <c:minorUnit val="1"/>
      </c:valAx>
      <c:valAx>
        <c:axId val="1"/>
        <c:scaling>
          <c:orientation val="minMax"/>
        </c:scaling>
        <c:delete val="0"/>
        <c:axPos val="l"/>
        <c:title>
          <c:tx>
            <c:rich>
              <a:bodyPr rot="0" vert="horz"/>
              <a:lstStyle/>
              <a:p>
                <a:pPr algn="ctr">
                  <a:defRPr sz="875" b="0" i="0" u="none" strike="noStrike" baseline="0">
                    <a:solidFill>
                      <a:srgbClr val="000000"/>
                    </a:solidFill>
                    <a:latin typeface="Arial"/>
                    <a:ea typeface="Arial"/>
                    <a:cs typeface="Arial"/>
                  </a:defRPr>
                </a:pPr>
                <a:r>
                  <a:rPr lang="en-US"/>
                  <a:t>acrésc.</a:t>
                </a:r>
              </a:p>
            </c:rich>
          </c:tx>
          <c:layout>
            <c:manualLayout>
              <c:xMode val="edge"/>
              <c:yMode val="edge"/>
              <c:x val="2.9411764705882353E-2"/>
              <c:y val="0.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544517343"/>
        <c:crosses val="autoZero"/>
        <c:crossBetween val="midCat"/>
      </c:valAx>
      <c:spPr>
        <a:noFill/>
        <a:ln w="3175">
          <a:solidFill>
            <a:srgbClr val="000000"/>
          </a:solidFill>
          <a:prstDash val="solid"/>
        </a:ln>
      </c:spPr>
    </c:plotArea>
    <c:legend>
      <c:legendPos val="r"/>
      <c:layout>
        <c:manualLayout>
          <c:xMode val="edge"/>
          <c:yMode val="edge"/>
          <c:x val="0.86569944094101015"/>
          <c:y val="0.37598153364698877"/>
          <c:w val="0.11277310724902048"/>
          <c:h val="0.1899288159660046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Volume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spPr>
            <a:ln w="38100" cap="rnd">
              <a:solidFill>
                <a:schemeClr val="accent6">
                  <a:lumMod val="75000"/>
                </a:schemeClr>
              </a:solidFill>
              <a:round/>
            </a:ln>
            <a:effectLst/>
          </c:spPr>
          <c:marker>
            <c:symbol val="none"/>
          </c:marker>
          <c:xVal>
            <c:numRef>
              <c:f>YT_TotalVolume_solved!$B$257:$B$270</c:f>
              <c:numCache>
                <c:formatCode>General</c:formatCode>
                <c:ptCount val="14"/>
                <c:pt idx="0">
                  <c:v>20</c:v>
                </c:pt>
                <c:pt idx="1">
                  <c:v>20</c:v>
                </c:pt>
                <c:pt idx="2">
                  <c:v>25</c:v>
                </c:pt>
                <c:pt idx="3">
                  <c:v>30</c:v>
                </c:pt>
                <c:pt idx="4">
                  <c:v>35</c:v>
                </c:pt>
                <c:pt idx="5">
                  <c:v>40</c:v>
                </c:pt>
                <c:pt idx="6">
                  <c:v>45</c:v>
                </c:pt>
                <c:pt idx="7">
                  <c:v>50</c:v>
                </c:pt>
                <c:pt idx="8">
                  <c:v>55</c:v>
                </c:pt>
                <c:pt idx="9">
                  <c:v>60</c:v>
                </c:pt>
                <c:pt idx="10">
                  <c:v>65</c:v>
                </c:pt>
                <c:pt idx="11">
                  <c:v>70</c:v>
                </c:pt>
                <c:pt idx="12">
                  <c:v>75</c:v>
                </c:pt>
                <c:pt idx="13">
                  <c:v>80</c:v>
                </c:pt>
              </c:numCache>
            </c:numRef>
          </c:xVal>
          <c:yVal>
            <c:numRef>
              <c:f>YT_TotalVolume_solved!$M$257:$M$270</c:f>
              <c:numCache>
                <c:formatCode>0.0</c:formatCode>
                <c:ptCount val="14"/>
                <c:pt idx="1">
                  <c:v>94.380554521164711</c:v>
                </c:pt>
                <c:pt idx="2">
                  <c:v>132.34588008806645</c:v>
                </c:pt>
                <c:pt idx="3">
                  <c:v>187.54098563131191</c:v>
                </c:pt>
                <c:pt idx="4">
                  <c:v>238.77757938861498</c:v>
                </c:pt>
                <c:pt idx="5">
                  <c:v>285.24062351702526</c:v>
                </c:pt>
                <c:pt idx="6">
                  <c:v>327.04033030094911</c:v>
                </c:pt>
                <c:pt idx="7">
                  <c:v>364.60333164085398</c:v>
                </c:pt>
                <c:pt idx="8">
                  <c:v>398.42868492296253</c:v>
                </c:pt>
                <c:pt idx="9">
                  <c:v>428.994862615231</c:v>
                </c:pt>
                <c:pt idx="10">
                  <c:v>456.72868859880003</c:v>
                </c:pt>
                <c:pt idx="11">
                  <c:v>481.99929546266407</c:v>
                </c:pt>
                <c:pt idx="12">
                  <c:v>505.12165293586969</c:v>
                </c:pt>
                <c:pt idx="13">
                  <c:v>526.36319548394329</c:v>
                </c:pt>
              </c:numCache>
            </c:numRef>
          </c:yVal>
          <c:smooth val="0"/>
          <c:extLst>
            <c:ext xmlns:c16="http://schemas.microsoft.com/office/drawing/2014/chart" uri="{C3380CC4-5D6E-409C-BE32-E72D297353CC}">
              <c16:uniqueId val="{00000001-96F2-4D23-BF3F-718E3BDE6486}"/>
            </c:ext>
          </c:extLst>
        </c:ser>
        <c:ser>
          <c:idx val="0"/>
          <c:order val="1"/>
          <c:spPr>
            <a:ln w="38100" cap="rnd">
              <a:solidFill>
                <a:schemeClr val="accent6">
                  <a:lumMod val="60000"/>
                  <a:lumOff val="40000"/>
                </a:schemeClr>
              </a:solidFill>
              <a:round/>
            </a:ln>
            <a:effectLst/>
          </c:spPr>
          <c:marker>
            <c:symbol val="none"/>
          </c:marker>
          <c:xVal>
            <c:numRef>
              <c:f>YT_TotalVolume_solved!$S$258:$S$279</c:f>
              <c:numCache>
                <c:formatCode>General</c:formatCode>
                <c:ptCount val="22"/>
                <c:pt idx="0">
                  <c:v>20</c:v>
                </c:pt>
                <c:pt idx="1">
                  <c:v>20</c:v>
                </c:pt>
                <c:pt idx="2">
                  <c:v>25</c:v>
                </c:pt>
                <c:pt idx="3">
                  <c:v>25</c:v>
                </c:pt>
                <c:pt idx="4">
                  <c:v>30</c:v>
                </c:pt>
                <c:pt idx="5">
                  <c:v>30</c:v>
                </c:pt>
                <c:pt idx="6">
                  <c:v>35</c:v>
                </c:pt>
                <c:pt idx="7">
                  <c:v>35</c:v>
                </c:pt>
                <c:pt idx="8">
                  <c:v>40</c:v>
                </c:pt>
                <c:pt idx="9">
                  <c:v>40</c:v>
                </c:pt>
                <c:pt idx="10">
                  <c:v>45</c:v>
                </c:pt>
                <c:pt idx="11">
                  <c:v>45</c:v>
                </c:pt>
                <c:pt idx="12">
                  <c:v>50</c:v>
                </c:pt>
                <c:pt idx="13">
                  <c:v>50</c:v>
                </c:pt>
                <c:pt idx="14">
                  <c:v>55</c:v>
                </c:pt>
                <c:pt idx="15">
                  <c:v>55</c:v>
                </c:pt>
                <c:pt idx="16">
                  <c:v>60</c:v>
                </c:pt>
                <c:pt idx="17">
                  <c:v>60</c:v>
                </c:pt>
                <c:pt idx="18">
                  <c:v>65</c:v>
                </c:pt>
                <c:pt idx="19">
                  <c:v>70</c:v>
                </c:pt>
                <c:pt idx="20">
                  <c:v>75</c:v>
                </c:pt>
                <c:pt idx="21">
                  <c:v>80</c:v>
                </c:pt>
              </c:numCache>
            </c:numRef>
          </c:xVal>
          <c:yVal>
            <c:numRef>
              <c:f>YT_TotalVolume_solved!$T$258:$T$279</c:f>
              <c:numCache>
                <c:formatCode>0.0</c:formatCode>
                <c:ptCount val="22"/>
                <c:pt idx="0" formatCode="General">
                  <c:v>100</c:v>
                </c:pt>
                <c:pt idx="1">
                  <c:v>94.380554521164711</c:v>
                </c:pt>
                <c:pt idx="2">
                  <c:v>132.34588008806645</c:v>
                </c:pt>
                <c:pt idx="3">
                  <c:v>128.68297204911337</c:v>
                </c:pt>
                <c:pt idx="4">
                  <c:v>183.87807759235884</c:v>
                </c:pt>
                <c:pt idx="5">
                  <c:v>158.83972827091509</c:v>
                </c:pt>
                <c:pt idx="6">
                  <c:v>210.07632202821816</c:v>
                </c:pt>
                <c:pt idx="7">
                  <c:v>185.57985624247431</c:v>
                </c:pt>
                <c:pt idx="8">
                  <c:v>232.04290037088458</c:v>
                </c:pt>
                <c:pt idx="9">
                  <c:v>185.57985624247431</c:v>
                </c:pt>
                <c:pt idx="10">
                  <c:v>251.31441159139388</c:v>
                </c:pt>
                <c:pt idx="11">
                  <c:v>231.12408267478429</c:v>
                </c:pt>
                <c:pt idx="12">
                  <c:v>268.68708401468916</c:v>
                </c:pt>
                <c:pt idx="13">
                  <c:v>250.78242478650478</c:v>
                </c:pt>
                <c:pt idx="14">
                  <c:v>284.60777806861336</c:v>
                </c:pt>
                <c:pt idx="15">
                  <c:v>268.78455290786923</c:v>
                </c:pt>
                <c:pt idx="16">
                  <c:v>285.36554594482533</c:v>
                </c:pt>
                <c:pt idx="17">
                  <c:v>284.60777806861336</c:v>
                </c:pt>
                <c:pt idx="18">
                  <c:v>299.35073060013769</c:v>
                </c:pt>
                <c:pt idx="19">
                  <c:v>314.71494368372316</c:v>
                </c:pt>
                <c:pt idx="20">
                  <c:v>343.74673074210631</c:v>
                </c:pt>
                <c:pt idx="21">
                  <c:v>372.40886898007136</c:v>
                </c:pt>
              </c:numCache>
            </c:numRef>
          </c:yVal>
          <c:smooth val="0"/>
          <c:extLst>
            <c:ext xmlns:c16="http://schemas.microsoft.com/office/drawing/2014/chart" uri="{C3380CC4-5D6E-409C-BE32-E72D297353CC}">
              <c16:uniqueId val="{00000000-96F2-4D23-BF3F-718E3BDE6486}"/>
            </c:ext>
          </c:extLst>
        </c:ser>
        <c:dLbls>
          <c:showLegendKey val="0"/>
          <c:showVal val="0"/>
          <c:showCatName val="0"/>
          <c:showSerName val="0"/>
          <c:showPercent val="0"/>
          <c:showBubbleSize val="0"/>
        </c:dLbls>
        <c:axId val="1363571823"/>
        <c:axId val="1363558927"/>
      </c:scatterChart>
      <c:valAx>
        <c:axId val="1363571823"/>
        <c:scaling>
          <c:orientation val="minMax"/>
          <c:max val="80"/>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t>
                </a:r>
                <a:r>
                  <a:rPr lang="en-US" baseline="0"/>
                  <a:t> age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3558927"/>
        <c:crosses val="autoZero"/>
        <c:crossBetween val="midCat"/>
        <c:majorUnit val="5"/>
      </c:valAx>
      <c:valAx>
        <c:axId val="13635589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 volume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3571823"/>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Increment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445603674540683"/>
          <c:y val="0.18039406532516766"/>
          <c:w val="0.81232174103237098"/>
          <c:h val="0.61403506853310008"/>
        </c:manualLayout>
      </c:layout>
      <c:scatterChart>
        <c:scatterStyle val="smoothMarker"/>
        <c:varyColors val="0"/>
        <c:ser>
          <c:idx val="1"/>
          <c:order val="0"/>
          <c:tx>
            <c:strRef>
              <c:f>YT_TotalVolume_solved!$N$255</c:f>
              <c:strCache>
                <c:ptCount val="1"/>
                <c:pt idx="0">
                  <c:v>mai</c:v>
                </c:pt>
              </c:strCache>
            </c:strRef>
          </c:tx>
          <c:spPr>
            <a:ln w="19050" cap="rnd">
              <a:solidFill>
                <a:schemeClr val="accent6">
                  <a:lumMod val="60000"/>
                  <a:lumOff val="40000"/>
                </a:schemeClr>
              </a:solidFill>
              <a:round/>
            </a:ln>
            <a:effectLst/>
          </c:spPr>
          <c:marker>
            <c:symbol val="none"/>
          </c:marker>
          <c:xVal>
            <c:numRef>
              <c:f>YT_TotalVolume_solved!$B$257:$B$270</c:f>
              <c:numCache>
                <c:formatCode>General</c:formatCode>
                <c:ptCount val="14"/>
                <c:pt idx="0">
                  <c:v>20</c:v>
                </c:pt>
                <c:pt idx="1">
                  <c:v>20</c:v>
                </c:pt>
                <c:pt idx="2">
                  <c:v>25</c:v>
                </c:pt>
                <c:pt idx="3">
                  <c:v>30</c:v>
                </c:pt>
                <c:pt idx="4">
                  <c:v>35</c:v>
                </c:pt>
                <c:pt idx="5">
                  <c:v>40</c:v>
                </c:pt>
                <c:pt idx="6">
                  <c:v>45</c:v>
                </c:pt>
                <c:pt idx="7">
                  <c:v>50</c:v>
                </c:pt>
                <c:pt idx="8">
                  <c:v>55</c:v>
                </c:pt>
                <c:pt idx="9">
                  <c:v>60</c:v>
                </c:pt>
                <c:pt idx="10">
                  <c:v>65</c:v>
                </c:pt>
                <c:pt idx="11">
                  <c:v>70</c:v>
                </c:pt>
                <c:pt idx="12">
                  <c:v>75</c:v>
                </c:pt>
                <c:pt idx="13">
                  <c:v>80</c:v>
                </c:pt>
              </c:numCache>
            </c:numRef>
          </c:xVal>
          <c:yVal>
            <c:numRef>
              <c:f>YT_TotalVolume_solved!$N$258:$N$270</c:f>
              <c:numCache>
                <c:formatCode>0.0</c:formatCode>
                <c:ptCount val="13"/>
                <c:pt idx="0">
                  <c:v>4.7190277260582354</c:v>
                </c:pt>
                <c:pt idx="1">
                  <c:v>5.2938352035226579</c:v>
                </c:pt>
                <c:pt idx="2">
                  <c:v>6.2513661877103974</c:v>
                </c:pt>
                <c:pt idx="3">
                  <c:v>6.8222165539604278</c:v>
                </c:pt>
                <c:pt idx="4">
                  <c:v>7.1310155879256314</c:v>
                </c:pt>
                <c:pt idx="5">
                  <c:v>7.2675628955766465</c:v>
                </c:pt>
                <c:pt idx="6">
                  <c:v>7.2920666328170798</c:v>
                </c:pt>
                <c:pt idx="7">
                  <c:v>7.2441579076902283</c:v>
                </c:pt>
                <c:pt idx="8">
                  <c:v>7.1499143769205169</c:v>
                </c:pt>
                <c:pt idx="9">
                  <c:v>7.0265952092123083</c:v>
                </c:pt>
                <c:pt idx="10">
                  <c:v>6.8857042208952013</c:v>
                </c:pt>
                <c:pt idx="11">
                  <c:v>6.7349553724782627</c:v>
                </c:pt>
                <c:pt idx="12">
                  <c:v>6.5795399435492907</c:v>
                </c:pt>
              </c:numCache>
            </c:numRef>
          </c:yVal>
          <c:smooth val="1"/>
          <c:extLst>
            <c:ext xmlns:c16="http://schemas.microsoft.com/office/drawing/2014/chart" uri="{C3380CC4-5D6E-409C-BE32-E72D297353CC}">
              <c16:uniqueId val="{00000000-52A5-43E9-8BE6-EE5E0A6FD8C4}"/>
            </c:ext>
          </c:extLst>
        </c:ser>
        <c:ser>
          <c:idx val="0"/>
          <c:order val="1"/>
          <c:tx>
            <c:strRef>
              <c:f>YT_TotalVolume_solved!$O$255</c:f>
              <c:strCache>
                <c:ptCount val="1"/>
                <c:pt idx="0">
                  <c:v>cai</c:v>
                </c:pt>
              </c:strCache>
            </c:strRef>
          </c:tx>
          <c:spPr>
            <a:ln w="19050" cap="rnd">
              <a:solidFill>
                <a:schemeClr val="accent6">
                  <a:lumMod val="75000"/>
                </a:schemeClr>
              </a:solidFill>
              <a:round/>
            </a:ln>
            <a:effectLst/>
          </c:spPr>
          <c:marker>
            <c:symbol val="none"/>
          </c:marker>
          <c:xVal>
            <c:numRef>
              <c:f>YT_TotalVolume_solved!$B$257:$B$270</c:f>
              <c:numCache>
                <c:formatCode>General</c:formatCode>
                <c:ptCount val="14"/>
                <c:pt idx="0">
                  <c:v>20</c:v>
                </c:pt>
                <c:pt idx="1">
                  <c:v>20</c:v>
                </c:pt>
                <c:pt idx="2">
                  <c:v>25</c:v>
                </c:pt>
                <c:pt idx="3">
                  <c:v>30</c:v>
                </c:pt>
                <c:pt idx="4">
                  <c:v>35</c:v>
                </c:pt>
                <c:pt idx="5">
                  <c:v>40</c:v>
                </c:pt>
                <c:pt idx="6">
                  <c:v>45</c:v>
                </c:pt>
                <c:pt idx="7">
                  <c:v>50</c:v>
                </c:pt>
                <c:pt idx="8">
                  <c:v>55</c:v>
                </c:pt>
                <c:pt idx="9">
                  <c:v>60</c:v>
                </c:pt>
                <c:pt idx="10">
                  <c:v>65</c:v>
                </c:pt>
                <c:pt idx="11">
                  <c:v>70</c:v>
                </c:pt>
                <c:pt idx="12">
                  <c:v>75</c:v>
                </c:pt>
                <c:pt idx="13">
                  <c:v>80</c:v>
                </c:pt>
              </c:numCache>
            </c:numRef>
          </c:xVal>
          <c:yVal>
            <c:numRef>
              <c:f>YT_TotalVolume_solved!$O$258:$O$270</c:f>
              <c:numCache>
                <c:formatCode>0.0</c:formatCode>
                <c:ptCount val="13"/>
                <c:pt idx="1">
                  <c:v>7.593065113380348</c:v>
                </c:pt>
                <c:pt idx="2">
                  <c:v>11.039021108649091</c:v>
                </c:pt>
                <c:pt idx="3">
                  <c:v>10.247318751460615</c:v>
                </c:pt>
                <c:pt idx="4">
                  <c:v>9.2926088256820556</c:v>
                </c:pt>
                <c:pt idx="5">
                  <c:v>8.3599413567847698</c:v>
                </c:pt>
                <c:pt idx="6">
                  <c:v>7.5126002679809742</c:v>
                </c:pt>
                <c:pt idx="7">
                  <c:v>6.7650706564217105</c:v>
                </c:pt>
                <c:pt idx="8">
                  <c:v>6.1132355384536936</c:v>
                </c:pt>
                <c:pt idx="9">
                  <c:v>5.5467651967138067</c:v>
                </c:pt>
                <c:pt idx="10">
                  <c:v>5.0541213727728067</c:v>
                </c:pt>
                <c:pt idx="11">
                  <c:v>4.6244714946411252</c:v>
                </c:pt>
                <c:pt idx="12">
                  <c:v>4.2483085096147191</c:v>
                </c:pt>
              </c:numCache>
            </c:numRef>
          </c:yVal>
          <c:smooth val="1"/>
          <c:extLst>
            <c:ext xmlns:c16="http://schemas.microsoft.com/office/drawing/2014/chart" uri="{C3380CC4-5D6E-409C-BE32-E72D297353CC}">
              <c16:uniqueId val="{00000001-52A5-43E9-8BE6-EE5E0A6FD8C4}"/>
            </c:ext>
          </c:extLst>
        </c:ser>
        <c:dLbls>
          <c:showLegendKey val="0"/>
          <c:showVal val="0"/>
          <c:showCatName val="0"/>
          <c:showSerName val="0"/>
          <c:showPercent val="0"/>
          <c:showBubbleSize val="0"/>
        </c:dLbls>
        <c:axId val="1363571823"/>
        <c:axId val="1363558927"/>
      </c:scatterChart>
      <c:valAx>
        <c:axId val="1363571823"/>
        <c:scaling>
          <c:orientation val="minMax"/>
          <c:max val="80"/>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t>
                </a:r>
                <a:r>
                  <a:rPr lang="en-US" baseline="0"/>
                  <a:t> age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3558927"/>
        <c:crosses val="autoZero"/>
        <c:crossBetween val="midCat"/>
        <c:majorUnit val="5"/>
      </c:valAx>
      <c:valAx>
        <c:axId val="13635589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Increment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3571823"/>
        <c:crosses val="autoZero"/>
        <c:crossBetween val="midCat"/>
      </c:valAx>
      <c:spPr>
        <a:noFill/>
        <a:ln>
          <a:noFill/>
        </a:ln>
        <a:effectLst/>
      </c:spPr>
    </c:plotArea>
    <c:legend>
      <c:legendPos val="t"/>
      <c:layout>
        <c:manualLayout>
          <c:xMode val="edge"/>
          <c:yMode val="edge"/>
          <c:x val="0.80151093613298352"/>
          <c:y val="0.1902314814814815"/>
          <c:w val="0.14697812773403324"/>
          <c:h val="0.166088509769612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647058823529413"/>
          <c:y val="0.08"/>
          <c:w val="0.6470588235294118"/>
          <c:h val="0.65"/>
        </c:manualLayout>
      </c:layout>
      <c:scatterChart>
        <c:scatterStyle val="smoothMarker"/>
        <c:varyColors val="0"/>
        <c:ser>
          <c:idx val="0"/>
          <c:order val="0"/>
          <c:tx>
            <c:v>ac</c:v>
          </c:tx>
          <c:spPr>
            <a:ln w="25400">
              <a:solidFill>
                <a:srgbClr val="008000"/>
              </a:solidFill>
              <a:prstDash val="solid"/>
            </a:ln>
          </c:spPr>
          <c:marker>
            <c:symbol val="none"/>
          </c:marker>
          <c:xVal>
            <c:numRef>
              <c:f>TProd_vol_sec!$A$299:$A$311</c:f>
              <c:numCache>
                <c:formatCode>General</c:formatCode>
                <c:ptCount val="13"/>
                <c:pt idx="0">
                  <c:v>15</c:v>
                </c:pt>
                <c:pt idx="1">
                  <c:v>20</c:v>
                </c:pt>
                <c:pt idx="2">
                  <c:v>25</c:v>
                </c:pt>
                <c:pt idx="3">
                  <c:v>30</c:v>
                </c:pt>
                <c:pt idx="4">
                  <c:v>35</c:v>
                </c:pt>
                <c:pt idx="5">
                  <c:v>40</c:v>
                </c:pt>
                <c:pt idx="6">
                  <c:v>45</c:v>
                </c:pt>
                <c:pt idx="7">
                  <c:v>50</c:v>
                </c:pt>
                <c:pt idx="8">
                  <c:v>55</c:v>
                </c:pt>
                <c:pt idx="9">
                  <c:v>60</c:v>
                </c:pt>
                <c:pt idx="10">
                  <c:v>65</c:v>
                </c:pt>
                <c:pt idx="11">
                  <c:v>70</c:v>
                </c:pt>
                <c:pt idx="12">
                  <c:v>75</c:v>
                </c:pt>
              </c:numCache>
            </c:numRef>
          </c:xVal>
          <c:yVal>
            <c:numRef>
              <c:f>TProd_vol_sec!$Q$299:$Q$311</c:f>
              <c:numCache>
                <c:formatCode>0.00</c:formatCode>
                <c:ptCount val="13"/>
                <c:pt idx="0">
                  <c:v>18.389672953151873</c:v>
                </c:pt>
                <c:pt idx="1">
                  <c:v>17.645885817695092</c:v>
                </c:pt>
                <c:pt idx="2">
                  <c:v>14.685843392196626</c:v>
                </c:pt>
                <c:pt idx="3">
                  <c:v>12.306762744920809</c:v>
                </c:pt>
                <c:pt idx="4">
                  <c:v>10.356709730888213</c:v>
                </c:pt>
                <c:pt idx="5">
                  <c:v>8.6760558279497904</c:v>
                </c:pt>
                <c:pt idx="6">
                  <c:v>7.176435727834928</c:v>
                </c:pt>
                <c:pt idx="7">
                  <c:v>5.8086307774157602</c:v>
                </c:pt>
                <c:pt idx="8">
                  <c:v>4.5442299005269433</c:v>
                </c:pt>
                <c:pt idx="9">
                  <c:v>3.3667628683571591</c:v>
                </c:pt>
                <c:pt idx="10">
                  <c:v>2.3141510364859643</c:v>
                </c:pt>
              </c:numCache>
            </c:numRef>
          </c:yVal>
          <c:smooth val="1"/>
          <c:extLst>
            <c:ext xmlns:c16="http://schemas.microsoft.com/office/drawing/2014/chart" uri="{C3380CC4-5D6E-409C-BE32-E72D297353CC}">
              <c16:uniqueId val="{00000000-DD46-4489-89CD-D43D74C7BFC0}"/>
            </c:ext>
          </c:extLst>
        </c:ser>
        <c:ser>
          <c:idx val="1"/>
          <c:order val="1"/>
          <c:tx>
            <c:v>ama</c:v>
          </c:tx>
          <c:spPr>
            <a:ln w="25400">
              <a:solidFill>
                <a:srgbClr val="99CC00"/>
              </a:solidFill>
              <a:prstDash val="solid"/>
            </a:ln>
          </c:spPr>
          <c:marker>
            <c:symbol val="none"/>
          </c:marker>
          <c:xVal>
            <c:numRef>
              <c:f>TProd_vol_sec!$A$299:$A$311</c:f>
              <c:numCache>
                <c:formatCode>General</c:formatCode>
                <c:ptCount val="13"/>
                <c:pt idx="0">
                  <c:v>15</c:v>
                </c:pt>
                <c:pt idx="1">
                  <c:v>20</c:v>
                </c:pt>
                <c:pt idx="2">
                  <c:v>25</c:v>
                </c:pt>
                <c:pt idx="3">
                  <c:v>30</c:v>
                </c:pt>
                <c:pt idx="4">
                  <c:v>35</c:v>
                </c:pt>
                <c:pt idx="5">
                  <c:v>40</c:v>
                </c:pt>
                <c:pt idx="6">
                  <c:v>45</c:v>
                </c:pt>
                <c:pt idx="7">
                  <c:v>50</c:v>
                </c:pt>
                <c:pt idx="8">
                  <c:v>55</c:v>
                </c:pt>
                <c:pt idx="9">
                  <c:v>60</c:v>
                </c:pt>
                <c:pt idx="10">
                  <c:v>65</c:v>
                </c:pt>
                <c:pt idx="11">
                  <c:v>70</c:v>
                </c:pt>
                <c:pt idx="12">
                  <c:v>75</c:v>
                </c:pt>
              </c:numCache>
            </c:numRef>
          </c:xVal>
          <c:yVal>
            <c:numRef>
              <c:f>TProd_vol_sec!$P$299:$P$311</c:f>
              <c:numCache>
                <c:formatCode>0.00</c:formatCode>
                <c:ptCount val="13"/>
                <c:pt idx="0">
                  <c:v>4.7665747802001279</c:v>
                </c:pt>
                <c:pt idx="1">
                  <c:v>8.1723493234380644</c:v>
                </c:pt>
                <c:pt idx="2">
                  <c:v>10.067056622289469</c:v>
                </c:pt>
                <c:pt idx="3">
                  <c:v>10.836854417273996</c:v>
                </c:pt>
                <c:pt idx="4">
                  <c:v>11.046841321223541</c:v>
                </c:pt>
                <c:pt idx="5">
                  <c:v>10.960574872431625</c:v>
                </c:pt>
                <c:pt idx="6">
                  <c:v>10.706739423044754</c:v>
                </c:pt>
                <c:pt idx="7">
                  <c:v>10.353709053523771</c:v>
                </c:pt>
                <c:pt idx="8">
                  <c:v>9.9405201193321346</c:v>
                </c:pt>
                <c:pt idx="9">
                  <c:v>9.4908292677650348</c:v>
                </c:pt>
                <c:pt idx="10">
                  <c:v>9.0197472370413525</c:v>
                </c:pt>
                <c:pt idx="11">
                  <c:v>8.5407760798588246</c:v>
                </c:pt>
              </c:numCache>
            </c:numRef>
          </c:yVal>
          <c:smooth val="1"/>
          <c:extLst>
            <c:ext xmlns:c16="http://schemas.microsoft.com/office/drawing/2014/chart" uri="{C3380CC4-5D6E-409C-BE32-E72D297353CC}">
              <c16:uniqueId val="{00000001-DD46-4489-89CD-D43D74C7BFC0}"/>
            </c:ext>
          </c:extLst>
        </c:ser>
        <c:dLbls>
          <c:showLegendKey val="0"/>
          <c:showVal val="0"/>
          <c:showCatName val="0"/>
          <c:showSerName val="0"/>
          <c:showPercent val="0"/>
          <c:showBubbleSize val="0"/>
        </c:dLbls>
        <c:axId val="544517343"/>
        <c:axId val="1"/>
      </c:scatterChart>
      <c:valAx>
        <c:axId val="544517343"/>
        <c:scaling>
          <c:orientation val="minMax"/>
          <c:max val="80"/>
        </c:scaling>
        <c:delete val="0"/>
        <c:axPos val="b"/>
        <c:title>
          <c:tx>
            <c:rich>
              <a:bodyPr/>
              <a:lstStyle/>
              <a:p>
                <a:pPr>
                  <a:defRPr sz="875" b="0" i="0" u="none" strike="noStrike" baseline="0">
                    <a:solidFill>
                      <a:srgbClr val="000000"/>
                    </a:solidFill>
                    <a:latin typeface="Arial"/>
                    <a:ea typeface="Arial"/>
                    <a:cs typeface="Arial"/>
                  </a:defRPr>
                </a:pPr>
                <a:r>
                  <a:rPr lang="en-US"/>
                  <a:t>idade (anos)</a:t>
                </a:r>
              </a:p>
            </c:rich>
          </c:tx>
          <c:layout>
            <c:manualLayout>
              <c:xMode val="edge"/>
              <c:yMode val="edge"/>
              <c:x val="0.42226890756302521"/>
              <c:y val="0.8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
        <c:crosses val="autoZero"/>
        <c:crossBetween val="midCat"/>
        <c:majorUnit val="5"/>
        <c:minorUnit val="1"/>
      </c:valAx>
      <c:valAx>
        <c:axId val="1"/>
        <c:scaling>
          <c:orientation val="minMax"/>
        </c:scaling>
        <c:delete val="0"/>
        <c:axPos val="l"/>
        <c:title>
          <c:tx>
            <c:rich>
              <a:bodyPr rot="0" vert="horz"/>
              <a:lstStyle/>
              <a:p>
                <a:pPr algn="ctr">
                  <a:defRPr sz="875" b="0" i="0" u="none" strike="noStrike" baseline="0">
                    <a:solidFill>
                      <a:srgbClr val="000000"/>
                    </a:solidFill>
                    <a:latin typeface="Arial"/>
                    <a:ea typeface="Arial"/>
                    <a:cs typeface="Arial"/>
                  </a:defRPr>
                </a:pPr>
                <a:r>
                  <a:rPr lang="en-US"/>
                  <a:t>acrésc.</a:t>
                </a:r>
              </a:p>
            </c:rich>
          </c:tx>
          <c:layout>
            <c:manualLayout>
              <c:xMode val="edge"/>
              <c:yMode val="edge"/>
              <c:x val="2.9411764705882353E-2"/>
              <c:y val="0.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544517343"/>
        <c:crosses val="autoZero"/>
        <c:crossBetween val="midCat"/>
      </c:valAx>
      <c:spPr>
        <a:noFill/>
        <a:ln w="3175">
          <a:solidFill>
            <a:srgbClr val="000000"/>
          </a:solidFill>
          <a:prstDash val="solid"/>
        </a:ln>
      </c:spPr>
    </c:plotArea>
    <c:legend>
      <c:legendPos val="r"/>
      <c:layout>
        <c:manualLayout>
          <c:xMode val="edge"/>
          <c:yMode val="edge"/>
          <c:x val="0.86569944094101015"/>
          <c:y val="0.37598153364698877"/>
          <c:w val="0.11277310724902048"/>
          <c:h val="0.1899288159660046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3.w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25.wmf"/><Relationship Id="rId5" Type="http://schemas.openxmlformats.org/officeDocument/2006/relationships/image" Target="../media/image27.emf"/><Relationship Id="rId4" Type="http://schemas.openxmlformats.org/officeDocument/2006/relationships/image" Target="../media/image26.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3.wmf"/></Relationships>
</file>

<file path=xl/drawings/_rels/drawing4.xml.rels><?xml version="1.0" encoding="UTF-8" standalone="yes"?>
<Relationships xmlns="http://schemas.openxmlformats.org/package/2006/relationships"><Relationship Id="rId2" Type="http://schemas.openxmlformats.org/officeDocument/2006/relationships/image" Target="../media/image27.emf"/><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wmf"/><Relationship Id="rId11" Type="http://schemas.openxmlformats.org/officeDocument/2006/relationships/image" Target="../media/image11.emf"/><Relationship Id="rId5" Type="http://schemas.openxmlformats.org/officeDocument/2006/relationships/image" Target="../media/image5.wmf"/><Relationship Id="rId10" Type="http://schemas.openxmlformats.org/officeDocument/2006/relationships/image" Target="../media/image10.emf"/><Relationship Id="rId4" Type="http://schemas.openxmlformats.org/officeDocument/2006/relationships/image" Target="../media/image4.wmf"/><Relationship Id="rId9"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image" Target="../media/image16.emf"/><Relationship Id="rId7" Type="http://schemas.openxmlformats.org/officeDocument/2006/relationships/image" Target="../media/image20.emf"/><Relationship Id="rId2" Type="http://schemas.openxmlformats.org/officeDocument/2006/relationships/image" Target="../media/image15.emf"/><Relationship Id="rId1" Type="http://schemas.openxmlformats.org/officeDocument/2006/relationships/image" Target="../media/image14.emf"/><Relationship Id="rId6" Type="http://schemas.openxmlformats.org/officeDocument/2006/relationships/image" Target="../media/image19.emf"/><Relationship Id="rId11" Type="http://schemas.openxmlformats.org/officeDocument/2006/relationships/image" Target="../media/image24.emf"/><Relationship Id="rId5" Type="http://schemas.openxmlformats.org/officeDocument/2006/relationships/image" Target="../media/image18.emf"/><Relationship Id="rId10" Type="http://schemas.openxmlformats.org/officeDocument/2006/relationships/image" Target="../media/image23.emf"/><Relationship Id="rId4" Type="http://schemas.openxmlformats.org/officeDocument/2006/relationships/image" Target="../media/image17.emf"/><Relationship Id="rId9" Type="http://schemas.openxmlformats.org/officeDocument/2006/relationships/image" Target="../media/image22.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30.wmf"/><Relationship Id="rId11" Type="http://schemas.openxmlformats.org/officeDocument/2006/relationships/image" Target="../media/image11.emf"/><Relationship Id="rId5" Type="http://schemas.openxmlformats.org/officeDocument/2006/relationships/image" Target="../media/image29.wmf"/><Relationship Id="rId10" Type="http://schemas.openxmlformats.org/officeDocument/2006/relationships/image" Target="../media/image10.emf"/><Relationship Id="rId4" Type="http://schemas.openxmlformats.org/officeDocument/2006/relationships/image" Target="../media/image28.wmf"/><Relationship Id="rId9"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3.emf"/><Relationship Id="rId2" Type="http://schemas.openxmlformats.org/officeDocument/2006/relationships/image" Target="../media/image22.emf"/><Relationship Id="rId1" Type="http://schemas.openxmlformats.org/officeDocument/2006/relationships/image" Target="../media/image21.emf"/><Relationship Id="rId4"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xdr:twoCellAnchor>
    <xdr:from>
      <xdr:col>4</xdr:col>
      <xdr:colOff>121920</xdr:colOff>
      <xdr:row>57</xdr:row>
      <xdr:rowOff>137160</xdr:rowOff>
    </xdr:from>
    <xdr:to>
      <xdr:col>10</xdr:col>
      <xdr:colOff>502920</xdr:colOff>
      <xdr:row>60</xdr:row>
      <xdr:rowOff>60960</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2660" y="9966960"/>
          <a:ext cx="3870960" cy="426720"/>
        </a:xfrm>
        <a:prstGeom prst="rect">
          <a:avLst/>
        </a:prstGeom>
        <a:solidFill>
          <a:srgbClr val="FFFFFF"/>
        </a:solidFill>
        <a:ln w="15875">
          <a:solidFill>
            <a:srgbClr val="333399"/>
          </a:solidFill>
          <a:miter lim="800000"/>
          <a:headEnd/>
          <a:tailEnd/>
        </a:ln>
      </xdr:spPr>
    </xdr:pic>
    <xdr:clientData/>
  </xdr:twoCellAnchor>
  <xdr:twoCellAnchor>
    <xdr:from>
      <xdr:col>8</xdr:col>
      <xdr:colOff>335280</xdr:colOff>
      <xdr:row>310</xdr:row>
      <xdr:rowOff>22860</xdr:rowOff>
    </xdr:from>
    <xdr:to>
      <xdr:col>16</xdr:col>
      <xdr:colOff>396240</xdr:colOff>
      <xdr:row>321</xdr:row>
      <xdr:rowOff>137160</xdr:rowOff>
    </xdr:to>
    <xdr:graphicFrame macro="">
      <xdr:nvGraphicFramePr>
        <xdr:cNvPr id="3"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2</xdr:col>
          <xdr:colOff>289560</xdr:colOff>
          <xdr:row>17</xdr:row>
          <xdr:rowOff>160020</xdr:rowOff>
        </xdr:from>
        <xdr:to>
          <xdr:col>9</xdr:col>
          <xdr:colOff>464820</xdr:colOff>
          <xdr:row>21</xdr:row>
          <xdr:rowOff>144780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ln w="15875">
              <a:solidFill>
                <a:srgbClr val="008000" mc:Ignorable="a14" a14:legacySpreadsheetColorIndex="17"/>
              </a:solidFill>
              <a:miter lim="800000"/>
              <a:headEnd/>
              <a:tailEnd/>
            </a:ln>
            <a:extLst>
              <a:ext uri="{909E8E84-426E-40DD-AFC4-6F175D3DCCD1}">
                <a14:hiddenFill>
                  <a:solidFill>
                    <a:srgbClr val="008000" mc:Ignorable="a14" a14:legacySpreadsheetColorIndex="17"/>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60960</xdr:rowOff>
        </xdr:from>
        <xdr:to>
          <xdr:col>8</xdr:col>
          <xdr:colOff>266700</xdr:colOff>
          <xdr:row>35</xdr:row>
          <xdr:rowOff>91440</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solidFill>
              <a:srgbClr val="FFFFFF" mc:Ignorable="a14" a14:legacySpreadsheetColorIndex="65"/>
            </a:solidFill>
            <a:ln w="15875">
              <a:solidFill>
                <a:srgbClr val="FF9900" mc:Ignorable="a14" a14:legacySpreadsheetColorIndex="52"/>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76</xdr:row>
          <xdr:rowOff>45720</xdr:rowOff>
        </xdr:from>
        <xdr:to>
          <xdr:col>8</xdr:col>
          <xdr:colOff>259080</xdr:colOff>
          <xdr:row>80</xdr:row>
          <xdr:rowOff>76200</xdr:rowOff>
        </xdr:to>
        <xdr:sp macro="" textlink="">
          <xdr:nvSpPr>
            <xdr:cNvPr id="4099" name="Object 3" hidden="1">
              <a:extLst>
                <a:ext uri="{63B3BB69-23CF-44E3-9099-C40C66FF867C}">
                  <a14:compatExt spid="_x0000_s4099"/>
                </a:ext>
              </a:extLst>
            </xdr:cNvPr>
            <xdr:cNvSpPr/>
          </xdr:nvSpPr>
          <xdr:spPr bwMode="auto">
            <a:xfrm>
              <a:off x="0" y="0"/>
              <a:ext cx="0" cy="0"/>
            </a:xfrm>
            <a:prstGeom prst="rect">
              <a:avLst/>
            </a:prstGeom>
            <a:solidFill>
              <a:srgbClr val="FFFFFF" mc:Ignorable="a14" a14:legacySpreadsheetColorIndex="65"/>
            </a:solidFill>
            <a:ln w="15875">
              <a:solidFill>
                <a:srgbClr val="FF99CC" mc:Ignorable="a14" a14:legacySpreadsheetColorIndex="45"/>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121920</xdr:colOff>
          <xdr:row>102</xdr:row>
          <xdr:rowOff>0</xdr:rowOff>
        </xdr:from>
        <xdr:to>
          <xdr:col>10</xdr:col>
          <xdr:colOff>106680</xdr:colOff>
          <xdr:row>103</xdr:row>
          <xdr:rowOff>129540</xdr:rowOff>
        </xdr:to>
        <xdr:sp macro="" textlink="">
          <xdr:nvSpPr>
            <xdr:cNvPr id="4100" name="Object 4" hidden="1">
              <a:extLst>
                <a:ext uri="{63B3BB69-23CF-44E3-9099-C40C66FF867C}">
                  <a14:compatExt spid="_x0000_s4100"/>
                </a:ext>
              </a:extLst>
            </xdr:cNvPr>
            <xdr:cNvSpPr/>
          </xdr:nvSpPr>
          <xdr:spPr bwMode="auto">
            <a:xfrm>
              <a:off x="0" y="0"/>
              <a:ext cx="0" cy="0"/>
            </a:xfrm>
            <a:prstGeom prst="rect">
              <a:avLst/>
            </a:prstGeom>
            <a:solidFill>
              <a:srgbClr val="FFFFFF" mc:Ignorable="a14" a14:legacySpreadsheetColorIndex="65"/>
            </a:solidFill>
            <a:ln w="15875">
              <a:solidFill>
                <a:srgbClr val="993300" mc:Ignorable="a14" a14:legacySpreadsheetColorIndex="6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83820</xdr:colOff>
          <xdr:row>121</xdr:row>
          <xdr:rowOff>0</xdr:rowOff>
        </xdr:from>
        <xdr:to>
          <xdr:col>9</xdr:col>
          <xdr:colOff>312420</xdr:colOff>
          <xdr:row>122</xdr:row>
          <xdr:rowOff>160020</xdr:rowOff>
        </xdr:to>
        <xdr:sp macro="" textlink="">
          <xdr:nvSpPr>
            <xdr:cNvPr id="4101" name="Object 5" hidden="1">
              <a:extLst>
                <a:ext uri="{63B3BB69-23CF-44E3-9099-C40C66FF867C}">
                  <a14:compatExt spid="_x0000_s4101"/>
                </a:ext>
              </a:extLst>
            </xdr:cNvPr>
            <xdr:cNvSpPr/>
          </xdr:nvSpPr>
          <xdr:spPr bwMode="auto">
            <a:xfrm>
              <a:off x="0" y="0"/>
              <a:ext cx="0" cy="0"/>
            </a:xfrm>
            <a:prstGeom prst="rect">
              <a:avLst/>
            </a:prstGeom>
            <a:solidFill>
              <a:srgbClr val="FFFFFF" mc:Ignorable="a14" a14:legacySpreadsheetColorIndex="65"/>
            </a:solidFill>
            <a:ln w="15875">
              <a:solidFill>
                <a:srgbClr val="FF99CC" mc:Ignorable="a14" a14:legacySpreadsheetColorIndex="45"/>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83820</xdr:colOff>
          <xdr:row>147</xdr:row>
          <xdr:rowOff>129540</xdr:rowOff>
        </xdr:from>
        <xdr:to>
          <xdr:col>13</xdr:col>
          <xdr:colOff>548640</xdr:colOff>
          <xdr:row>150</xdr:row>
          <xdr:rowOff>22860</xdr:rowOff>
        </xdr:to>
        <xdr:sp macro="" textlink="">
          <xdr:nvSpPr>
            <xdr:cNvPr id="4102" name="Object 6" hidden="1">
              <a:extLst>
                <a:ext uri="{63B3BB69-23CF-44E3-9099-C40C66FF867C}">
                  <a14:compatExt spid="_x0000_s4102"/>
                </a:ext>
              </a:extLst>
            </xdr:cNvPr>
            <xdr:cNvSpPr/>
          </xdr:nvSpPr>
          <xdr:spPr bwMode="auto">
            <a:xfrm>
              <a:off x="0" y="0"/>
              <a:ext cx="0" cy="0"/>
            </a:xfrm>
            <a:prstGeom prst="rect">
              <a:avLst/>
            </a:prstGeom>
            <a:solidFill>
              <a:srgbClr val="FFFFFF" mc:Ignorable="a14" a14:legacySpreadsheetColorIndex="65"/>
            </a:solidFill>
            <a:ln w="15875">
              <a:solidFill>
                <a:srgbClr val="99CCFF" mc:Ignorable="a14" a14:legacySpreadsheetColorIndex="4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167</xdr:row>
          <xdr:rowOff>38100</xdr:rowOff>
        </xdr:from>
        <xdr:to>
          <xdr:col>12</xdr:col>
          <xdr:colOff>83820</xdr:colOff>
          <xdr:row>171</xdr:row>
          <xdr:rowOff>106680</xdr:rowOff>
        </xdr:to>
        <xdr:sp macro="" textlink="">
          <xdr:nvSpPr>
            <xdr:cNvPr id="4103" name="Object 7" hidden="1">
              <a:extLst>
                <a:ext uri="{63B3BB69-23CF-44E3-9099-C40C66FF867C}">
                  <a14:compatExt spid="_x0000_s4103"/>
                </a:ext>
              </a:extLst>
            </xdr:cNvPr>
            <xdr:cNvSpPr/>
          </xdr:nvSpPr>
          <xdr:spPr bwMode="auto">
            <a:xfrm>
              <a:off x="0" y="0"/>
              <a:ext cx="0" cy="0"/>
            </a:xfrm>
            <a:prstGeom prst="rect">
              <a:avLst/>
            </a:prstGeom>
            <a:solidFill>
              <a:srgbClr val="FFFFFF" mc:Ignorable="a14" a14:legacySpreadsheetColorIndex="65"/>
            </a:solidFill>
            <a:ln w="15875">
              <a:solidFill>
                <a:srgbClr val="FF99CC" mc:Ignorable="a14" a14:legacySpreadsheetColorIndex="45"/>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196</xdr:row>
          <xdr:rowOff>137160</xdr:rowOff>
        </xdr:from>
        <xdr:to>
          <xdr:col>14</xdr:col>
          <xdr:colOff>251460</xdr:colOff>
          <xdr:row>198</xdr:row>
          <xdr:rowOff>99060</xdr:rowOff>
        </xdr:to>
        <xdr:sp macro="" textlink="">
          <xdr:nvSpPr>
            <xdr:cNvPr id="4104" name="Object 8" hidden="1">
              <a:extLst>
                <a:ext uri="{63B3BB69-23CF-44E3-9099-C40C66FF867C}">
                  <a14:compatExt spid="_x0000_s4104"/>
                </a:ext>
              </a:extLst>
            </xdr:cNvPr>
            <xdr:cNvSpPr/>
          </xdr:nvSpPr>
          <xdr:spPr bwMode="auto">
            <a:xfrm>
              <a:off x="0" y="0"/>
              <a:ext cx="0" cy="0"/>
            </a:xfrm>
            <a:prstGeom prst="rect">
              <a:avLst/>
            </a:prstGeom>
            <a:solidFill>
              <a:srgbClr val="FFFFFF" mc:Ignorable="a14" a14:legacySpreadsheetColorIndex="65"/>
            </a:solidFill>
            <a:ln w="15875">
              <a:solidFill>
                <a:srgbClr val="99CC00" mc:Ignorable="a14" a14:legacySpreadsheetColorIndex="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83820</xdr:colOff>
          <xdr:row>218</xdr:row>
          <xdr:rowOff>91440</xdr:rowOff>
        </xdr:from>
        <xdr:to>
          <xdr:col>13</xdr:col>
          <xdr:colOff>30480</xdr:colOff>
          <xdr:row>219</xdr:row>
          <xdr:rowOff>160020</xdr:rowOff>
        </xdr:to>
        <xdr:sp macro="" textlink="">
          <xdr:nvSpPr>
            <xdr:cNvPr id="4105" name="Object 9" hidden="1">
              <a:extLst>
                <a:ext uri="{63B3BB69-23CF-44E3-9099-C40C66FF867C}">
                  <a14:compatExt spid="_x0000_s4105"/>
                </a:ext>
              </a:extLst>
            </xdr:cNvPr>
            <xdr:cNvSpPr/>
          </xdr:nvSpPr>
          <xdr:spPr bwMode="auto">
            <a:xfrm>
              <a:off x="0" y="0"/>
              <a:ext cx="0" cy="0"/>
            </a:xfrm>
            <a:prstGeom prst="rect">
              <a:avLst/>
            </a:prstGeom>
            <a:solidFill>
              <a:srgbClr val="FFFFFF" mc:Ignorable="a14" a14:legacySpreadsheetColorIndex="65"/>
            </a:solidFill>
            <a:ln w="15875">
              <a:solidFill>
                <a:srgbClr val="FF00FF" mc:Ignorable="a14" a14:legacySpreadsheetColorIndex="3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240</xdr:row>
          <xdr:rowOff>22860</xdr:rowOff>
        </xdr:from>
        <xdr:to>
          <xdr:col>14</xdr:col>
          <xdr:colOff>22860</xdr:colOff>
          <xdr:row>242</xdr:row>
          <xdr:rowOff>22860</xdr:rowOff>
        </xdr:to>
        <xdr:sp macro="" textlink="">
          <xdr:nvSpPr>
            <xdr:cNvPr id="4106" name="Object 10" hidden="1">
              <a:extLst>
                <a:ext uri="{63B3BB69-23CF-44E3-9099-C40C66FF867C}">
                  <a14:compatExt spid="_x0000_s4106"/>
                </a:ext>
              </a:extLst>
            </xdr:cNvPr>
            <xdr:cNvSpPr/>
          </xdr:nvSpPr>
          <xdr:spPr bwMode="auto">
            <a:xfrm>
              <a:off x="0" y="0"/>
              <a:ext cx="0" cy="0"/>
            </a:xfrm>
            <a:prstGeom prst="rect">
              <a:avLst/>
            </a:prstGeom>
            <a:solidFill>
              <a:srgbClr val="FFFFFF" mc:Ignorable="a14" a14:legacySpreadsheetColorIndex="65"/>
            </a:solidFill>
            <a:ln w="15875">
              <a:solidFill>
                <a:srgbClr val="000080" mc:Ignorable="a14" a14:legacySpreadsheetColorIndex="1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68580</xdr:colOff>
          <xdr:row>263</xdr:row>
          <xdr:rowOff>30480</xdr:rowOff>
        </xdr:from>
        <xdr:to>
          <xdr:col>17</xdr:col>
          <xdr:colOff>381000</xdr:colOff>
          <xdr:row>266</xdr:row>
          <xdr:rowOff>121920</xdr:rowOff>
        </xdr:to>
        <xdr:sp macro="" textlink="">
          <xdr:nvSpPr>
            <xdr:cNvPr id="4107" name="Object 11" hidden="1">
              <a:extLst>
                <a:ext uri="{63B3BB69-23CF-44E3-9099-C40C66FF867C}">
                  <a14:compatExt spid="_x0000_s4107"/>
                </a:ext>
              </a:extLst>
            </xdr:cNvPr>
            <xdr:cNvSpPr/>
          </xdr:nvSpPr>
          <xdr:spPr bwMode="auto">
            <a:xfrm>
              <a:off x="0" y="0"/>
              <a:ext cx="0" cy="0"/>
            </a:xfrm>
            <a:prstGeom prst="rect">
              <a:avLst/>
            </a:prstGeom>
            <a:solidFill>
              <a:srgbClr val="FFFFFF"/>
            </a:solidFill>
            <a:ln w="15875">
              <a:solidFill>
                <a:srgbClr val="FF99CC"/>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286</xdr:row>
          <xdr:rowOff>22860</xdr:rowOff>
        </xdr:from>
        <xdr:to>
          <xdr:col>16</xdr:col>
          <xdr:colOff>22860</xdr:colOff>
          <xdr:row>288</xdr:row>
          <xdr:rowOff>22860</xdr:rowOff>
        </xdr:to>
        <xdr:sp macro="" textlink="">
          <xdr:nvSpPr>
            <xdr:cNvPr id="4108" name="Object 12" hidden="1">
              <a:extLst>
                <a:ext uri="{63B3BB69-23CF-44E3-9099-C40C66FF867C}">
                  <a14:compatExt spid="_x0000_s4108"/>
                </a:ext>
              </a:extLst>
            </xdr:cNvPr>
            <xdr:cNvSpPr/>
          </xdr:nvSpPr>
          <xdr:spPr bwMode="auto">
            <a:xfrm>
              <a:off x="0" y="0"/>
              <a:ext cx="0" cy="0"/>
            </a:xfrm>
            <a:prstGeom prst="rect">
              <a:avLst/>
            </a:prstGeom>
            <a:solidFill>
              <a:srgbClr val="FFFFFF" mc:Ignorable="a14" a14:legacySpreadsheetColorIndex="65"/>
            </a:solidFill>
            <a:ln w="15875">
              <a:solidFill>
                <a:srgbClr val="008080" mc:Ignorable="a14" a14:legacySpreadsheetColorIndex="21"/>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82550</xdr:colOff>
      <xdr:row>97</xdr:row>
      <xdr:rowOff>184150</xdr:rowOff>
    </xdr:from>
    <xdr:to>
      <xdr:col>13</xdr:col>
      <xdr:colOff>196850</xdr:colOff>
      <xdr:row>99</xdr:row>
      <xdr:rowOff>54328</xdr:rowOff>
    </xdr:to>
    <xdr:pic>
      <xdr:nvPicPr>
        <xdr:cNvPr id="2" name="Picture 1"/>
        <xdr:cNvPicPr/>
      </xdr:nvPicPr>
      <xdr:blipFill>
        <a:blip xmlns:r="http://schemas.openxmlformats.org/officeDocument/2006/relationships" r:embed="rId1" cstate="print"/>
        <a:srcRect/>
        <a:stretch>
          <a:fillRect/>
        </a:stretch>
      </xdr:blipFill>
      <xdr:spPr bwMode="auto">
        <a:xfrm>
          <a:off x="3867150" y="17519650"/>
          <a:ext cx="3390900" cy="25117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381000</xdr:colOff>
          <xdr:row>61</xdr:row>
          <xdr:rowOff>68580</xdr:rowOff>
        </xdr:from>
        <xdr:to>
          <xdr:col>11</xdr:col>
          <xdr:colOff>121920</xdr:colOff>
          <xdr:row>64</xdr:row>
          <xdr:rowOff>137159</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587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205740</xdr:colOff>
          <xdr:row>42</xdr:row>
          <xdr:rowOff>76200</xdr:rowOff>
        </xdr:from>
        <xdr:to>
          <xdr:col>10</xdr:col>
          <xdr:colOff>266700</xdr:colOff>
          <xdr:row>45</xdr:row>
          <xdr:rowOff>106680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129540</xdr:colOff>
          <xdr:row>81</xdr:row>
          <xdr:rowOff>15240</xdr:rowOff>
        </xdr:from>
        <xdr:to>
          <xdr:col>10</xdr:col>
          <xdr:colOff>243840</xdr:colOff>
          <xdr:row>83</xdr:row>
          <xdr:rowOff>30480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116</xdr:row>
          <xdr:rowOff>22860</xdr:rowOff>
        </xdr:from>
        <xdr:to>
          <xdr:col>12</xdr:col>
          <xdr:colOff>137160</xdr:colOff>
          <xdr:row>117</xdr:row>
          <xdr:rowOff>99060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129540</xdr:colOff>
          <xdr:row>134</xdr:row>
          <xdr:rowOff>15240</xdr:rowOff>
        </xdr:from>
        <xdr:to>
          <xdr:col>11</xdr:col>
          <xdr:colOff>403860</xdr:colOff>
          <xdr:row>136</xdr:row>
          <xdr:rowOff>38100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205740</xdr:colOff>
          <xdr:row>151</xdr:row>
          <xdr:rowOff>53340</xdr:rowOff>
        </xdr:from>
        <xdr:to>
          <xdr:col>11</xdr:col>
          <xdr:colOff>198120</xdr:colOff>
          <xdr:row>152</xdr:row>
          <xdr:rowOff>83820</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172</xdr:row>
          <xdr:rowOff>38100</xdr:rowOff>
        </xdr:from>
        <xdr:to>
          <xdr:col>15</xdr:col>
          <xdr:colOff>91440</xdr:colOff>
          <xdr:row>174</xdr:row>
          <xdr:rowOff>30480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346982</xdr:colOff>
      <xdr:row>270</xdr:row>
      <xdr:rowOff>176213</xdr:rowOff>
    </xdr:from>
    <xdr:to>
      <xdr:col>10</xdr:col>
      <xdr:colOff>6803</xdr:colOff>
      <xdr:row>285</xdr:row>
      <xdr:rowOff>163967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13607</xdr:colOff>
      <xdr:row>270</xdr:row>
      <xdr:rowOff>176893</xdr:rowOff>
    </xdr:from>
    <xdr:to>
      <xdr:col>18</xdr:col>
      <xdr:colOff>13607</xdr:colOff>
      <xdr:row>285</xdr:row>
      <xdr:rowOff>164647</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18</xdr:col>
      <xdr:colOff>81643</xdr:colOff>
      <xdr:row>6</xdr:row>
      <xdr:rowOff>149678</xdr:rowOff>
    </xdr:from>
    <xdr:to>
      <xdr:col>18</xdr:col>
      <xdr:colOff>1386280</xdr:colOff>
      <xdr:row>9</xdr:row>
      <xdr:rowOff>92046</xdr:rowOff>
    </xdr:to>
    <xdr:pic>
      <xdr:nvPicPr>
        <xdr:cNvPr id="4" name="Picture 3"/>
        <xdr:cNvPicPr>
          <a:picLocks noChangeAspect="1"/>
        </xdr:cNvPicPr>
      </xdr:nvPicPr>
      <xdr:blipFill>
        <a:blip xmlns:r="http://schemas.openxmlformats.org/officeDocument/2006/relationships" r:embed="rId4"/>
        <a:stretch>
          <a:fillRect/>
        </a:stretch>
      </xdr:blipFill>
      <xdr:spPr>
        <a:xfrm>
          <a:off x="9593036" y="1149803"/>
          <a:ext cx="1304637" cy="507065"/>
        </a:xfrm>
        <a:prstGeom prst="rect">
          <a:avLst/>
        </a:prstGeom>
      </xdr:spPr>
    </xdr:pic>
    <xdr:clientData/>
  </xdr:twoCellAnchor>
  <xdr:twoCellAnchor editAs="oneCell">
    <xdr:from>
      <xdr:col>18</xdr:col>
      <xdr:colOff>68035</xdr:colOff>
      <xdr:row>3</xdr:row>
      <xdr:rowOff>70301</xdr:rowOff>
    </xdr:from>
    <xdr:to>
      <xdr:col>18</xdr:col>
      <xdr:colOff>1677759</xdr:colOff>
      <xdr:row>6</xdr:row>
      <xdr:rowOff>80825</xdr:rowOff>
    </xdr:to>
    <xdr:pic>
      <xdr:nvPicPr>
        <xdr:cNvPr id="13" name="Picture 12"/>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9796"/>
        <a:stretch/>
      </xdr:blipFill>
      <xdr:spPr bwMode="auto">
        <a:xfrm>
          <a:off x="9579428" y="519337"/>
          <a:ext cx="1609724" cy="561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99060</xdr:colOff>
          <xdr:row>10</xdr:row>
          <xdr:rowOff>0</xdr:rowOff>
        </xdr:from>
        <xdr:to>
          <xdr:col>20</xdr:col>
          <xdr:colOff>579120</xdr:colOff>
          <xdr:row>12</xdr:row>
          <xdr:rowOff>83820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12</xdr:row>
          <xdr:rowOff>259080</xdr:rowOff>
        </xdr:from>
        <xdr:to>
          <xdr:col>21</xdr:col>
          <xdr:colOff>220980</xdr:colOff>
          <xdr:row>13</xdr:row>
          <xdr:rowOff>160019</xdr:rowOff>
        </xdr:to>
        <xdr:sp macro="" textlink="">
          <xdr:nvSpPr>
            <xdr:cNvPr id="1034" name="Object 10" hidden="1">
              <a:extLst>
                <a:ext uri="{63B3BB69-23CF-44E3-9099-C40C66FF867C}">
                  <a14:compatExt spid="_x0000_s1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14</xdr:row>
          <xdr:rowOff>152400</xdr:rowOff>
        </xdr:from>
        <xdr:to>
          <xdr:col>20</xdr:col>
          <xdr:colOff>30480</xdr:colOff>
          <xdr:row>16</xdr:row>
          <xdr:rowOff>144779</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23</xdr:row>
          <xdr:rowOff>152400</xdr:rowOff>
        </xdr:from>
        <xdr:to>
          <xdr:col>22</xdr:col>
          <xdr:colOff>381000</xdr:colOff>
          <xdr:row>26</xdr:row>
          <xdr:rowOff>22861</xdr:rowOff>
        </xdr:to>
        <xdr:sp macro="" textlink="">
          <xdr:nvSpPr>
            <xdr:cNvPr id="1036" name="Object 12" hidden="1">
              <a:extLst>
                <a:ext uri="{63B3BB69-23CF-44E3-9099-C40C66FF867C}">
                  <a14:compatExt spid="_x0000_s103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13</xdr:col>
      <xdr:colOff>40820</xdr:colOff>
      <xdr:row>27</xdr:row>
      <xdr:rowOff>74838</xdr:rowOff>
    </xdr:from>
    <xdr:to>
      <xdr:col>15</xdr:col>
      <xdr:colOff>556531</xdr:colOff>
      <xdr:row>32</xdr:row>
      <xdr:rowOff>129267</xdr:rowOff>
    </xdr:to>
    <xdr:sp macro="" textlink="">
      <xdr:nvSpPr>
        <xdr:cNvPr id="18" name="Text Box 29"/>
        <xdr:cNvSpPr txBox="1">
          <a:spLocks noChangeArrowheads="1"/>
        </xdr:cNvSpPr>
      </xdr:nvSpPr>
      <xdr:spPr bwMode="auto">
        <a:xfrm>
          <a:off x="7184570" y="5218338"/>
          <a:ext cx="1631497" cy="972911"/>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pt-PT" sz="1000" b="1" i="1" u="none" strike="noStrike" baseline="0">
              <a:solidFill>
                <a:srgbClr val="000000"/>
              </a:solidFill>
              <a:latin typeface="Arial"/>
              <a:cs typeface="Arial"/>
            </a:rPr>
            <a:t>tai</a:t>
          </a:r>
          <a:r>
            <a:rPr lang="pt-PT" sz="1000" b="0" i="0" u="none" strike="noStrike" baseline="0">
              <a:solidFill>
                <a:srgbClr val="000000"/>
              </a:solidFill>
              <a:latin typeface="Arial"/>
              <a:cs typeface="Arial"/>
            </a:rPr>
            <a:t> was created for consistency reasons because it is assumed that </a:t>
          </a:r>
          <a:r>
            <a:rPr lang="pt-PT" sz="1000" b="1" i="1" u="none" strike="noStrike" baseline="0">
              <a:solidFill>
                <a:srgbClr val="000000"/>
              </a:solidFill>
              <a:latin typeface="Arial"/>
              <a:cs typeface="Arial"/>
            </a:rPr>
            <a:t>cai </a:t>
          </a:r>
          <a:r>
            <a:rPr lang="pt-PT" sz="1000" b="0" i="0" u="none" strike="noStrike" baseline="0">
              <a:solidFill>
                <a:srgbClr val="000000"/>
              </a:solidFill>
              <a:latin typeface="Arial"/>
              <a:cs typeface="Arial"/>
            </a:rPr>
            <a:t>occurres between 2 thinnings (thinning at ages 20 and 25 =&gt; tai=22.5</a:t>
          </a:r>
        </a:p>
      </xdr:txBody>
    </xdr:sp>
    <xdr:clientData/>
  </xdr:twoCellAnchor>
  <xdr:twoCellAnchor>
    <xdr:from>
      <xdr:col>4</xdr:col>
      <xdr:colOff>415019</xdr:colOff>
      <xdr:row>27</xdr:row>
      <xdr:rowOff>81641</xdr:rowOff>
    </xdr:from>
    <xdr:to>
      <xdr:col>12</xdr:col>
      <xdr:colOff>547280</xdr:colOff>
      <xdr:row>35</xdr:row>
      <xdr:rowOff>156482</xdr:rowOff>
    </xdr:to>
    <xdr:sp macro="" textlink="">
      <xdr:nvSpPr>
        <xdr:cNvPr id="19" name="Text Box 23"/>
        <xdr:cNvSpPr txBox="1">
          <a:spLocks noChangeArrowheads="1"/>
        </xdr:cNvSpPr>
      </xdr:nvSpPr>
      <xdr:spPr bwMode="auto">
        <a:xfrm>
          <a:off x="2537733" y="5225141"/>
          <a:ext cx="4595404" cy="1544412"/>
        </a:xfrm>
        <a:prstGeom prst="rect">
          <a:avLst/>
        </a:prstGeom>
        <a:solidFill>
          <a:srgbClr val="FFFFFF"/>
        </a:solidFill>
        <a:ln w="15875">
          <a:solidFill>
            <a:srgbClr val="000000"/>
          </a:solidFill>
          <a:miter lim="800000"/>
          <a:headEnd/>
          <a:tailEnd/>
        </a:ln>
      </xdr:spPr>
      <xdr:txBody>
        <a:bodyPr vertOverflow="clip" wrap="square" lIns="27432" tIns="22860" rIns="0" bIns="0" anchor="t" upright="1"/>
        <a:lstStyle/>
        <a:p>
          <a:pPr algn="l" rtl="0">
            <a:defRPr sz="1000"/>
          </a:pPr>
          <a:r>
            <a:rPr lang="pt-PT" sz="1000" b="0" i="0" baseline="0">
              <a:solidFill>
                <a:srgbClr val="C00000"/>
              </a:solidFill>
              <a:effectLst/>
              <a:latin typeface="+mn-lt"/>
              <a:ea typeface="+mn-ea"/>
              <a:cs typeface="+mn-cs"/>
            </a:rPr>
            <a:t>For age 20 , t</a:t>
          </a:r>
          <a:r>
            <a:rPr lang="pt-PT" sz="1000" b="0" i="0" u="none" strike="noStrike" baseline="0">
              <a:solidFill>
                <a:srgbClr val="C00000"/>
              </a:solidFill>
              <a:latin typeface="Arial"/>
              <a:cs typeface="Arial"/>
            </a:rPr>
            <a:t>he</a:t>
          </a:r>
          <a:r>
            <a:rPr lang="pt-PT" sz="1000" b="1" i="0" u="none" strike="noStrike" baseline="0">
              <a:solidFill>
                <a:srgbClr val="C00000"/>
              </a:solidFill>
              <a:latin typeface="Arial"/>
              <a:cs typeface="Arial"/>
            </a:rPr>
            <a:t> Vtot </a:t>
          </a:r>
          <a:r>
            <a:rPr lang="pt-PT" sz="1000" b="0" i="0" u="none" strike="noStrike" baseline="0">
              <a:solidFill>
                <a:srgbClr val="C00000"/>
              </a:solidFill>
              <a:latin typeface="Arial"/>
              <a:cs typeface="Arial"/>
            </a:rPr>
            <a:t>estimate </a:t>
          </a:r>
          <a:r>
            <a:rPr lang="pt-PT" sz="1000" b="0" i="0" baseline="0">
              <a:solidFill>
                <a:srgbClr val="C00000"/>
              </a:solidFill>
              <a:effectLst/>
              <a:latin typeface="+mn-lt"/>
              <a:ea typeface="+mn-ea"/>
              <a:cs typeface="+mn-cs"/>
            </a:rPr>
            <a:t>(Standing volume after thinning + Thinned volume) </a:t>
          </a:r>
          <a:r>
            <a:rPr lang="pt-PT" sz="1000" b="0" i="0" u="none" strike="noStrike" baseline="0">
              <a:solidFill>
                <a:srgbClr val="C00000"/>
              </a:solidFill>
              <a:latin typeface="Arial"/>
              <a:cs typeface="Arial"/>
            </a:rPr>
            <a:t> turns to be smaler that the V standing after the thinning took place, which can't be. </a:t>
          </a:r>
        </a:p>
        <a:p>
          <a:pPr algn="l" rtl="0">
            <a:defRPr sz="1000"/>
          </a:pPr>
          <a:endParaRPr lang="pt-PT" sz="600" b="0" i="0" u="none" strike="noStrike" baseline="0">
            <a:solidFill>
              <a:srgbClr val="C00000"/>
            </a:solidFill>
            <a:latin typeface="Arial"/>
            <a:cs typeface="Arial"/>
          </a:endParaRPr>
        </a:p>
        <a:p>
          <a:pPr algn="l" rtl="0">
            <a:defRPr sz="1000"/>
          </a:pPr>
          <a:r>
            <a:rPr lang="pt-PT" sz="1000" b="0" i="0" u="none" strike="noStrike" baseline="0">
              <a:solidFill>
                <a:srgbClr val="C00000"/>
              </a:solidFill>
              <a:latin typeface="Arial"/>
              <a:cs typeface="Arial"/>
            </a:rPr>
            <a:t>Cause: The Vtot equation was supposed to have been fitted with data from fully stocked stands (selfthinning maximum density) but for some of the plots we can't guarantee neither that the stands were fully stocked nor that some mortality had occurred prior to the 1st thinning took place. This results in less precise volume estimates before the 1st thinning. To make it simpler SET THE VALUE = TO V (no thinning takes place at age 20)</a:t>
          </a:r>
        </a:p>
        <a:p>
          <a:pPr algn="l" rtl="0">
            <a:defRPr sz="1000"/>
          </a:pPr>
          <a:endParaRPr lang="pt-PT" sz="1000" b="0" i="0" u="none" strike="noStrike" baseline="0">
            <a:solidFill>
              <a:srgbClr val="FF00FF"/>
            </a:solidFill>
            <a:latin typeface="Arial"/>
            <a:cs typeface="Arial"/>
          </a:endParaRPr>
        </a:p>
      </xdr:txBody>
    </xdr:sp>
    <xdr:clientData/>
  </xdr:twoCellAnchor>
  <xdr:twoCellAnchor>
    <xdr:from>
      <xdr:col>0</xdr:col>
      <xdr:colOff>0</xdr:colOff>
      <xdr:row>27</xdr:row>
      <xdr:rowOff>81643</xdr:rowOff>
    </xdr:from>
    <xdr:to>
      <xdr:col>4</xdr:col>
      <xdr:colOff>367393</xdr:colOff>
      <xdr:row>31</xdr:row>
      <xdr:rowOff>170089</xdr:rowOff>
    </xdr:to>
    <xdr:sp macro="" textlink="">
      <xdr:nvSpPr>
        <xdr:cNvPr id="20" name="Text Box 27"/>
        <xdr:cNvSpPr txBox="1">
          <a:spLocks noChangeArrowheads="1"/>
        </xdr:cNvSpPr>
      </xdr:nvSpPr>
      <xdr:spPr bwMode="auto">
        <a:xfrm>
          <a:off x="0" y="5225143"/>
          <a:ext cx="2490107" cy="823232"/>
        </a:xfrm>
        <a:prstGeom prst="rect">
          <a:avLst/>
        </a:prstGeom>
        <a:solidFill>
          <a:schemeClr val="bg1"/>
        </a:solidFill>
        <a:ln w="15875">
          <a:solidFill>
            <a:schemeClr val="accent4">
              <a:lumMod val="50000"/>
            </a:schemeClr>
          </a:solidFill>
          <a:miter lim="800000"/>
          <a:headEnd/>
          <a:tailEnd/>
        </a:ln>
      </xdr:spPr>
      <xdr:txBody>
        <a:bodyPr vertOverflow="clip" wrap="square" lIns="27432" tIns="22860" rIns="0" bIns="0" anchor="t" upright="1"/>
        <a:lstStyle/>
        <a:p>
          <a:pPr algn="l" rtl="0">
            <a:defRPr sz="1000"/>
          </a:pPr>
          <a:r>
            <a:rPr lang="pt-PT" sz="1000" b="0" i="0" u="none" strike="noStrike" baseline="0">
              <a:solidFill>
                <a:schemeClr val="accent4">
                  <a:lumMod val="75000"/>
                </a:schemeClr>
              </a:solidFill>
              <a:latin typeface="Arial"/>
              <a:cs typeface="Arial"/>
            </a:rPr>
            <a:t>After age 60, when no more thinnings take place, Vthin should be zero and the acumulated Vthin became constant until the end of simulation, which is not the case thus we will force it to be zero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121920</xdr:colOff>
      <xdr:row>57</xdr:row>
      <xdr:rowOff>137160</xdr:rowOff>
    </xdr:from>
    <xdr:to>
      <xdr:col>10</xdr:col>
      <xdr:colOff>502920</xdr:colOff>
      <xdr:row>60</xdr:row>
      <xdr:rowOff>60960</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2660" y="9966960"/>
          <a:ext cx="3870960" cy="426720"/>
        </a:xfrm>
        <a:prstGeom prst="rect">
          <a:avLst/>
        </a:prstGeom>
        <a:solidFill>
          <a:srgbClr val="FFFFFF"/>
        </a:solidFill>
        <a:ln w="15875">
          <a:solidFill>
            <a:srgbClr val="333399"/>
          </a:solidFill>
          <a:miter lim="800000"/>
          <a:headEnd/>
          <a:tailEnd/>
        </a:ln>
      </xdr:spPr>
    </xdr:pic>
    <xdr:clientData/>
  </xdr:twoCellAnchor>
  <xdr:twoCellAnchor>
    <xdr:from>
      <xdr:col>8</xdr:col>
      <xdr:colOff>335280</xdr:colOff>
      <xdr:row>310</xdr:row>
      <xdr:rowOff>22860</xdr:rowOff>
    </xdr:from>
    <xdr:to>
      <xdr:col>16</xdr:col>
      <xdr:colOff>396240</xdr:colOff>
      <xdr:row>321</xdr:row>
      <xdr:rowOff>137160</xdr:rowOff>
    </xdr:to>
    <xdr:graphicFrame macro="">
      <xdr:nvGraphicFramePr>
        <xdr:cNvPr id="3"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2</xdr:col>
          <xdr:colOff>289560</xdr:colOff>
          <xdr:row>17</xdr:row>
          <xdr:rowOff>160020</xdr:rowOff>
        </xdr:from>
        <xdr:to>
          <xdr:col>9</xdr:col>
          <xdr:colOff>464820</xdr:colOff>
          <xdr:row>21</xdr:row>
          <xdr:rowOff>144780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ln w="15875">
              <a:solidFill>
                <a:srgbClr val="008000" mc:Ignorable="a14" a14:legacySpreadsheetColorIndex="17"/>
              </a:solidFill>
              <a:miter lim="800000"/>
              <a:headEnd/>
              <a:tailEnd/>
            </a:ln>
            <a:extLst>
              <a:ext uri="{909E8E84-426E-40DD-AFC4-6F175D3DCCD1}">
                <a14:hiddenFill>
                  <a:solidFill>
                    <a:srgbClr val="008000" mc:Ignorable="a14" a14:legacySpreadsheetColorIndex="17"/>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60960</xdr:rowOff>
        </xdr:from>
        <xdr:to>
          <xdr:col>8</xdr:col>
          <xdr:colOff>266700</xdr:colOff>
          <xdr:row>35</xdr:row>
          <xdr:rowOff>91440</xdr:rowOff>
        </xdr:to>
        <xdr:sp macro="" textlink="">
          <xdr:nvSpPr>
            <xdr:cNvPr id="7170" name="Object 2" hidden="1">
              <a:extLst>
                <a:ext uri="{63B3BB69-23CF-44E3-9099-C40C66FF867C}">
                  <a14:compatExt spid="_x0000_s7170"/>
                </a:ext>
              </a:extLst>
            </xdr:cNvPr>
            <xdr:cNvSpPr/>
          </xdr:nvSpPr>
          <xdr:spPr bwMode="auto">
            <a:xfrm>
              <a:off x="0" y="0"/>
              <a:ext cx="0" cy="0"/>
            </a:xfrm>
            <a:prstGeom prst="rect">
              <a:avLst/>
            </a:prstGeom>
            <a:solidFill>
              <a:srgbClr val="FFFFFF" mc:Ignorable="a14" a14:legacySpreadsheetColorIndex="65"/>
            </a:solidFill>
            <a:ln w="15875">
              <a:solidFill>
                <a:srgbClr val="FF9900" mc:Ignorable="a14" a14:legacySpreadsheetColorIndex="52"/>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76</xdr:row>
          <xdr:rowOff>45720</xdr:rowOff>
        </xdr:from>
        <xdr:to>
          <xdr:col>8</xdr:col>
          <xdr:colOff>259080</xdr:colOff>
          <xdr:row>80</xdr:row>
          <xdr:rowOff>76200</xdr:rowOff>
        </xdr:to>
        <xdr:sp macro="" textlink="">
          <xdr:nvSpPr>
            <xdr:cNvPr id="7171" name="Object 3" hidden="1">
              <a:extLst>
                <a:ext uri="{63B3BB69-23CF-44E3-9099-C40C66FF867C}">
                  <a14:compatExt spid="_x0000_s7171"/>
                </a:ext>
              </a:extLst>
            </xdr:cNvPr>
            <xdr:cNvSpPr/>
          </xdr:nvSpPr>
          <xdr:spPr bwMode="auto">
            <a:xfrm>
              <a:off x="0" y="0"/>
              <a:ext cx="0" cy="0"/>
            </a:xfrm>
            <a:prstGeom prst="rect">
              <a:avLst/>
            </a:prstGeom>
            <a:solidFill>
              <a:srgbClr val="FFFFFF" mc:Ignorable="a14" a14:legacySpreadsheetColorIndex="65"/>
            </a:solidFill>
            <a:ln w="15875">
              <a:solidFill>
                <a:srgbClr val="FF99CC" mc:Ignorable="a14" a14:legacySpreadsheetColorIndex="45"/>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121920</xdr:colOff>
          <xdr:row>102</xdr:row>
          <xdr:rowOff>0</xdr:rowOff>
        </xdr:from>
        <xdr:to>
          <xdr:col>10</xdr:col>
          <xdr:colOff>106680</xdr:colOff>
          <xdr:row>103</xdr:row>
          <xdr:rowOff>129540</xdr:rowOff>
        </xdr:to>
        <xdr:sp macro="" textlink="">
          <xdr:nvSpPr>
            <xdr:cNvPr id="7172" name="Object 4" hidden="1">
              <a:extLst>
                <a:ext uri="{63B3BB69-23CF-44E3-9099-C40C66FF867C}">
                  <a14:compatExt spid="_x0000_s7172"/>
                </a:ext>
              </a:extLst>
            </xdr:cNvPr>
            <xdr:cNvSpPr/>
          </xdr:nvSpPr>
          <xdr:spPr bwMode="auto">
            <a:xfrm>
              <a:off x="0" y="0"/>
              <a:ext cx="0" cy="0"/>
            </a:xfrm>
            <a:prstGeom prst="rect">
              <a:avLst/>
            </a:prstGeom>
            <a:solidFill>
              <a:srgbClr val="FFFFFF" mc:Ignorable="a14" a14:legacySpreadsheetColorIndex="65"/>
            </a:solidFill>
            <a:ln w="15875">
              <a:solidFill>
                <a:srgbClr val="993300" mc:Ignorable="a14" a14:legacySpreadsheetColorIndex="6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83820</xdr:colOff>
          <xdr:row>121</xdr:row>
          <xdr:rowOff>0</xdr:rowOff>
        </xdr:from>
        <xdr:to>
          <xdr:col>9</xdr:col>
          <xdr:colOff>312420</xdr:colOff>
          <xdr:row>122</xdr:row>
          <xdr:rowOff>160020</xdr:rowOff>
        </xdr:to>
        <xdr:sp macro="" textlink="">
          <xdr:nvSpPr>
            <xdr:cNvPr id="7173" name="Object 5" hidden="1">
              <a:extLst>
                <a:ext uri="{63B3BB69-23CF-44E3-9099-C40C66FF867C}">
                  <a14:compatExt spid="_x0000_s7173"/>
                </a:ext>
              </a:extLst>
            </xdr:cNvPr>
            <xdr:cNvSpPr/>
          </xdr:nvSpPr>
          <xdr:spPr bwMode="auto">
            <a:xfrm>
              <a:off x="0" y="0"/>
              <a:ext cx="0" cy="0"/>
            </a:xfrm>
            <a:prstGeom prst="rect">
              <a:avLst/>
            </a:prstGeom>
            <a:solidFill>
              <a:srgbClr val="FFFFFF" mc:Ignorable="a14" a14:legacySpreadsheetColorIndex="65"/>
            </a:solidFill>
            <a:ln w="15875">
              <a:solidFill>
                <a:srgbClr val="FF99CC" mc:Ignorable="a14" a14:legacySpreadsheetColorIndex="45"/>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83820</xdr:colOff>
          <xdr:row>147</xdr:row>
          <xdr:rowOff>129540</xdr:rowOff>
        </xdr:from>
        <xdr:to>
          <xdr:col>13</xdr:col>
          <xdr:colOff>548640</xdr:colOff>
          <xdr:row>150</xdr:row>
          <xdr:rowOff>22860</xdr:rowOff>
        </xdr:to>
        <xdr:sp macro="" textlink="">
          <xdr:nvSpPr>
            <xdr:cNvPr id="7174" name="Object 6" hidden="1">
              <a:extLst>
                <a:ext uri="{63B3BB69-23CF-44E3-9099-C40C66FF867C}">
                  <a14:compatExt spid="_x0000_s7174"/>
                </a:ext>
              </a:extLst>
            </xdr:cNvPr>
            <xdr:cNvSpPr/>
          </xdr:nvSpPr>
          <xdr:spPr bwMode="auto">
            <a:xfrm>
              <a:off x="0" y="0"/>
              <a:ext cx="0" cy="0"/>
            </a:xfrm>
            <a:prstGeom prst="rect">
              <a:avLst/>
            </a:prstGeom>
            <a:solidFill>
              <a:srgbClr val="FFFFFF" mc:Ignorable="a14" a14:legacySpreadsheetColorIndex="65"/>
            </a:solidFill>
            <a:ln w="15875">
              <a:solidFill>
                <a:srgbClr val="99CCFF" mc:Ignorable="a14" a14:legacySpreadsheetColorIndex="4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167</xdr:row>
          <xdr:rowOff>38100</xdr:rowOff>
        </xdr:from>
        <xdr:to>
          <xdr:col>12</xdr:col>
          <xdr:colOff>83820</xdr:colOff>
          <xdr:row>171</xdr:row>
          <xdr:rowOff>106680</xdr:rowOff>
        </xdr:to>
        <xdr:sp macro="" textlink="">
          <xdr:nvSpPr>
            <xdr:cNvPr id="7175" name="Object 7" hidden="1">
              <a:extLst>
                <a:ext uri="{63B3BB69-23CF-44E3-9099-C40C66FF867C}">
                  <a14:compatExt spid="_x0000_s7175"/>
                </a:ext>
              </a:extLst>
            </xdr:cNvPr>
            <xdr:cNvSpPr/>
          </xdr:nvSpPr>
          <xdr:spPr bwMode="auto">
            <a:xfrm>
              <a:off x="0" y="0"/>
              <a:ext cx="0" cy="0"/>
            </a:xfrm>
            <a:prstGeom prst="rect">
              <a:avLst/>
            </a:prstGeom>
            <a:solidFill>
              <a:srgbClr val="FFFFFF" mc:Ignorable="a14" a14:legacySpreadsheetColorIndex="65"/>
            </a:solidFill>
            <a:ln w="15875">
              <a:solidFill>
                <a:srgbClr val="FF99CC" mc:Ignorable="a14" a14:legacySpreadsheetColorIndex="45"/>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196</xdr:row>
          <xdr:rowOff>137160</xdr:rowOff>
        </xdr:from>
        <xdr:to>
          <xdr:col>14</xdr:col>
          <xdr:colOff>251460</xdr:colOff>
          <xdr:row>198</xdr:row>
          <xdr:rowOff>99060</xdr:rowOff>
        </xdr:to>
        <xdr:sp macro="" textlink="">
          <xdr:nvSpPr>
            <xdr:cNvPr id="7176" name="Object 8" hidden="1">
              <a:extLst>
                <a:ext uri="{63B3BB69-23CF-44E3-9099-C40C66FF867C}">
                  <a14:compatExt spid="_x0000_s7176"/>
                </a:ext>
              </a:extLst>
            </xdr:cNvPr>
            <xdr:cNvSpPr/>
          </xdr:nvSpPr>
          <xdr:spPr bwMode="auto">
            <a:xfrm>
              <a:off x="0" y="0"/>
              <a:ext cx="0" cy="0"/>
            </a:xfrm>
            <a:prstGeom prst="rect">
              <a:avLst/>
            </a:prstGeom>
            <a:solidFill>
              <a:srgbClr val="FFFFFF" mc:Ignorable="a14" a14:legacySpreadsheetColorIndex="65"/>
            </a:solidFill>
            <a:ln w="15875">
              <a:solidFill>
                <a:srgbClr val="99CC00" mc:Ignorable="a14" a14:legacySpreadsheetColorIndex="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83820</xdr:colOff>
          <xdr:row>218</xdr:row>
          <xdr:rowOff>91440</xdr:rowOff>
        </xdr:from>
        <xdr:to>
          <xdr:col>13</xdr:col>
          <xdr:colOff>30480</xdr:colOff>
          <xdr:row>219</xdr:row>
          <xdr:rowOff>160020</xdr:rowOff>
        </xdr:to>
        <xdr:sp macro="" textlink="">
          <xdr:nvSpPr>
            <xdr:cNvPr id="7177" name="Object 9" hidden="1">
              <a:extLst>
                <a:ext uri="{63B3BB69-23CF-44E3-9099-C40C66FF867C}">
                  <a14:compatExt spid="_x0000_s7177"/>
                </a:ext>
              </a:extLst>
            </xdr:cNvPr>
            <xdr:cNvSpPr/>
          </xdr:nvSpPr>
          <xdr:spPr bwMode="auto">
            <a:xfrm>
              <a:off x="0" y="0"/>
              <a:ext cx="0" cy="0"/>
            </a:xfrm>
            <a:prstGeom prst="rect">
              <a:avLst/>
            </a:prstGeom>
            <a:solidFill>
              <a:srgbClr val="FFFFFF" mc:Ignorable="a14" a14:legacySpreadsheetColorIndex="65"/>
            </a:solidFill>
            <a:ln w="15875">
              <a:solidFill>
                <a:srgbClr val="FF00FF" mc:Ignorable="a14" a14:legacySpreadsheetColorIndex="3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240</xdr:row>
          <xdr:rowOff>22860</xdr:rowOff>
        </xdr:from>
        <xdr:to>
          <xdr:col>14</xdr:col>
          <xdr:colOff>22860</xdr:colOff>
          <xdr:row>242</xdr:row>
          <xdr:rowOff>22860</xdr:rowOff>
        </xdr:to>
        <xdr:sp macro="" textlink="">
          <xdr:nvSpPr>
            <xdr:cNvPr id="7178" name="Object 10" hidden="1">
              <a:extLst>
                <a:ext uri="{63B3BB69-23CF-44E3-9099-C40C66FF867C}">
                  <a14:compatExt spid="_x0000_s7178"/>
                </a:ext>
              </a:extLst>
            </xdr:cNvPr>
            <xdr:cNvSpPr/>
          </xdr:nvSpPr>
          <xdr:spPr bwMode="auto">
            <a:xfrm>
              <a:off x="0" y="0"/>
              <a:ext cx="0" cy="0"/>
            </a:xfrm>
            <a:prstGeom prst="rect">
              <a:avLst/>
            </a:prstGeom>
            <a:solidFill>
              <a:srgbClr val="FFFFFF" mc:Ignorable="a14" a14:legacySpreadsheetColorIndex="65"/>
            </a:solidFill>
            <a:ln w="15875">
              <a:solidFill>
                <a:srgbClr val="000080" mc:Ignorable="a14" a14:legacySpreadsheetColorIndex="1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68580</xdr:colOff>
          <xdr:row>263</xdr:row>
          <xdr:rowOff>30480</xdr:rowOff>
        </xdr:from>
        <xdr:to>
          <xdr:col>17</xdr:col>
          <xdr:colOff>381000</xdr:colOff>
          <xdr:row>266</xdr:row>
          <xdr:rowOff>121920</xdr:rowOff>
        </xdr:to>
        <xdr:sp macro="" textlink="">
          <xdr:nvSpPr>
            <xdr:cNvPr id="7179" name="Object 11" hidden="1">
              <a:extLst>
                <a:ext uri="{63B3BB69-23CF-44E3-9099-C40C66FF867C}">
                  <a14:compatExt spid="_x0000_s7179"/>
                </a:ext>
              </a:extLst>
            </xdr:cNvPr>
            <xdr:cNvSpPr/>
          </xdr:nvSpPr>
          <xdr:spPr bwMode="auto">
            <a:xfrm>
              <a:off x="0" y="0"/>
              <a:ext cx="0" cy="0"/>
            </a:xfrm>
            <a:prstGeom prst="rect">
              <a:avLst/>
            </a:prstGeom>
            <a:solidFill>
              <a:srgbClr val="FFFFFF"/>
            </a:solidFill>
            <a:ln w="15875">
              <a:solidFill>
                <a:srgbClr val="FF99CC"/>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286</xdr:row>
          <xdr:rowOff>22860</xdr:rowOff>
        </xdr:from>
        <xdr:to>
          <xdr:col>16</xdr:col>
          <xdr:colOff>22860</xdr:colOff>
          <xdr:row>288</xdr:row>
          <xdr:rowOff>22860</xdr:rowOff>
        </xdr:to>
        <xdr:sp macro="" textlink="">
          <xdr:nvSpPr>
            <xdr:cNvPr id="7180" name="Object 12" hidden="1">
              <a:extLst>
                <a:ext uri="{63B3BB69-23CF-44E3-9099-C40C66FF867C}">
                  <a14:compatExt spid="_x0000_s7180"/>
                </a:ext>
              </a:extLst>
            </xdr:cNvPr>
            <xdr:cNvSpPr/>
          </xdr:nvSpPr>
          <xdr:spPr bwMode="auto">
            <a:xfrm>
              <a:off x="0" y="0"/>
              <a:ext cx="0" cy="0"/>
            </a:xfrm>
            <a:prstGeom prst="rect">
              <a:avLst/>
            </a:prstGeom>
            <a:solidFill>
              <a:srgbClr val="FFFFFF" mc:Ignorable="a14" a14:legacySpreadsheetColorIndex="65"/>
            </a:solidFill>
            <a:ln w="15875">
              <a:solidFill>
                <a:srgbClr val="008080" mc:Ignorable="a14" a14:legacySpreadsheetColorIndex="21"/>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18</xdr:col>
      <xdr:colOff>81643</xdr:colOff>
      <xdr:row>5</xdr:row>
      <xdr:rowOff>149678</xdr:rowOff>
    </xdr:from>
    <xdr:to>
      <xdr:col>20</xdr:col>
      <xdr:colOff>167080</xdr:colOff>
      <xdr:row>8</xdr:row>
      <xdr:rowOff>107287</xdr:rowOff>
    </xdr:to>
    <xdr:pic>
      <xdr:nvPicPr>
        <xdr:cNvPr id="5" name="Picture 4"/>
        <xdr:cNvPicPr>
          <a:picLocks noChangeAspect="1"/>
        </xdr:cNvPicPr>
      </xdr:nvPicPr>
      <xdr:blipFill>
        <a:blip xmlns:r="http://schemas.openxmlformats.org/officeDocument/2006/relationships" r:embed="rId1"/>
        <a:stretch>
          <a:fillRect/>
        </a:stretch>
      </xdr:blipFill>
      <xdr:spPr>
        <a:xfrm>
          <a:off x="9568543" y="1147898"/>
          <a:ext cx="1304637" cy="506249"/>
        </a:xfrm>
        <a:prstGeom prst="rect">
          <a:avLst/>
        </a:prstGeom>
      </xdr:spPr>
    </xdr:pic>
    <xdr:clientData/>
  </xdr:twoCellAnchor>
  <xdr:twoCellAnchor editAs="oneCell">
    <xdr:from>
      <xdr:col>18</xdr:col>
      <xdr:colOff>68035</xdr:colOff>
      <xdr:row>2</xdr:row>
      <xdr:rowOff>70301</xdr:rowOff>
    </xdr:from>
    <xdr:to>
      <xdr:col>20</xdr:col>
      <xdr:colOff>458559</xdr:colOff>
      <xdr:row>5</xdr:row>
      <xdr:rowOff>80825</xdr:rowOff>
    </xdr:to>
    <xdr:pic>
      <xdr:nvPicPr>
        <xdr:cNvPr id="6" name="Picture 5"/>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796"/>
        <a:stretch/>
      </xdr:blipFill>
      <xdr:spPr bwMode="auto">
        <a:xfrm>
          <a:off x="9554935" y="519881"/>
          <a:ext cx="1609724" cy="559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99060</xdr:colOff>
          <xdr:row>9</xdr:row>
          <xdr:rowOff>0</xdr:rowOff>
        </xdr:from>
        <xdr:to>
          <xdr:col>22</xdr:col>
          <xdr:colOff>548640</xdr:colOff>
          <xdr:row>11</xdr:row>
          <xdr:rowOff>121920</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11</xdr:row>
          <xdr:rowOff>259080</xdr:rowOff>
        </xdr:from>
        <xdr:to>
          <xdr:col>23</xdr:col>
          <xdr:colOff>198120</xdr:colOff>
          <xdr:row>12</xdr:row>
          <xdr:rowOff>160020</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13</xdr:row>
          <xdr:rowOff>152400</xdr:rowOff>
        </xdr:from>
        <xdr:to>
          <xdr:col>22</xdr:col>
          <xdr:colOff>0</xdr:colOff>
          <xdr:row>15</xdr:row>
          <xdr:rowOff>144780</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22</xdr:row>
          <xdr:rowOff>152400</xdr:rowOff>
        </xdr:from>
        <xdr:to>
          <xdr:col>24</xdr:col>
          <xdr:colOff>342900</xdr:colOff>
          <xdr:row>25</xdr:row>
          <xdr:rowOff>22860</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G_Backup/Susana/Aulas/Classes/Classes_2013-2014/11_Class/ExercisesYieldTable2_solved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vas de classe de qualidade"/>
      <sheetName val="Tabela prod volume total"/>
      <sheetName val="TProd_vol_total"/>
      <sheetName val="TProd_vol_sec"/>
    </sheetNames>
    <sheetDataSet>
      <sheetData sheetId="0"/>
      <sheetData sheetId="1">
        <row r="8">
          <cell r="D8">
            <v>20</v>
          </cell>
        </row>
        <row r="9">
          <cell r="D9">
            <v>0.22</v>
          </cell>
        </row>
        <row r="10">
          <cell r="D10">
            <v>20</v>
          </cell>
        </row>
      </sheetData>
      <sheetData sheetId="2"/>
      <sheetData sheetId="3">
        <row r="299">
          <cell r="A299">
            <v>15</v>
          </cell>
          <cell r="P299">
            <v>4.7665747802001279</v>
          </cell>
          <cell r="Q299">
            <v>18.389672953151873</v>
          </cell>
        </row>
        <row r="300">
          <cell r="A300">
            <v>20</v>
          </cell>
          <cell r="P300">
            <v>8.1723493234380644</v>
          </cell>
          <cell r="Q300">
            <v>17.645885817695092</v>
          </cell>
        </row>
        <row r="301">
          <cell r="A301">
            <v>25</v>
          </cell>
          <cell r="P301">
            <v>10.067056622289469</v>
          </cell>
          <cell r="Q301">
            <v>14.685843392196626</v>
          </cell>
        </row>
        <row r="302">
          <cell r="A302">
            <v>30</v>
          </cell>
          <cell r="P302">
            <v>10.836854417273996</v>
          </cell>
          <cell r="Q302">
            <v>12.306762744920809</v>
          </cell>
        </row>
        <row r="303">
          <cell r="A303">
            <v>35</v>
          </cell>
          <cell r="P303">
            <v>11.046841321223541</v>
          </cell>
          <cell r="Q303">
            <v>10.356709730888213</v>
          </cell>
        </row>
        <row r="304">
          <cell r="A304">
            <v>40</v>
          </cell>
          <cell r="P304">
            <v>10.960574872431625</v>
          </cell>
          <cell r="Q304">
            <v>8.6760558279497904</v>
          </cell>
        </row>
        <row r="305">
          <cell r="A305">
            <v>45</v>
          </cell>
          <cell r="P305">
            <v>10.706739423044754</v>
          </cell>
          <cell r="Q305">
            <v>7.176435727834928</v>
          </cell>
        </row>
        <row r="306">
          <cell r="A306">
            <v>50</v>
          </cell>
          <cell r="P306">
            <v>10.353709053523771</v>
          </cell>
          <cell r="Q306">
            <v>5.8086307774157602</v>
          </cell>
        </row>
        <row r="307">
          <cell r="A307">
            <v>55</v>
          </cell>
          <cell r="P307">
            <v>9.9405201193321346</v>
          </cell>
          <cell r="Q307">
            <v>4.5442299005269433</v>
          </cell>
        </row>
        <row r="308">
          <cell r="A308">
            <v>60</v>
          </cell>
          <cell r="P308">
            <v>9.4908292677650348</v>
          </cell>
          <cell r="Q308">
            <v>3.3667628683571591</v>
          </cell>
        </row>
        <row r="309">
          <cell r="A309">
            <v>65</v>
          </cell>
          <cell r="P309">
            <v>9.0197472370413525</v>
          </cell>
          <cell r="Q309">
            <v>2.3141510364859643</v>
          </cell>
        </row>
        <row r="310">
          <cell r="A310">
            <v>70</v>
          </cell>
          <cell r="P310">
            <v>8.5407760798588246</v>
          </cell>
        </row>
        <row r="311">
          <cell r="A311">
            <v>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wmf"/><Relationship Id="rId18" Type="http://schemas.openxmlformats.org/officeDocument/2006/relationships/oleObject" Target="../embeddings/oleObject8.bin"/><Relationship Id="rId26" Type="http://schemas.openxmlformats.org/officeDocument/2006/relationships/oleObject" Target="../embeddings/oleObject12.bin"/><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oleObject" Target="../embeddings/oleObject9.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24" Type="http://schemas.openxmlformats.org/officeDocument/2006/relationships/oleObject" Target="../embeddings/oleObject11.bin"/><Relationship Id="rId5" Type="http://schemas.openxmlformats.org/officeDocument/2006/relationships/image" Target="../media/image1.emf"/><Relationship Id="rId15" Type="http://schemas.openxmlformats.org/officeDocument/2006/relationships/image" Target="../media/image6.wmf"/><Relationship Id="rId23" Type="http://schemas.openxmlformats.org/officeDocument/2006/relationships/image" Target="../media/image10.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emf"/></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15.bin"/><Relationship Id="rId13" Type="http://schemas.openxmlformats.org/officeDocument/2006/relationships/image" Target="../media/image18.emf"/><Relationship Id="rId18" Type="http://schemas.openxmlformats.org/officeDocument/2006/relationships/oleObject" Target="../embeddings/oleObject20.bin"/><Relationship Id="rId3" Type="http://schemas.openxmlformats.org/officeDocument/2006/relationships/vmlDrawing" Target="../drawings/vmlDrawing2.vml"/><Relationship Id="rId21" Type="http://schemas.openxmlformats.org/officeDocument/2006/relationships/image" Target="../media/image22.emf"/><Relationship Id="rId7" Type="http://schemas.openxmlformats.org/officeDocument/2006/relationships/image" Target="../media/image15.emf"/><Relationship Id="rId12" Type="http://schemas.openxmlformats.org/officeDocument/2006/relationships/oleObject" Target="../embeddings/oleObject17.bin"/><Relationship Id="rId17" Type="http://schemas.openxmlformats.org/officeDocument/2006/relationships/image" Target="../media/image20.emf"/><Relationship Id="rId25" Type="http://schemas.openxmlformats.org/officeDocument/2006/relationships/image" Target="../media/image24.emf"/><Relationship Id="rId2" Type="http://schemas.openxmlformats.org/officeDocument/2006/relationships/drawing" Target="../drawings/drawing2.xml"/><Relationship Id="rId16" Type="http://schemas.openxmlformats.org/officeDocument/2006/relationships/oleObject" Target="../embeddings/oleObject19.bin"/><Relationship Id="rId20" Type="http://schemas.openxmlformats.org/officeDocument/2006/relationships/oleObject" Target="../embeddings/oleObject21.bin"/><Relationship Id="rId1" Type="http://schemas.openxmlformats.org/officeDocument/2006/relationships/printerSettings" Target="../printerSettings/printerSettings2.bin"/><Relationship Id="rId6" Type="http://schemas.openxmlformats.org/officeDocument/2006/relationships/oleObject" Target="../embeddings/oleObject14.bin"/><Relationship Id="rId11" Type="http://schemas.openxmlformats.org/officeDocument/2006/relationships/image" Target="../media/image17.emf"/><Relationship Id="rId24" Type="http://schemas.openxmlformats.org/officeDocument/2006/relationships/oleObject" Target="../embeddings/oleObject23.bin"/><Relationship Id="rId5" Type="http://schemas.openxmlformats.org/officeDocument/2006/relationships/image" Target="../media/image14.emf"/><Relationship Id="rId15" Type="http://schemas.openxmlformats.org/officeDocument/2006/relationships/image" Target="../media/image19.emf"/><Relationship Id="rId23" Type="http://schemas.openxmlformats.org/officeDocument/2006/relationships/image" Target="../media/image23.emf"/><Relationship Id="rId10" Type="http://schemas.openxmlformats.org/officeDocument/2006/relationships/oleObject" Target="../embeddings/oleObject16.bin"/><Relationship Id="rId19" Type="http://schemas.openxmlformats.org/officeDocument/2006/relationships/image" Target="../media/image21.emf"/><Relationship Id="rId4" Type="http://schemas.openxmlformats.org/officeDocument/2006/relationships/oleObject" Target="../embeddings/oleObject13.bin"/><Relationship Id="rId9" Type="http://schemas.openxmlformats.org/officeDocument/2006/relationships/image" Target="../media/image16.emf"/><Relationship Id="rId14" Type="http://schemas.openxmlformats.org/officeDocument/2006/relationships/oleObject" Target="../embeddings/oleObject18.bin"/><Relationship Id="rId22" Type="http://schemas.openxmlformats.org/officeDocument/2006/relationships/oleObject" Target="../embeddings/oleObject2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26.bin"/><Relationship Id="rId13" Type="http://schemas.openxmlformats.org/officeDocument/2006/relationships/image" Target="../media/image29.wmf"/><Relationship Id="rId18" Type="http://schemas.openxmlformats.org/officeDocument/2006/relationships/oleObject" Target="../embeddings/oleObject31.bin"/><Relationship Id="rId26" Type="http://schemas.openxmlformats.org/officeDocument/2006/relationships/oleObject" Target="../embeddings/oleObject35.bin"/><Relationship Id="rId3" Type="http://schemas.openxmlformats.org/officeDocument/2006/relationships/vmlDrawing" Target="../drawings/vmlDrawing3.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oleObject" Target="../embeddings/oleObject28.bin"/><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3.xml"/><Relationship Id="rId16" Type="http://schemas.openxmlformats.org/officeDocument/2006/relationships/oleObject" Target="../embeddings/oleObject30.bin"/><Relationship Id="rId20" Type="http://schemas.openxmlformats.org/officeDocument/2006/relationships/oleObject" Target="../embeddings/oleObject32.bin"/><Relationship Id="rId1" Type="http://schemas.openxmlformats.org/officeDocument/2006/relationships/printerSettings" Target="../printerSettings/printerSettings3.bin"/><Relationship Id="rId6" Type="http://schemas.openxmlformats.org/officeDocument/2006/relationships/oleObject" Target="../embeddings/oleObject25.bin"/><Relationship Id="rId11" Type="http://schemas.openxmlformats.org/officeDocument/2006/relationships/image" Target="../media/image28.wmf"/><Relationship Id="rId24" Type="http://schemas.openxmlformats.org/officeDocument/2006/relationships/oleObject" Target="../embeddings/oleObject34.bin"/><Relationship Id="rId5" Type="http://schemas.openxmlformats.org/officeDocument/2006/relationships/image" Target="../media/image1.emf"/><Relationship Id="rId15" Type="http://schemas.openxmlformats.org/officeDocument/2006/relationships/image" Target="../media/image30.wmf"/><Relationship Id="rId23" Type="http://schemas.openxmlformats.org/officeDocument/2006/relationships/image" Target="../media/image10.emf"/><Relationship Id="rId10" Type="http://schemas.openxmlformats.org/officeDocument/2006/relationships/oleObject" Target="../embeddings/oleObject27.bin"/><Relationship Id="rId19" Type="http://schemas.openxmlformats.org/officeDocument/2006/relationships/image" Target="../media/image8.emf"/><Relationship Id="rId4" Type="http://schemas.openxmlformats.org/officeDocument/2006/relationships/oleObject" Target="../embeddings/oleObject24.bin"/><Relationship Id="rId9" Type="http://schemas.openxmlformats.org/officeDocument/2006/relationships/image" Target="../media/image3.emf"/><Relationship Id="rId14" Type="http://schemas.openxmlformats.org/officeDocument/2006/relationships/oleObject" Target="../embeddings/oleObject29.bin"/><Relationship Id="rId22" Type="http://schemas.openxmlformats.org/officeDocument/2006/relationships/oleObject" Target="../embeddings/oleObject33.bin"/><Relationship Id="rId27" Type="http://schemas.openxmlformats.org/officeDocument/2006/relationships/image" Target="../media/image12.emf"/></Relationships>
</file>

<file path=xl/worksheets/_rels/sheet4.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oleObject" Target="../embeddings/oleObject36.bin"/><Relationship Id="rId7" Type="http://schemas.openxmlformats.org/officeDocument/2006/relationships/oleObject" Target="../embeddings/oleObject38.bin"/><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image" Target="../media/image22.emf"/><Relationship Id="rId5" Type="http://schemas.openxmlformats.org/officeDocument/2006/relationships/oleObject" Target="../embeddings/oleObject37.bin"/><Relationship Id="rId10" Type="http://schemas.openxmlformats.org/officeDocument/2006/relationships/image" Target="../media/image24.emf"/><Relationship Id="rId4" Type="http://schemas.openxmlformats.org/officeDocument/2006/relationships/image" Target="../media/image21.emf"/><Relationship Id="rId9" Type="http://schemas.openxmlformats.org/officeDocument/2006/relationships/oleObject" Target="../embeddings/oleObject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11"/>
  <sheetViews>
    <sheetView workbookViewId="0">
      <selection activeCell="B4" sqref="B4"/>
    </sheetView>
  </sheetViews>
  <sheetFormatPr defaultRowHeight="13.2"/>
  <cols>
    <col min="1" max="1" width="4.109375" style="59" customWidth="1"/>
    <col min="2" max="5" width="8.88671875" style="59"/>
    <col min="6" max="6" width="8" style="59" customWidth="1"/>
    <col min="7" max="9" width="8.88671875" style="59"/>
    <col min="10" max="10" width="7.33203125" style="59" customWidth="1"/>
    <col min="11" max="13" width="8.88671875" style="59"/>
    <col min="14" max="14" width="7.33203125" style="59" customWidth="1"/>
    <col min="15" max="15" width="8.88671875" style="59"/>
    <col min="16" max="16" width="7" style="59" customWidth="1"/>
    <col min="17" max="17" width="7.44140625" style="59" customWidth="1"/>
    <col min="18" max="256" width="8.88671875" style="59"/>
    <col min="257" max="257" width="4.109375" style="59" customWidth="1"/>
    <col min="258" max="261" width="8.88671875" style="59"/>
    <col min="262" max="262" width="8" style="59" customWidth="1"/>
    <col min="263" max="265" width="8.88671875" style="59"/>
    <col min="266" max="266" width="7.33203125" style="59" customWidth="1"/>
    <col min="267" max="269" width="8.88671875" style="59"/>
    <col min="270" max="270" width="7.33203125" style="59" customWidth="1"/>
    <col min="271" max="271" width="8.88671875" style="59"/>
    <col min="272" max="272" width="7" style="59" customWidth="1"/>
    <col min="273" max="273" width="7.44140625" style="59" customWidth="1"/>
    <col min="274" max="512" width="8.88671875" style="59"/>
    <col min="513" max="513" width="4.109375" style="59" customWidth="1"/>
    <col min="514" max="517" width="8.88671875" style="59"/>
    <col min="518" max="518" width="8" style="59" customWidth="1"/>
    <col min="519" max="521" width="8.88671875" style="59"/>
    <col min="522" max="522" width="7.33203125" style="59" customWidth="1"/>
    <col min="523" max="525" width="8.88671875" style="59"/>
    <col min="526" max="526" width="7.33203125" style="59" customWidth="1"/>
    <col min="527" max="527" width="8.88671875" style="59"/>
    <col min="528" max="528" width="7" style="59" customWidth="1"/>
    <col min="529" max="529" width="7.44140625" style="59" customWidth="1"/>
    <col min="530" max="768" width="8.88671875" style="59"/>
    <col min="769" max="769" width="4.109375" style="59" customWidth="1"/>
    <col min="770" max="773" width="8.88671875" style="59"/>
    <col min="774" max="774" width="8" style="59" customWidth="1"/>
    <col min="775" max="777" width="8.88671875" style="59"/>
    <col min="778" max="778" width="7.33203125" style="59" customWidth="1"/>
    <col min="779" max="781" width="8.88671875" style="59"/>
    <col min="782" max="782" width="7.33203125" style="59" customWidth="1"/>
    <col min="783" max="783" width="8.88671875" style="59"/>
    <col min="784" max="784" width="7" style="59" customWidth="1"/>
    <col min="785" max="785" width="7.44140625" style="59" customWidth="1"/>
    <col min="786" max="1024" width="8.88671875" style="59"/>
    <col min="1025" max="1025" width="4.109375" style="59" customWidth="1"/>
    <col min="1026" max="1029" width="8.88671875" style="59"/>
    <col min="1030" max="1030" width="8" style="59" customWidth="1"/>
    <col min="1031" max="1033" width="8.88671875" style="59"/>
    <col min="1034" max="1034" width="7.33203125" style="59" customWidth="1"/>
    <col min="1035" max="1037" width="8.88671875" style="59"/>
    <col min="1038" max="1038" width="7.33203125" style="59" customWidth="1"/>
    <col min="1039" max="1039" width="8.88671875" style="59"/>
    <col min="1040" max="1040" width="7" style="59" customWidth="1"/>
    <col min="1041" max="1041" width="7.44140625" style="59" customWidth="1"/>
    <col min="1042" max="1280" width="8.88671875" style="59"/>
    <col min="1281" max="1281" width="4.109375" style="59" customWidth="1"/>
    <col min="1282" max="1285" width="8.88671875" style="59"/>
    <col min="1286" max="1286" width="8" style="59" customWidth="1"/>
    <col min="1287" max="1289" width="8.88671875" style="59"/>
    <col min="1290" max="1290" width="7.33203125" style="59" customWidth="1"/>
    <col min="1291" max="1293" width="8.88671875" style="59"/>
    <col min="1294" max="1294" width="7.33203125" style="59" customWidth="1"/>
    <col min="1295" max="1295" width="8.88671875" style="59"/>
    <col min="1296" max="1296" width="7" style="59" customWidth="1"/>
    <col min="1297" max="1297" width="7.44140625" style="59" customWidth="1"/>
    <col min="1298" max="1536" width="8.88671875" style="59"/>
    <col min="1537" max="1537" width="4.109375" style="59" customWidth="1"/>
    <col min="1538" max="1541" width="8.88671875" style="59"/>
    <col min="1542" max="1542" width="8" style="59" customWidth="1"/>
    <col min="1543" max="1545" width="8.88671875" style="59"/>
    <col min="1546" max="1546" width="7.33203125" style="59" customWidth="1"/>
    <col min="1547" max="1549" width="8.88671875" style="59"/>
    <col min="1550" max="1550" width="7.33203125" style="59" customWidth="1"/>
    <col min="1551" max="1551" width="8.88671875" style="59"/>
    <col min="1552" max="1552" width="7" style="59" customWidth="1"/>
    <col min="1553" max="1553" width="7.44140625" style="59" customWidth="1"/>
    <col min="1554" max="1792" width="8.88671875" style="59"/>
    <col min="1793" max="1793" width="4.109375" style="59" customWidth="1"/>
    <col min="1794" max="1797" width="8.88671875" style="59"/>
    <col min="1798" max="1798" width="8" style="59" customWidth="1"/>
    <col min="1799" max="1801" width="8.88671875" style="59"/>
    <col min="1802" max="1802" width="7.33203125" style="59" customWidth="1"/>
    <col min="1803" max="1805" width="8.88671875" style="59"/>
    <col min="1806" max="1806" width="7.33203125" style="59" customWidth="1"/>
    <col min="1807" max="1807" width="8.88671875" style="59"/>
    <col min="1808" max="1808" width="7" style="59" customWidth="1"/>
    <col min="1809" max="1809" width="7.44140625" style="59" customWidth="1"/>
    <col min="1810" max="2048" width="8.88671875" style="59"/>
    <col min="2049" max="2049" width="4.109375" style="59" customWidth="1"/>
    <col min="2050" max="2053" width="8.88671875" style="59"/>
    <col min="2054" max="2054" width="8" style="59" customWidth="1"/>
    <col min="2055" max="2057" width="8.88671875" style="59"/>
    <col min="2058" max="2058" width="7.33203125" style="59" customWidth="1"/>
    <col min="2059" max="2061" width="8.88671875" style="59"/>
    <col min="2062" max="2062" width="7.33203125" style="59" customWidth="1"/>
    <col min="2063" max="2063" width="8.88671875" style="59"/>
    <col min="2064" max="2064" width="7" style="59" customWidth="1"/>
    <col min="2065" max="2065" width="7.44140625" style="59" customWidth="1"/>
    <col min="2066" max="2304" width="8.88671875" style="59"/>
    <col min="2305" max="2305" width="4.109375" style="59" customWidth="1"/>
    <col min="2306" max="2309" width="8.88671875" style="59"/>
    <col min="2310" max="2310" width="8" style="59" customWidth="1"/>
    <col min="2311" max="2313" width="8.88671875" style="59"/>
    <col min="2314" max="2314" width="7.33203125" style="59" customWidth="1"/>
    <col min="2315" max="2317" width="8.88671875" style="59"/>
    <col min="2318" max="2318" width="7.33203125" style="59" customWidth="1"/>
    <col min="2319" max="2319" width="8.88671875" style="59"/>
    <col min="2320" max="2320" width="7" style="59" customWidth="1"/>
    <col min="2321" max="2321" width="7.44140625" style="59" customWidth="1"/>
    <col min="2322" max="2560" width="8.88671875" style="59"/>
    <col min="2561" max="2561" width="4.109375" style="59" customWidth="1"/>
    <col min="2562" max="2565" width="8.88671875" style="59"/>
    <col min="2566" max="2566" width="8" style="59" customWidth="1"/>
    <col min="2567" max="2569" width="8.88671875" style="59"/>
    <col min="2570" max="2570" width="7.33203125" style="59" customWidth="1"/>
    <col min="2571" max="2573" width="8.88671875" style="59"/>
    <col min="2574" max="2574" width="7.33203125" style="59" customWidth="1"/>
    <col min="2575" max="2575" width="8.88671875" style="59"/>
    <col min="2576" max="2576" width="7" style="59" customWidth="1"/>
    <col min="2577" max="2577" width="7.44140625" style="59" customWidth="1"/>
    <col min="2578" max="2816" width="8.88671875" style="59"/>
    <col min="2817" max="2817" width="4.109375" style="59" customWidth="1"/>
    <col min="2818" max="2821" width="8.88671875" style="59"/>
    <col min="2822" max="2822" width="8" style="59" customWidth="1"/>
    <col min="2823" max="2825" width="8.88671875" style="59"/>
    <col min="2826" max="2826" width="7.33203125" style="59" customWidth="1"/>
    <col min="2827" max="2829" width="8.88671875" style="59"/>
    <col min="2830" max="2830" width="7.33203125" style="59" customWidth="1"/>
    <col min="2831" max="2831" width="8.88671875" style="59"/>
    <col min="2832" max="2832" width="7" style="59" customWidth="1"/>
    <col min="2833" max="2833" width="7.44140625" style="59" customWidth="1"/>
    <col min="2834" max="3072" width="8.88671875" style="59"/>
    <col min="3073" max="3073" width="4.109375" style="59" customWidth="1"/>
    <col min="3074" max="3077" width="8.88671875" style="59"/>
    <col min="3078" max="3078" width="8" style="59" customWidth="1"/>
    <col min="3079" max="3081" width="8.88671875" style="59"/>
    <col min="3082" max="3082" width="7.33203125" style="59" customWidth="1"/>
    <col min="3083" max="3085" width="8.88671875" style="59"/>
    <col min="3086" max="3086" width="7.33203125" style="59" customWidth="1"/>
    <col min="3087" max="3087" width="8.88671875" style="59"/>
    <col min="3088" max="3088" width="7" style="59" customWidth="1"/>
    <col min="3089" max="3089" width="7.44140625" style="59" customWidth="1"/>
    <col min="3090" max="3328" width="8.88671875" style="59"/>
    <col min="3329" max="3329" width="4.109375" style="59" customWidth="1"/>
    <col min="3330" max="3333" width="8.88671875" style="59"/>
    <col min="3334" max="3334" width="8" style="59" customWidth="1"/>
    <col min="3335" max="3337" width="8.88671875" style="59"/>
    <col min="3338" max="3338" width="7.33203125" style="59" customWidth="1"/>
    <col min="3339" max="3341" width="8.88671875" style="59"/>
    <col min="3342" max="3342" width="7.33203125" style="59" customWidth="1"/>
    <col min="3343" max="3343" width="8.88671875" style="59"/>
    <col min="3344" max="3344" width="7" style="59" customWidth="1"/>
    <col min="3345" max="3345" width="7.44140625" style="59" customWidth="1"/>
    <col min="3346" max="3584" width="8.88671875" style="59"/>
    <col min="3585" max="3585" width="4.109375" style="59" customWidth="1"/>
    <col min="3586" max="3589" width="8.88671875" style="59"/>
    <col min="3590" max="3590" width="8" style="59" customWidth="1"/>
    <col min="3591" max="3593" width="8.88671875" style="59"/>
    <col min="3594" max="3594" width="7.33203125" style="59" customWidth="1"/>
    <col min="3595" max="3597" width="8.88671875" style="59"/>
    <col min="3598" max="3598" width="7.33203125" style="59" customWidth="1"/>
    <col min="3599" max="3599" width="8.88671875" style="59"/>
    <col min="3600" max="3600" width="7" style="59" customWidth="1"/>
    <col min="3601" max="3601" width="7.44140625" style="59" customWidth="1"/>
    <col min="3602" max="3840" width="8.88671875" style="59"/>
    <col min="3841" max="3841" width="4.109375" style="59" customWidth="1"/>
    <col min="3842" max="3845" width="8.88671875" style="59"/>
    <col min="3846" max="3846" width="8" style="59" customWidth="1"/>
    <col min="3847" max="3849" width="8.88671875" style="59"/>
    <col min="3850" max="3850" width="7.33203125" style="59" customWidth="1"/>
    <col min="3851" max="3853" width="8.88671875" style="59"/>
    <col min="3854" max="3854" width="7.33203125" style="59" customWidth="1"/>
    <col min="3855" max="3855" width="8.88671875" style="59"/>
    <col min="3856" max="3856" width="7" style="59" customWidth="1"/>
    <col min="3857" max="3857" width="7.44140625" style="59" customWidth="1"/>
    <col min="3858" max="4096" width="8.88671875" style="59"/>
    <col min="4097" max="4097" width="4.109375" style="59" customWidth="1"/>
    <col min="4098" max="4101" width="8.88671875" style="59"/>
    <col min="4102" max="4102" width="8" style="59" customWidth="1"/>
    <col min="4103" max="4105" width="8.88671875" style="59"/>
    <col min="4106" max="4106" width="7.33203125" style="59" customWidth="1"/>
    <col min="4107" max="4109" width="8.88671875" style="59"/>
    <col min="4110" max="4110" width="7.33203125" style="59" customWidth="1"/>
    <col min="4111" max="4111" width="8.88671875" style="59"/>
    <col min="4112" max="4112" width="7" style="59" customWidth="1"/>
    <col min="4113" max="4113" width="7.44140625" style="59" customWidth="1"/>
    <col min="4114" max="4352" width="8.88671875" style="59"/>
    <col min="4353" max="4353" width="4.109375" style="59" customWidth="1"/>
    <col min="4354" max="4357" width="8.88671875" style="59"/>
    <col min="4358" max="4358" width="8" style="59" customWidth="1"/>
    <col min="4359" max="4361" width="8.88671875" style="59"/>
    <col min="4362" max="4362" width="7.33203125" style="59" customWidth="1"/>
    <col min="4363" max="4365" width="8.88671875" style="59"/>
    <col min="4366" max="4366" width="7.33203125" style="59" customWidth="1"/>
    <col min="4367" max="4367" width="8.88671875" style="59"/>
    <col min="4368" max="4368" width="7" style="59" customWidth="1"/>
    <col min="4369" max="4369" width="7.44140625" style="59" customWidth="1"/>
    <col min="4370" max="4608" width="8.88671875" style="59"/>
    <col min="4609" max="4609" width="4.109375" style="59" customWidth="1"/>
    <col min="4610" max="4613" width="8.88671875" style="59"/>
    <col min="4614" max="4614" width="8" style="59" customWidth="1"/>
    <col min="4615" max="4617" width="8.88671875" style="59"/>
    <col min="4618" max="4618" width="7.33203125" style="59" customWidth="1"/>
    <col min="4619" max="4621" width="8.88671875" style="59"/>
    <col min="4622" max="4622" width="7.33203125" style="59" customWidth="1"/>
    <col min="4623" max="4623" width="8.88671875" style="59"/>
    <col min="4624" max="4624" width="7" style="59" customWidth="1"/>
    <col min="4625" max="4625" width="7.44140625" style="59" customWidth="1"/>
    <col min="4626" max="4864" width="8.88671875" style="59"/>
    <col min="4865" max="4865" width="4.109375" style="59" customWidth="1"/>
    <col min="4866" max="4869" width="8.88671875" style="59"/>
    <col min="4870" max="4870" width="8" style="59" customWidth="1"/>
    <col min="4871" max="4873" width="8.88671875" style="59"/>
    <col min="4874" max="4874" width="7.33203125" style="59" customWidth="1"/>
    <col min="4875" max="4877" width="8.88671875" style="59"/>
    <col min="4878" max="4878" width="7.33203125" style="59" customWidth="1"/>
    <col min="4879" max="4879" width="8.88671875" style="59"/>
    <col min="4880" max="4880" width="7" style="59" customWidth="1"/>
    <col min="4881" max="4881" width="7.44140625" style="59" customWidth="1"/>
    <col min="4882" max="5120" width="8.88671875" style="59"/>
    <col min="5121" max="5121" width="4.109375" style="59" customWidth="1"/>
    <col min="5122" max="5125" width="8.88671875" style="59"/>
    <col min="5126" max="5126" width="8" style="59" customWidth="1"/>
    <col min="5127" max="5129" width="8.88671875" style="59"/>
    <col min="5130" max="5130" width="7.33203125" style="59" customWidth="1"/>
    <col min="5131" max="5133" width="8.88671875" style="59"/>
    <col min="5134" max="5134" width="7.33203125" style="59" customWidth="1"/>
    <col min="5135" max="5135" width="8.88671875" style="59"/>
    <col min="5136" max="5136" width="7" style="59" customWidth="1"/>
    <col min="5137" max="5137" width="7.44140625" style="59" customWidth="1"/>
    <col min="5138" max="5376" width="8.88671875" style="59"/>
    <col min="5377" max="5377" width="4.109375" style="59" customWidth="1"/>
    <col min="5378" max="5381" width="8.88671875" style="59"/>
    <col min="5382" max="5382" width="8" style="59" customWidth="1"/>
    <col min="5383" max="5385" width="8.88671875" style="59"/>
    <col min="5386" max="5386" width="7.33203125" style="59" customWidth="1"/>
    <col min="5387" max="5389" width="8.88671875" style="59"/>
    <col min="5390" max="5390" width="7.33203125" style="59" customWidth="1"/>
    <col min="5391" max="5391" width="8.88671875" style="59"/>
    <col min="5392" max="5392" width="7" style="59" customWidth="1"/>
    <col min="5393" max="5393" width="7.44140625" style="59" customWidth="1"/>
    <col min="5394" max="5632" width="8.88671875" style="59"/>
    <col min="5633" max="5633" width="4.109375" style="59" customWidth="1"/>
    <col min="5634" max="5637" width="8.88671875" style="59"/>
    <col min="5638" max="5638" width="8" style="59" customWidth="1"/>
    <col min="5639" max="5641" width="8.88671875" style="59"/>
    <col min="5642" max="5642" width="7.33203125" style="59" customWidth="1"/>
    <col min="5643" max="5645" width="8.88671875" style="59"/>
    <col min="5646" max="5646" width="7.33203125" style="59" customWidth="1"/>
    <col min="5647" max="5647" width="8.88671875" style="59"/>
    <col min="5648" max="5648" width="7" style="59" customWidth="1"/>
    <col min="5649" max="5649" width="7.44140625" style="59" customWidth="1"/>
    <col min="5650" max="5888" width="8.88671875" style="59"/>
    <col min="5889" max="5889" width="4.109375" style="59" customWidth="1"/>
    <col min="5890" max="5893" width="8.88671875" style="59"/>
    <col min="5894" max="5894" width="8" style="59" customWidth="1"/>
    <col min="5895" max="5897" width="8.88671875" style="59"/>
    <col min="5898" max="5898" width="7.33203125" style="59" customWidth="1"/>
    <col min="5899" max="5901" width="8.88671875" style="59"/>
    <col min="5902" max="5902" width="7.33203125" style="59" customWidth="1"/>
    <col min="5903" max="5903" width="8.88671875" style="59"/>
    <col min="5904" max="5904" width="7" style="59" customWidth="1"/>
    <col min="5905" max="5905" width="7.44140625" style="59" customWidth="1"/>
    <col min="5906" max="6144" width="8.88671875" style="59"/>
    <col min="6145" max="6145" width="4.109375" style="59" customWidth="1"/>
    <col min="6146" max="6149" width="8.88671875" style="59"/>
    <col min="6150" max="6150" width="8" style="59" customWidth="1"/>
    <col min="6151" max="6153" width="8.88671875" style="59"/>
    <col min="6154" max="6154" width="7.33203125" style="59" customWidth="1"/>
    <col min="6155" max="6157" width="8.88671875" style="59"/>
    <col min="6158" max="6158" width="7.33203125" style="59" customWidth="1"/>
    <col min="6159" max="6159" width="8.88671875" style="59"/>
    <col min="6160" max="6160" width="7" style="59" customWidth="1"/>
    <col min="6161" max="6161" width="7.44140625" style="59" customWidth="1"/>
    <col min="6162" max="6400" width="8.88671875" style="59"/>
    <col min="6401" max="6401" width="4.109375" style="59" customWidth="1"/>
    <col min="6402" max="6405" width="8.88671875" style="59"/>
    <col min="6406" max="6406" width="8" style="59" customWidth="1"/>
    <col min="6407" max="6409" width="8.88671875" style="59"/>
    <col min="6410" max="6410" width="7.33203125" style="59" customWidth="1"/>
    <col min="6411" max="6413" width="8.88671875" style="59"/>
    <col min="6414" max="6414" width="7.33203125" style="59" customWidth="1"/>
    <col min="6415" max="6415" width="8.88671875" style="59"/>
    <col min="6416" max="6416" width="7" style="59" customWidth="1"/>
    <col min="6417" max="6417" width="7.44140625" style="59" customWidth="1"/>
    <col min="6418" max="6656" width="8.88671875" style="59"/>
    <col min="6657" max="6657" width="4.109375" style="59" customWidth="1"/>
    <col min="6658" max="6661" width="8.88671875" style="59"/>
    <col min="6662" max="6662" width="8" style="59" customWidth="1"/>
    <col min="6663" max="6665" width="8.88671875" style="59"/>
    <col min="6666" max="6666" width="7.33203125" style="59" customWidth="1"/>
    <col min="6667" max="6669" width="8.88671875" style="59"/>
    <col min="6670" max="6670" width="7.33203125" style="59" customWidth="1"/>
    <col min="6671" max="6671" width="8.88671875" style="59"/>
    <col min="6672" max="6672" width="7" style="59" customWidth="1"/>
    <col min="6673" max="6673" width="7.44140625" style="59" customWidth="1"/>
    <col min="6674" max="6912" width="8.88671875" style="59"/>
    <col min="6913" max="6913" width="4.109375" style="59" customWidth="1"/>
    <col min="6914" max="6917" width="8.88671875" style="59"/>
    <col min="6918" max="6918" width="8" style="59" customWidth="1"/>
    <col min="6919" max="6921" width="8.88671875" style="59"/>
    <col min="6922" max="6922" width="7.33203125" style="59" customWidth="1"/>
    <col min="6923" max="6925" width="8.88671875" style="59"/>
    <col min="6926" max="6926" width="7.33203125" style="59" customWidth="1"/>
    <col min="6927" max="6927" width="8.88671875" style="59"/>
    <col min="6928" max="6928" width="7" style="59" customWidth="1"/>
    <col min="6929" max="6929" width="7.44140625" style="59" customWidth="1"/>
    <col min="6930" max="7168" width="8.88671875" style="59"/>
    <col min="7169" max="7169" width="4.109375" style="59" customWidth="1"/>
    <col min="7170" max="7173" width="8.88671875" style="59"/>
    <col min="7174" max="7174" width="8" style="59" customWidth="1"/>
    <col min="7175" max="7177" width="8.88671875" style="59"/>
    <col min="7178" max="7178" width="7.33203125" style="59" customWidth="1"/>
    <col min="7179" max="7181" width="8.88671875" style="59"/>
    <col min="7182" max="7182" width="7.33203125" style="59" customWidth="1"/>
    <col min="7183" max="7183" width="8.88671875" style="59"/>
    <col min="7184" max="7184" width="7" style="59" customWidth="1"/>
    <col min="7185" max="7185" width="7.44140625" style="59" customWidth="1"/>
    <col min="7186" max="7424" width="8.88671875" style="59"/>
    <col min="7425" max="7425" width="4.109375" style="59" customWidth="1"/>
    <col min="7426" max="7429" width="8.88671875" style="59"/>
    <col min="7430" max="7430" width="8" style="59" customWidth="1"/>
    <col min="7431" max="7433" width="8.88671875" style="59"/>
    <col min="7434" max="7434" width="7.33203125" style="59" customWidth="1"/>
    <col min="7435" max="7437" width="8.88671875" style="59"/>
    <col min="7438" max="7438" width="7.33203125" style="59" customWidth="1"/>
    <col min="7439" max="7439" width="8.88671875" style="59"/>
    <col min="7440" max="7440" width="7" style="59" customWidth="1"/>
    <col min="7441" max="7441" width="7.44140625" style="59" customWidth="1"/>
    <col min="7442" max="7680" width="8.88671875" style="59"/>
    <col min="7681" max="7681" width="4.109375" style="59" customWidth="1"/>
    <col min="7682" max="7685" width="8.88671875" style="59"/>
    <col min="7686" max="7686" width="8" style="59" customWidth="1"/>
    <col min="7687" max="7689" width="8.88671875" style="59"/>
    <col min="7690" max="7690" width="7.33203125" style="59" customWidth="1"/>
    <col min="7691" max="7693" width="8.88671875" style="59"/>
    <col min="7694" max="7694" width="7.33203125" style="59" customWidth="1"/>
    <col min="7695" max="7695" width="8.88671875" style="59"/>
    <col min="7696" max="7696" width="7" style="59" customWidth="1"/>
    <col min="7697" max="7697" width="7.44140625" style="59" customWidth="1"/>
    <col min="7698" max="7936" width="8.88671875" style="59"/>
    <col min="7937" max="7937" width="4.109375" style="59" customWidth="1"/>
    <col min="7938" max="7941" width="8.88671875" style="59"/>
    <col min="7942" max="7942" width="8" style="59" customWidth="1"/>
    <col min="7943" max="7945" width="8.88671875" style="59"/>
    <col min="7946" max="7946" width="7.33203125" style="59" customWidth="1"/>
    <col min="7947" max="7949" width="8.88671875" style="59"/>
    <col min="7950" max="7950" width="7.33203125" style="59" customWidth="1"/>
    <col min="7951" max="7951" width="8.88671875" style="59"/>
    <col min="7952" max="7952" width="7" style="59" customWidth="1"/>
    <col min="7953" max="7953" width="7.44140625" style="59" customWidth="1"/>
    <col min="7954" max="8192" width="8.88671875" style="59"/>
    <col min="8193" max="8193" width="4.109375" style="59" customWidth="1"/>
    <col min="8194" max="8197" width="8.88671875" style="59"/>
    <col min="8198" max="8198" width="8" style="59" customWidth="1"/>
    <col min="8199" max="8201" width="8.88671875" style="59"/>
    <col min="8202" max="8202" width="7.33203125" style="59" customWidth="1"/>
    <col min="8203" max="8205" width="8.88671875" style="59"/>
    <col min="8206" max="8206" width="7.33203125" style="59" customWidth="1"/>
    <col min="8207" max="8207" width="8.88671875" style="59"/>
    <col min="8208" max="8208" width="7" style="59" customWidth="1"/>
    <col min="8209" max="8209" width="7.44140625" style="59" customWidth="1"/>
    <col min="8210" max="8448" width="8.88671875" style="59"/>
    <col min="8449" max="8449" width="4.109375" style="59" customWidth="1"/>
    <col min="8450" max="8453" width="8.88671875" style="59"/>
    <col min="8454" max="8454" width="8" style="59" customWidth="1"/>
    <col min="8455" max="8457" width="8.88671875" style="59"/>
    <col min="8458" max="8458" width="7.33203125" style="59" customWidth="1"/>
    <col min="8459" max="8461" width="8.88671875" style="59"/>
    <col min="8462" max="8462" width="7.33203125" style="59" customWidth="1"/>
    <col min="8463" max="8463" width="8.88671875" style="59"/>
    <col min="8464" max="8464" width="7" style="59" customWidth="1"/>
    <col min="8465" max="8465" width="7.44140625" style="59" customWidth="1"/>
    <col min="8466" max="8704" width="8.88671875" style="59"/>
    <col min="8705" max="8705" width="4.109375" style="59" customWidth="1"/>
    <col min="8706" max="8709" width="8.88671875" style="59"/>
    <col min="8710" max="8710" width="8" style="59" customWidth="1"/>
    <col min="8711" max="8713" width="8.88671875" style="59"/>
    <col min="8714" max="8714" width="7.33203125" style="59" customWidth="1"/>
    <col min="8715" max="8717" width="8.88671875" style="59"/>
    <col min="8718" max="8718" width="7.33203125" style="59" customWidth="1"/>
    <col min="8719" max="8719" width="8.88671875" style="59"/>
    <col min="8720" max="8720" width="7" style="59" customWidth="1"/>
    <col min="8721" max="8721" width="7.44140625" style="59" customWidth="1"/>
    <col min="8722" max="8960" width="8.88671875" style="59"/>
    <col min="8961" max="8961" width="4.109375" style="59" customWidth="1"/>
    <col min="8962" max="8965" width="8.88671875" style="59"/>
    <col min="8966" max="8966" width="8" style="59" customWidth="1"/>
    <col min="8967" max="8969" width="8.88671875" style="59"/>
    <col min="8970" max="8970" width="7.33203125" style="59" customWidth="1"/>
    <col min="8971" max="8973" width="8.88671875" style="59"/>
    <col min="8974" max="8974" width="7.33203125" style="59" customWidth="1"/>
    <col min="8975" max="8975" width="8.88671875" style="59"/>
    <col min="8976" max="8976" width="7" style="59" customWidth="1"/>
    <col min="8977" max="8977" width="7.44140625" style="59" customWidth="1"/>
    <col min="8978" max="9216" width="8.88671875" style="59"/>
    <col min="9217" max="9217" width="4.109375" style="59" customWidth="1"/>
    <col min="9218" max="9221" width="8.88671875" style="59"/>
    <col min="9222" max="9222" width="8" style="59" customWidth="1"/>
    <col min="9223" max="9225" width="8.88671875" style="59"/>
    <col min="9226" max="9226" width="7.33203125" style="59" customWidth="1"/>
    <col min="9227" max="9229" width="8.88671875" style="59"/>
    <col min="9230" max="9230" width="7.33203125" style="59" customWidth="1"/>
    <col min="9231" max="9231" width="8.88671875" style="59"/>
    <col min="9232" max="9232" width="7" style="59" customWidth="1"/>
    <col min="9233" max="9233" width="7.44140625" style="59" customWidth="1"/>
    <col min="9234" max="9472" width="8.88671875" style="59"/>
    <col min="9473" max="9473" width="4.109375" style="59" customWidth="1"/>
    <col min="9474" max="9477" width="8.88671875" style="59"/>
    <col min="9478" max="9478" width="8" style="59" customWidth="1"/>
    <col min="9479" max="9481" width="8.88671875" style="59"/>
    <col min="9482" max="9482" width="7.33203125" style="59" customWidth="1"/>
    <col min="9483" max="9485" width="8.88671875" style="59"/>
    <col min="9486" max="9486" width="7.33203125" style="59" customWidth="1"/>
    <col min="9487" max="9487" width="8.88671875" style="59"/>
    <col min="9488" max="9488" width="7" style="59" customWidth="1"/>
    <col min="9489" max="9489" width="7.44140625" style="59" customWidth="1"/>
    <col min="9490" max="9728" width="8.88671875" style="59"/>
    <col min="9729" max="9729" width="4.109375" style="59" customWidth="1"/>
    <col min="9730" max="9733" width="8.88671875" style="59"/>
    <col min="9734" max="9734" width="8" style="59" customWidth="1"/>
    <col min="9735" max="9737" width="8.88671875" style="59"/>
    <col min="9738" max="9738" width="7.33203125" style="59" customWidth="1"/>
    <col min="9739" max="9741" width="8.88671875" style="59"/>
    <col min="9742" max="9742" width="7.33203125" style="59" customWidth="1"/>
    <col min="9743" max="9743" width="8.88671875" style="59"/>
    <col min="9744" max="9744" width="7" style="59" customWidth="1"/>
    <col min="9745" max="9745" width="7.44140625" style="59" customWidth="1"/>
    <col min="9746" max="9984" width="8.88671875" style="59"/>
    <col min="9985" max="9985" width="4.109375" style="59" customWidth="1"/>
    <col min="9986" max="9989" width="8.88671875" style="59"/>
    <col min="9990" max="9990" width="8" style="59" customWidth="1"/>
    <col min="9991" max="9993" width="8.88671875" style="59"/>
    <col min="9994" max="9994" width="7.33203125" style="59" customWidth="1"/>
    <col min="9995" max="9997" width="8.88671875" style="59"/>
    <col min="9998" max="9998" width="7.33203125" style="59" customWidth="1"/>
    <col min="9999" max="9999" width="8.88671875" style="59"/>
    <col min="10000" max="10000" width="7" style="59" customWidth="1"/>
    <col min="10001" max="10001" width="7.44140625" style="59" customWidth="1"/>
    <col min="10002" max="10240" width="8.88671875" style="59"/>
    <col min="10241" max="10241" width="4.109375" style="59" customWidth="1"/>
    <col min="10242" max="10245" width="8.88671875" style="59"/>
    <col min="10246" max="10246" width="8" style="59" customWidth="1"/>
    <col min="10247" max="10249" width="8.88671875" style="59"/>
    <col min="10250" max="10250" width="7.33203125" style="59" customWidth="1"/>
    <col min="10251" max="10253" width="8.88671875" style="59"/>
    <col min="10254" max="10254" width="7.33203125" style="59" customWidth="1"/>
    <col min="10255" max="10255" width="8.88671875" style="59"/>
    <col min="10256" max="10256" width="7" style="59" customWidth="1"/>
    <col min="10257" max="10257" width="7.44140625" style="59" customWidth="1"/>
    <col min="10258" max="10496" width="8.88671875" style="59"/>
    <col min="10497" max="10497" width="4.109375" style="59" customWidth="1"/>
    <col min="10498" max="10501" width="8.88671875" style="59"/>
    <col min="10502" max="10502" width="8" style="59" customWidth="1"/>
    <col min="10503" max="10505" width="8.88671875" style="59"/>
    <col min="10506" max="10506" width="7.33203125" style="59" customWidth="1"/>
    <col min="10507" max="10509" width="8.88671875" style="59"/>
    <col min="10510" max="10510" width="7.33203125" style="59" customWidth="1"/>
    <col min="10511" max="10511" width="8.88671875" style="59"/>
    <col min="10512" max="10512" width="7" style="59" customWidth="1"/>
    <col min="10513" max="10513" width="7.44140625" style="59" customWidth="1"/>
    <col min="10514" max="10752" width="8.88671875" style="59"/>
    <col min="10753" max="10753" width="4.109375" style="59" customWidth="1"/>
    <col min="10754" max="10757" width="8.88671875" style="59"/>
    <col min="10758" max="10758" width="8" style="59" customWidth="1"/>
    <col min="10759" max="10761" width="8.88671875" style="59"/>
    <col min="10762" max="10762" width="7.33203125" style="59" customWidth="1"/>
    <col min="10763" max="10765" width="8.88671875" style="59"/>
    <col min="10766" max="10766" width="7.33203125" style="59" customWidth="1"/>
    <col min="10767" max="10767" width="8.88671875" style="59"/>
    <col min="10768" max="10768" width="7" style="59" customWidth="1"/>
    <col min="10769" max="10769" width="7.44140625" style="59" customWidth="1"/>
    <col min="10770" max="11008" width="8.88671875" style="59"/>
    <col min="11009" max="11009" width="4.109375" style="59" customWidth="1"/>
    <col min="11010" max="11013" width="8.88671875" style="59"/>
    <col min="11014" max="11014" width="8" style="59" customWidth="1"/>
    <col min="11015" max="11017" width="8.88671875" style="59"/>
    <col min="11018" max="11018" width="7.33203125" style="59" customWidth="1"/>
    <col min="11019" max="11021" width="8.88671875" style="59"/>
    <col min="11022" max="11022" width="7.33203125" style="59" customWidth="1"/>
    <col min="11023" max="11023" width="8.88671875" style="59"/>
    <col min="11024" max="11024" width="7" style="59" customWidth="1"/>
    <col min="11025" max="11025" width="7.44140625" style="59" customWidth="1"/>
    <col min="11026" max="11264" width="8.88671875" style="59"/>
    <col min="11265" max="11265" width="4.109375" style="59" customWidth="1"/>
    <col min="11266" max="11269" width="8.88671875" style="59"/>
    <col min="11270" max="11270" width="8" style="59" customWidth="1"/>
    <col min="11271" max="11273" width="8.88671875" style="59"/>
    <col min="11274" max="11274" width="7.33203125" style="59" customWidth="1"/>
    <col min="11275" max="11277" width="8.88671875" style="59"/>
    <col min="11278" max="11278" width="7.33203125" style="59" customWidth="1"/>
    <col min="11279" max="11279" width="8.88671875" style="59"/>
    <col min="11280" max="11280" width="7" style="59" customWidth="1"/>
    <col min="11281" max="11281" width="7.44140625" style="59" customWidth="1"/>
    <col min="11282" max="11520" width="8.88671875" style="59"/>
    <col min="11521" max="11521" width="4.109375" style="59" customWidth="1"/>
    <col min="11522" max="11525" width="8.88671875" style="59"/>
    <col min="11526" max="11526" width="8" style="59" customWidth="1"/>
    <col min="11527" max="11529" width="8.88671875" style="59"/>
    <col min="11530" max="11530" width="7.33203125" style="59" customWidth="1"/>
    <col min="11531" max="11533" width="8.88671875" style="59"/>
    <col min="11534" max="11534" width="7.33203125" style="59" customWidth="1"/>
    <col min="11535" max="11535" width="8.88671875" style="59"/>
    <col min="11536" max="11536" width="7" style="59" customWidth="1"/>
    <col min="11537" max="11537" width="7.44140625" style="59" customWidth="1"/>
    <col min="11538" max="11776" width="8.88671875" style="59"/>
    <col min="11777" max="11777" width="4.109375" style="59" customWidth="1"/>
    <col min="11778" max="11781" width="8.88671875" style="59"/>
    <col min="11782" max="11782" width="8" style="59" customWidth="1"/>
    <col min="11783" max="11785" width="8.88671875" style="59"/>
    <col min="11786" max="11786" width="7.33203125" style="59" customWidth="1"/>
    <col min="11787" max="11789" width="8.88671875" style="59"/>
    <col min="11790" max="11790" width="7.33203125" style="59" customWidth="1"/>
    <col min="11791" max="11791" width="8.88671875" style="59"/>
    <col min="11792" max="11792" width="7" style="59" customWidth="1"/>
    <col min="11793" max="11793" width="7.44140625" style="59" customWidth="1"/>
    <col min="11794" max="12032" width="8.88671875" style="59"/>
    <col min="12033" max="12033" width="4.109375" style="59" customWidth="1"/>
    <col min="12034" max="12037" width="8.88671875" style="59"/>
    <col min="12038" max="12038" width="8" style="59" customWidth="1"/>
    <col min="12039" max="12041" width="8.88671875" style="59"/>
    <col min="12042" max="12042" width="7.33203125" style="59" customWidth="1"/>
    <col min="12043" max="12045" width="8.88671875" style="59"/>
    <col min="12046" max="12046" width="7.33203125" style="59" customWidth="1"/>
    <col min="12047" max="12047" width="8.88671875" style="59"/>
    <col min="12048" max="12048" width="7" style="59" customWidth="1"/>
    <col min="12049" max="12049" width="7.44140625" style="59" customWidth="1"/>
    <col min="12050" max="12288" width="8.88671875" style="59"/>
    <col min="12289" max="12289" width="4.109375" style="59" customWidth="1"/>
    <col min="12290" max="12293" width="8.88671875" style="59"/>
    <col min="12294" max="12294" width="8" style="59" customWidth="1"/>
    <col min="12295" max="12297" width="8.88671875" style="59"/>
    <col min="12298" max="12298" width="7.33203125" style="59" customWidth="1"/>
    <col min="12299" max="12301" width="8.88671875" style="59"/>
    <col min="12302" max="12302" width="7.33203125" style="59" customWidth="1"/>
    <col min="12303" max="12303" width="8.88671875" style="59"/>
    <col min="12304" max="12304" width="7" style="59" customWidth="1"/>
    <col min="12305" max="12305" width="7.44140625" style="59" customWidth="1"/>
    <col min="12306" max="12544" width="8.88671875" style="59"/>
    <col min="12545" max="12545" width="4.109375" style="59" customWidth="1"/>
    <col min="12546" max="12549" width="8.88671875" style="59"/>
    <col min="12550" max="12550" width="8" style="59" customWidth="1"/>
    <col min="12551" max="12553" width="8.88671875" style="59"/>
    <col min="12554" max="12554" width="7.33203125" style="59" customWidth="1"/>
    <col min="12555" max="12557" width="8.88671875" style="59"/>
    <col min="12558" max="12558" width="7.33203125" style="59" customWidth="1"/>
    <col min="12559" max="12559" width="8.88671875" style="59"/>
    <col min="12560" max="12560" width="7" style="59" customWidth="1"/>
    <col min="12561" max="12561" width="7.44140625" style="59" customWidth="1"/>
    <col min="12562" max="12800" width="8.88671875" style="59"/>
    <col min="12801" max="12801" width="4.109375" style="59" customWidth="1"/>
    <col min="12802" max="12805" width="8.88671875" style="59"/>
    <col min="12806" max="12806" width="8" style="59" customWidth="1"/>
    <col min="12807" max="12809" width="8.88671875" style="59"/>
    <col min="12810" max="12810" width="7.33203125" style="59" customWidth="1"/>
    <col min="12811" max="12813" width="8.88671875" style="59"/>
    <col min="12814" max="12814" width="7.33203125" style="59" customWidth="1"/>
    <col min="12815" max="12815" width="8.88671875" style="59"/>
    <col min="12816" max="12816" width="7" style="59" customWidth="1"/>
    <col min="12817" max="12817" width="7.44140625" style="59" customWidth="1"/>
    <col min="12818" max="13056" width="8.88671875" style="59"/>
    <col min="13057" max="13057" width="4.109375" style="59" customWidth="1"/>
    <col min="13058" max="13061" width="8.88671875" style="59"/>
    <col min="13062" max="13062" width="8" style="59" customWidth="1"/>
    <col min="13063" max="13065" width="8.88671875" style="59"/>
    <col min="13066" max="13066" width="7.33203125" style="59" customWidth="1"/>
    <col min="13067" max="13069" width="8.88671875" style="59"/>
    <col min="13070" max="13070" width="7.33203125" style="59" customWidth="1"/>
    <col min="13071" max="13071" width="8.88671875" style="59"/>
    <col min="13072" max="13072" width="7" style="59" customWidth="1"/>
    <col min="13073" max="13073" width="7.44140625" style="59" customWidth="1"/>
    <col min="13074" max="13312" width="8.88671875" style="59"/>
    <col min="13313" max="13313" width="4.109375" style="59" customWidth="1"/>
    <col min="13314" max="13317" width="8.88671875" style="59"/>
    <col min="13318" max="13318" width="8" style="59" customWidth="1"/>
    <col min="13319" max="13321" width="8.88671875" style="59"/>
    <col min="13322" max="13322" width="7.33203125" style="59" customWidth="1"/>
    <col min="13323" max="13325" width="8.88671875" style="59"/>
    <col min="13326" max="13326" width="7.33203125" style="59" customWidth="1"/>
    <col min="13327" max="13327" width="8.88671875" style="59"/>
    <col min="13328" max="13328" width="7" style="59" customWidth="1"/>
    <col min="13329" max="13329" width="7.44140625" style="59" customWidth="1"/>
    <col min="13330" max="13568" width="8.88671875" style="59"/>
    <col min="13569" max="13569" width="4.109375" style="59" customWidth="1"/>
    <col min="13570" max="13573" width="8.88671875" style="59"/>
    <col min="13574" max="13574" width="8" style="59" customWidth="1"/>
    <col min="13575" max="13577" width="8.88671875" style="59"/>
    <col min="13578" max="13578" width="7.33203125" style="59" customWidth="1"/>
    <col min="13579" max="13581" width="8.88671875" style="59"/>
    <col min="13582" max="13582" width="7.33203125" style="59" customWidth="1"/>
    <col min="13583" max="13583" width="8.88671875" style="59"/>
    <col min="13584" max="13584" width="7" style="59" customWidth="1"/>
    <col min="13585" max="13585" width="7.44140625" style="59" customWidth="1"/>
    <col min="13586" max="13824" width="8.88671875" style="59"/>
    <col min="13825" max="13825" width="4.109375" style="59" customWidth="1"/>
    <col min="13826" max="13829" width="8.88671875" style="59"/>
    <col min="13830" max="13830" width="8" style="59" customWidth="1"/>
    <col min="13831" max="13833" width="8.88671875" style="59"/>
    <col min="13834" max="13834" width="7.33203125" style="59" customWidth="1"/>
    <col min="13835" max="13837" width="8.88671875" style="59"/>
    <col min="13838" max="13838" width="7.33203125" style="59" customWidth="1"/>
    <col min="13839" max="13839" width="8.88671875" style="59"/>
    <col min="13840" max="13840" width="7" style="59" customWidth="1"/>
    <col min="13841" max="13841" width="7.44140625" style="59" customWidth="1"/>
    <col min="13842" max="14080" width="8.88671875" style="59"/>
    <col min="14081" max="14081" width="4.109375" style="59" customWidth="1"/>
    <col min="14082" max="14085" width="8.88671875" style="59"/>
    <col min="14086" max="14086" width="8" style="59" customWidth="1"/>
    <col min="14087" max="14089" width="8.88671875" style="59"/>
    <col min="14090" max="14090" width="7.33203125" style="59" customWidth="1"/>
    <col min="14091" max="14093" width="8.88671875" style="59"/>
    <col min="14094" max="14094" width="7.33203125" style="59" customWidth="1"/>
    <col min="14095" max="14095" width="8.88671875" style="59"/>
    <col min="14096" max="14096" width="7" style="59" customWidth="1"/>
    <col min="14097" max="14097" width="7.44140625" style="59" customWidth="1"/>
    <col min="14098" max="14336" width="8.88671875" style="59"/>
    <col min="14337" max="14337" width="4.109375" style="59" customWidth="1"/>
    <col min="14338" max="14341" width="8.88671875" style="59"/>
    <col min="14342" max="14342" width="8" style="59" customWidth="1"/>
    <col min="14343" max="14345" width="8.88671875" style="59"/>
    <col min="14346" max="14346" width="7.33203125" style="59" customWidth="1"/>
    <col min="14347" max="14349" width="8.88671875" style="59"/>
    <col min="14350" max="14350" width="7.33203125" style="59" customWidth="1"/>
    <col min="14351" max="14351" width="8.88671875" style="59"/>
    <col min="14352" max="14352" width="7" style="59" customWidth="1"/>
    <col min="14353" max="14353" width="7.44140625" style="59" customWidth="1"/>
    <col min="14354" max="14592" width="8.88671875" style="59"/>
    <col min="14593" max="14593" width="4.109375" style="59" customWidth="1"/>
    <col min="14594" max="14597" width="8.88671875" style="59"/>
    <col min="14598" max="14598" width="8" style="59" customWidth="1"/>
    <col min="14599" max="14601" width="8.88671875" style="59"/>
    <col min="14602" max="14602" width="7.33203125" style="59" customWidth="1"/>
    <col min="14603" max="14605" width="8.88671875" style="59"/>
    <col min="14606" max="14606" width="7.33203125" style="59" customWidth="1"/>
    <col min="14607" max="14607" width="8.88671875" style="59"/>
    <col min="14608" max="14608" width="7" style="59" customWidth="1"/>
    <col min="14609" max="14609" width="7.44140625" style="59" customWidth="1"/>
    <col min="14610" max="14848" width="8.88671875" style="59"/>
    <col min="14849" max="14849" width="4.109375" style="59" customWidth="1"/>
    <col min="14850" max="14853" width="8.88671875" style="59"/>
    <col min="14854" max="14854" width="8" style="59" customWidth="1"/>
    <col min="14855" max="14857" width="8.88671875" style="59"/>
    <col min="14858" max="14858" width="7.33203125" style="59" customWidth="1"/>
    <col min="14859" max="14861" width="8.88671875" style="59"/>
    <col min="14862" max="14862" width="7.33203125" style="59" customWidth="1"/>
    <col min="14863" max="14863" width="8.88671875" style="59"/>
    <col min="14864" max="14864" width="7" style="59" customWidth="1"/>
    <col min="14865" max="14865" width="7.44140625" style="59" customWidth="1"/>
    <col min="14866" max="15104" width="8.88671875" style="59"/>
    <col min="15105" max="15105" width="4.109375" style="59" customWidth="1"/>
    <col min="15106" max="15109" width="8.88671875" style="59"/>
    <col min="15110" max="15110" width="8" style="59" customWidth="1"/>
    <col min="15111" max="15113" width="8.88671875" style="59"/>
    <col min="15114" max="15114" width="7.33203125" style="59" customWidth="1"/>
    <col min="15115" max="15117" width="8.88671875" style="59"/>
    <col min="15118" max="15118" width="7.33203125" style="59" customWidth="1"/>
    <col min="15119" max="15119" width="8.88671875" style="59"/>
    <col min="15120" max="15120" width="7" style="59" customWidth="1"/>
    <col min="15121" max="15121" width="7.44140625" style="59" customWidth="1"/>
    <col min="15122" max="15360" width="8.88671875" style="59"/>
    <col min="15361" max="15361" width="4.109375" style="59" customWidth="1"/>
    <col min="15362" max="15365" width="8.88671875" style="59"/>
    <col min="15366" max="15366" width="8" style="59" customWidth="1"/>
    <col min="15367" max="15369" width="8.88671875" style="59"/>
    <col min="15370" max="15370" width="7.33203125" style="59" customWidth="1"/>
    <col min="15371" max="15373" width="8.88671875" style="59"/>
    <col min="15374" max="15374" width="7.33203125" style="59" customWidth="1"/>
    <col min="15375" max="15375" width="8.88671875" style="59"/>
    <col min="15376" max="15376" width="7" style="59" customWidth="1"/>
    <col min="15377" max="15377" width="7.44140625" style="59" customWidth="1"/>
    <col min="15378" max="15616" width="8.88671875" style="59"/>
    <col min="15617" max="15617" width="4.109375" style="59" customWidth="1"/>
    <col min="15618" max="15621" width="8.88671875" style="59"/>
    <col min="15622" max="15622" width="8" style="59" customWidth="1"/>
    <col min="15623" max="15625" width="8.88671875" style="59"/>
    <col min="15626" max="15626" width="7.33203125" style="59" customWidth="1"/>
    <col min="15627" max="15629" width="8.88671875" style="59"/>
    <col min="15630" max="15630" width="7.33203125" style="59" customWidth="1"/>
    <col min="15631" max="15631" width="8.88671875" style="59"/>
    <col min="15632" max="15632" width="7" style="59" customWidth="1"/>
    <col min="15633" max="15633" width="7.44140625" style="59" customWidth="1"/>
    <col min="15634" max="15872" width="8.88671875" style="59"/>
    <col min="15873" max="15873" width="4.109375" style="59" customWidth="1"/>
    <col min="15874" max="15877" width="8.88671875" style="59"/>
    <col min="15878" max="15878" width="8" style="59" customWidth="1"/>
    <col min="15879" max="15881" width="8.88671875" style="59"/>
    <col min="15882" max="15882" width="7.33203125" style="59" customWidth="1"/>
    <col min="15883" max="15885" width="8.88671875" style="59"/>
    <col min="15886" max="15886" width="7.33203125" style="59" customWidth="1"/>
    <col min="15887" max="15887" width="8.88671875" style="59"/>
    <col min="15888" max="15888" width="7" style="59" customWidth="1"/>
    <col min="15889" max="15889" width="7.44140625" style="59" customWidth="1"/>
    <col min="15890" max="16128" width="8.88671875" style="59"/>
    <col min="16129" max="16129" width="4.109375" style="59" customWidth="1"/>
    <col min="16130" max="16133" width="8.88671875" style="59"/>
    <col min="16134" max="16134" width="8" style="59" customWidth="1"/>
    <col min="16135" max="16137" width="8.88671875" style="59"/>
    <col min="16138" max="16138" width="7.33203125" style="59" customWidth="1"/>
    <col min="16139" max="16141" width="8.88671875" style="59"/>
    <col min="16142" max="16142" width="7.33203125" style="59" customWidth="1"/>
    <col min="16143" max="16143" width="8.88671875" style="59"/>
    <col min="16144" max="16144" width="7" style="59" customWidth="1"/>
    <col min="16145" max="16145" width="7.44140625" style="59" customWidth="1"/>
    <col min="16146" max="16384" width="8.88671875" style="59"/>
  </cols>
  <sheetData>
    <row r="1" spans="1:18" ht="15.6">
      <c r="A1" s="227" t="s">
        <v>63</v>
      </c>
      <c r="B1" s="227"/>
      <c r="C1" s="227"/>
      <c r="D1" s="227"/>
      <c r="E1" s="227"/>
      <c r="F1" s="227"/>
      <c r="G1" s="227"/>
      <c r="H1" s="227"/>
      <c r="I1" s="227"/>
      <c r="J1" s="227"/>
      <c r="K1" s="227"/>
      <c r="L1" s="227"/>
      <c r="M1" s="227"/>
      <c r="N1" s="227"/>
      <c r="O1" s="227"/>
    </row>
    <row r="3" spans="1:18" ht="13.8" thickBot="1"/>
    <row r="4" spans="1:18">
      <c r="A4" s="60" t="s">
        <v>64</v>
      </c>
      <c r="B4" s="61">
        <v>0.23</v>
      </c>
      <c r="C4" s="62"/>
      <c r="D4" s="62"/>
      <c r="E4" s="62"/>
      <c r="F4" s="63"/>
      <c r="G4" s="64"/>
      <c r="H4" s="62"/>
      <c r="I4" s="62"/>
      <c r="J4" s="65"/>
      <c r="K4" s="66"/>
      <c r="L4" s="65"/>
      <c r="M4" s="65"/>
      <c r="N4" s="67"/>
      <c r="O4" s="67"/>
      <c r="P4" s="67"/>
      <c r="Q4" s="68"/>
      <c r="R4" s="69"/>
    </row>
    <row r="5" spans="1:18" ht="13.8" thickBot="1">
      <c r="A5" s="70" t="s">
        <v>65</v>
      </c>
      <c r="B5" s="71">
        <v>20</v>
      </c>
      <c r="C5" s="62"/>
      <c r="D5" s="62"/>
      <c r="E5" s="62"/>
      <c r="F5" s="63"/>
      <c r="G5" s="64"/>
      <c r="H5" s="62"/>
      <c r="I5" s="62"/>
      <c r="J5" s="65"/>
      <c r="K5" s="66"/>
      <c r="L5" s="65"/>
      <c r="M5" s="65"/>
      <c r="N5" s="67"/>
      <c r="O5" s="67"/>
      <c r="P5" s="67"/>
      <c r="Q5" s="68"/>
      <c r="R5" s="69"/>
    </row>
    <row r="6" spans="1:18" ht="13.8" thickBot="1">
      <c r="A6" s="72" t="s">
        <v>2</v>
      </c>
      <c r="B6" s="73">
        <v>2200</v>
      </c>
      <c r="C6" s="62"/>
      <c r="D6" s="62"/>
      <c r="E6" s="62"/>
      <c r="F6" s="63"/>
      <c r="G6" s="64"/>
      <c r="H6" s="62"/>
      <c r="I6" s="62"/>
      <c r="J6" s="65"/>
      <c r="K6" s="66"/>
      <c r="L6" s="65"/>
      <c r="M6" s="65"/>
      <c r="N6" s="67"/>
      <c r="O6" s="67"/>
      <c r="P6" s="67"/>
      <c r="Q6" s="68"/>
      <c r="R6" s="69"/>
    </row>
    <row r="7" spans="1:18" ht="13.8" thickBot="1">
      <c r="A7" s="74" t="s">
        <v>66</v>
      </c>
      <c r="B7" s="75"/>
      <c r="C7" s="76"/>
      <c r="D7" s="77">
        <v>15</v>
      </c>
      <c r="E7" s="62"/>
      <c r="F7" s="63"/>
      <c r="G7" s="64"/>
      <c r="H7" s="62"/>
      <c r="I7" s="62"/>
      <c r="J7" s="65"/>
      <c r="K7" s="66"/>
      <c r="L7" s="65"/>
      <c r="M7" s="65"/>
      <c r="N7" s="67"/>
      <c r="O7" s="67"/>
      <c r="P7" s="67"/>
      <c r="Q7" s="68"/>
      <c r="R7" s="69"/>
    </row>
    <row r="8" spans="1:18" ht="13.8" thickBot="1">
      <c r="A8" s="74" t="s">
        <v>67</v>
      </c>
      <c r="B8" s="75"/>
      <c r="C8" s="78"/>
      <c r="D8" s="79">
        <v>65</v>
      </c>
      <c r="E8" s="62"/>
      <c r="F8" s="63"/>
      <c r="G8" s="64"/>
      <c r="H8" s="62"/>
      <c r="I8" s="62"/>
      <c r="J8" s="65"/>
      <c r="K8" s="66"/>
      <c r="L8" s="65"/>
      <c r="M8" s="65"/>
      <c r="N8" s="67"/>
      <c r="O8" s="67"/>
      <c r="P8" s="67"/>
      <c r="Q8" s="68"/>
      <c r="R8" s="69"/>
    </row>
    <row r="9" spans="1:18" ht="13.8" thickBot="1">
      <c r="A9" s="74" t="s">
        <v>68</v>
      </c>
      <c r="B9" s="75"/>
      <c r="C9" s="78"/>
      <c r="D9" s="79">
        <v>5</v>
      </c>
      <c r="E9" s="62"/>
      <c r="F9" s="63"/>
      <c r="G9" s="64"/>
      <c r="H9" s="62"/>
      <c r="I9" s="62"/>
      <c r="J9" s="65"/>
      <c r="K9" s="66"/>
      <c r="L9" s="65"/>
      <c r="M9" s="65"/>
      <c r="N9" s="67"/>
      <c r="O9" s="67"/>
      <c r="P9" s="67"/>
      <c r="Q9" s="68"/>
      <c r="R9" s="69"/>
    </row>
    <row r="10" spans="1:18">
      <c r="A10" s="65"/>
      <c r="B10" s="80"/>
      <c r="C10" s="62"/>
      <c r="D10" s="62"/>
      <c r="E10" s="62"/>
      <c r="F10" s="63"/>
      <c r="G10" s="64"/>
      <c r="H10" s="62"/>
      <c r="I10" s="62"/>
      <c r="J10" s="65"/>
      <c r="K10" s="66"/>
      <c r="L10" s="65"/>
      <c r="M10" s="65"/>
      <c r="N10" s="67"/>
      <c r="O10" s="67"/>
      <c r="P10" s="67"/>
      <c r="Q10" s="68"/>
      <c r="R10" s="69"/>
    </row>
    <row r="11" spans="1:18" ht="13.8" thickBot="1">
      <c r="A11" s="81"/>
      <c r="B11" s="62"/>
      <c r="C11" s="62"/>
      <c r="D11" s="62"/>
      <c r="E11" s="62"/>
      <c r="F11" s="63"/>
      <c r="G11" s="64"/>
      <c r="H11" s="62"/>
      <c r="I11" s="62"/>
      <c r="J11" s="67"/>
      <c r="K11" s="67"/>
      <c r="L11" s="67"/>
      <c r="M11" s="67"/>
      <c r="N11" s="67"/>
      <c r="O11" s="82"/>
      <c r="P11" s="82"/>
      <c r="Q11" s="83"/>
      <c r="R11" s="83"/>
    </row>
    <row r="12" spans="1:18" ht="13.8" thickBot="1">
      <c r="A12" s="216" t="s">
        <v>0</v>
      </c>
      <c r="B12" s="218" t="s">
        <v>69</v>
      </c>
      <c r="C12" s="218"/>
      <c r="D12" s="218"/>
      <c r="E12" s="219"/>
      <c r="F12" s="218"/>
      <c r="G12" s="220" t="s">
        <v>70</v>
      </c>
      <c r="H12" s="221"/>
      <c r="I12" s="221"/>
      <c r="J12" s="222"/>
      <c r="K12" s="220" t="s">
        <v>71</v>
      </c>
      <c r="L12" s="221"/>
      <c r="M12" s="221"/>
      <c r="N12" s="222"/>
      <c r="O12" s="223" t="s">
        <v>6</v>
      </c>
      <c r="P12" s="225" t="s">
        <v>56</v>
      </c>
      <c r="Q12" s="226"/>
      <c r="R12" s="82"/>
    </row>
    <row r="13" spans="1:18" s="91" customFormat="1" ht="16.2" thickBot="1">
      <c r="A13" s="217"/>
      <c r="B13" s="84" t="s">
        <v>1</v>
      </c>
      <c r="C13" s="85" t="s">
        <v>2</v>
      </c>
      <c r="D13" s="85" t="s">
        <v>3</v>
      </c>
      <c r="E13" s="86" t="s">
        <v>57</v>
      </c>
      <c r="F13" s="85" t="s">
        <v>58</v>
      </c>
      <c r="G13" s="87" t="s">
        <v>60</v>
      </c>
      <c r="H13" s="88" t="s">
        <v>3</v>
      </c>
      <c r="I13" s="88" t="s">
        <v>72</v>
      </c>
      <c r="J13" s="86" t="s">
        <v>59</v>
      </c>
      <c r="K13" s="85" t="s">
        <v>73</v>
      </c>
      <c r="L13" s="85" t="s">
        <v>74</v>
      </c>
      <c r="M13" s="85" t="s">
        <v>75</v>
      </c>
      <c r="N13" s="85" t="s">
        <v>76</v>
      </c>
      <c r="O13" s="224"/>
      <c r="P13" s="89" t="s">
        <v>61</v>
      </c>
      <c r="Q13" s="89" t="s">
        <v>62</v>
      </c>
      <c r="R13" s="90" t="s">
        <v>77</v>
      </c>
    </row>
    <row r="14" spans="1:18" s="91" customFormat="1" ht="13.8" thickBot="1">
      <c r="A14" s="92">
        <v>15</v>
      </c>
      <c r="B14" s="93">
        <f>EXP(4.04764-8.75819/A14^0.56087)+1.19874*(1-EXP(-0.081*A14))^2.99578*($B$5-17.38)</f>
        <v>9.5085291059454633</v>
      </c>
      <c r="C14" s="94"/>
      <c r="D14" s="94"/>
      <c r="E14" s="94"/>
      <c r="F14" s="94"/>
      <c r="G14" s="95"/>
      <c r="H14" s="94"/>
      <c r="I14" s="94"/>
      <c r="J14" s="94"/>
      <c r="K14" s="96"/>
      <c r="L14" s="94"/>
      <c r="M14" s="94"/>
      <c r="N14" s="94"/>
      <c r="O14" s="97"/>
      <c r="P14" s="90"/>
      <c r="Q14" s="98"/>
      <c r="R14" s="90"/>
    </row>
    <row r="15" spans="1:18">
      <c r="A15" s="99">
        <v>15</v>
      </c>
      <c r="B15" s="93">
        <f>EXP(4.04764-8.75819/A15^0.56087)+1.19874*(1-EXP(-0.081*A15))^2.99578*($B$5-17.38)</f>
        <v>9.5085291059454633</v>
      </c>
      <c r="C15" s="100"/>
      <c r="D15" s="101"/>
      <c r="E15" s="101"/>
      <c r="F15" s="101"/>
      <c r="G15" s="102"/>
      <c r="H15" s="103"/>
      <c r="I15" s="101"/>
      <c r="J15" s="101"/>
      <c r="K15" s="104"/>
      <c r="L15" s="101"/>
      <c r="M15" s="101"/>
      <c r="N15" s="101"/>
      <c r="O15" s="105"/>
      <c r="P15" s="106"/>
      <c r="Q15" s="107"/>
      <c r="R15" s="82"/>
    </row>
    <row r="16" spans="1:18">
      <c r="A16" s="108">
        <f>A15+pdesb</f>
        <v>20</v>
      </c>
      <c r="B16" s="109">
        <f t="shared" ref="B16:B27" si="0">EXP(4.04764-8.75819/A16^0.56087)+1.19874*(1-EXP(-0.081*A16))^2.99578*($B$5-17.38)</f>
        <v>12.819794801507502</v>
      </c>
      <c r="C16" s="110"/>
      <c r="D16" s="111"/>
      <c r="E16" s="111"/>
      <c r="F16" s="111"/>
      <c r="G16" s="112"/>
      <c r="H16" s="113"/>
      <c r="I16" s="111"/>
      <c r="J16" s="111"/>
      <c r="K16" s="114"/>
      <c r="L16" s="111"/>
      <c r="M16" s="111"/>
      <c r="N16" s="111"/>
      <c r="O16" s="115"/>
      <c r="P16" s="116"/>
      <c r="Q16" s="117"/>
      <c r="R16" s="82"/>
    </row>
    <row r="17" spans="1:18">
      <c r="A17" s="108">
        <f t="shared" ref="A17:A25" si="1">A16+pdesb</f>
        <v>25</v>
      </c>
      <c r="B17" s="109">
        <f t="shared" si="0"/>
        <v>15.622678395248585</v>
      </c>
      <c r="C17" s="110"/>
      <c r="D17" s="111"/>
      <c r="E17" s="111"/>
      <c r="F17" s="111"/>
      <c r="G17" s="112"/>
      <c r="H17" s="113"/>
      <c r="I17" s="111"/>
      <c r="J17" s="111"/>
      <c r="K17" s="114"/>
      <c r="L17" s="111"/>
      <c r="M17" s="111"/>
      <c r="N17" s="111"/>
      <c r="O17" s="115"/>
      <c r="P17" s="116"/>
      <c r="Q17" s="117"/>
      <c r="R17" s="82"/>
    </row>
    <row r="18" spans="1:18">
      <c r="A18" s="108">
        <f t="shared" si="1"/>
        <v>30</v>
      </c>
      <c r="B18" s="109">
        <f t="shared" si="0"/>
        <v>17.988868326662203</v>
      </c>
      <c r="C18" s="110"/>
      <c r="D18" s="111"/>
      <c r="E18" s="111"/>
      <c r="F18" s="111"/>
      <c r="G18" s="112"/>
      <c r="H18" s="113"/>
      <c r="I18" s="111"/>
      <c r="J18" s="111"/>
      <c r="K18" s="114"/>
      <c r="L18" s="111"/>
      <c r="M18" s="111"/>
      <c r="N18" s="111"/>
      <c r="O18" s="115"/>
      <c r="P18" s="116"/>
      <c r="Q18" s="117"/>
      <c r="R18" s="82"/>
    </row>
    <row r="19" spans="1:18">
      <c r="A19" s="108">
        <f t="shared" si="1"/>
        <v>35</v>
      </c>
      <c r="B19" s="109">
        <f t="shared" si="0"/>
        <v>19.99996006609496</v>
      </c>
      <c r="C19" s="118"/>
      <c r="D19" s="119"/>
      <c r="E19" s="120"/>
      <c r="F19" s="120"/>
      <c r="G19" s="118"/>
      <c r="H19" s="121"/>
      <c r="I19" s="120"/>
      <c r="J19" s="120"/>
      <c r="K19" s="114"/>
      <c r="L19" s="111"/>
      <c r="M19" s="111"/>
      <c r="N19" s="111"/>
      <c r="O19" s="115"/>
      <c r="P19" s="116"/>
      <c r="Q19" s="117"/>
      <c r="R19" s="82"/>
    </row>
    <row r="20" spans="1:18">
      <c r="A20" s="108">
        <f t="shared" si="1"/>
        <v>40</v>
      </c>
      <c r="B20" s="109">
        <f t="shared" si="0"/>
        <v>21.727922598897567</v>
      </c>
      <c r="C20" s="118"/>
      <c r="D20" s="120"/>
      <c r="E20" s="120"/>
      <c r="F20" s="120"/>
      <c r="G20" s="118"/>
      <c r="H20" s="121"/>
      <c r="I20" s="120"/>
      <c r="J20" s="120"/>
      <c r="K20" s="114"/>
      <c r="L20" s="111"/>
      <c r="M20" s="111"/>
      <c r="N20" s="111"/>
      <c r="O20" s="115"/>
      <c r="P20" s="116"/>
      <c r="Q20" s="117"/>
      <c r="R20" s="82"/>
    </row>
    <row r="21" spans="1:18">
      <c r="A21" s="108">
        <f t="shared" si="1"/>
        <v>45</v>
      </c>
      <c r="B21" s="109">
        <f t="shared" si="0"/>
        <v>23.230832101091192</v>
      </c>
      <c r="C21" s="118"/>
      <c r="D21" s="120"/>
      <c r="E21" s="120"/>
      <c r="F21" s="120"/>
      <c r="G21" s="118"/>
      <c r="H21" s="121"/>
      <c r="I21" s="120"/>
      <c r="J21" s="120"/>
      <c r="K21" s="114"/>
      <c r="L21" s="111"/>
      <c r="M21" s="111"/>
      <c r="N21" s="111"/>
      <c r="O21" s="115"/>
      <c r="P21" s="116"/>
      <c r="Q21" s="117"/>
      <c r="R21" s="82"/>
    </row>
    <row r="22" spans="1:18">
      <c r="A22" s="108">
        <f t="shared" si="1"/>
        <v>50</v>
      </c>
      <c r="B22" s="109">
        <f t="shared" si="0"/>
        <v>24.553801733943406</v>
      </c>
      <c r="C22" s="118"/>
      <c r="D22" s="120"/>
      <c r="E22" s="120"/>
      <c r="F22" s="120"/>
      <c r="G22" s="118"/>
      <c r="H22" s="121"/>
      <c r="I22" s="120"/>
      <c r="J22" s="120"/>
      <c r="K22" s="114"/>
      <c r="L22" s="111"/>
      <c r="M22" s="111"/>
      <c r="N22" s="111"/>
      <c r="O22" s="115"/>
      <c r="P22" s="116"/>
      <c r="Q22" s="117"/>
      <c r="R22" s="82"/>
    </row>
    <row r="23" spans="1:18">
      <c r="A23" s="108">
        <f t="shared" si="1"/>
        <v>55</v>
      </c>
      <c r="B23" s="109">
        <f t="shared" si="0"/>
        <v>25.731357111216642</v>
      </c>
      <c r="C23" s="110"/>
      <c r="D23" s="111"/>
      <c r="E23" s="111"/>
      <c r="F23" s="111"/>
      <c r="G23" s="112"/>
      <c r="H23" s="113"/>
      <c r="I23" s="111"/>
      <c r="J23" s="111"/>
      <c r="K23" s="114"/>
      <c r="L23" s="111"/>
      <c r="M23" s="111"/>
      <c r="N23" s="111"/>
      <c r="O23" s="115"/>
      <c r="P23" s="116"/>
      <c r="Q23" s="117"/>
      <c r="R23" s="82"/>
    </row>
    <row r="24" spans="1:18">
      <c r="A24" s="108">
        <f t="shared" si="1"/>
        <v>60</v>
      </c>
      <c r="B24" s="109">
        <f t="shared" si="0"/>
        <v>26.789862111400492</v>
      </c>
      <c r="C24" s="110"/>
      <c r="D24" s="111"/>
      <c r="E24" s="111"/>
      <c r="F24" s="111"/>
      <c r="G24" s="112"/>
      <c r="H24" s="113"/>
      <c r="I24" s="111"/>
      <c r="J24" s="111"/>
      <c r="K24" s="114"/>
      <c r="L24" s="111"/>
      <c r="M24" s="111"/>
      <c r="N24" s="111"/>
      <c r="O24" s="115"/>
      <c r="P24" s="116"/>
      <c r="Q24" s="117"/>
      <c r="R24" s="82"/>
    </row>
    <row r="25" spans="1:18">
      <c r="A25" s="108">
        <f t="shared" si="1"/>
        <v>65</v>
      </c>
      <c r="B25" s="109">
        <f t="shared" si="0"/>
        <v>27.749553664181299</v>
      </c>
      <c r="C25" s="110"/>
      <c r="D25" s="111"/>
      <c r="E25" s="111"/>
      <c r="F25" s="111"/>
      <c r="G25" s="112"/>
      <c r="H25" s="113"/>
      <c r="I25" s="111"/>
      <c r="J25" s="111"/>
      <c r="K25" s="114"/>
      <c r="L25" s="111"/>
      <c r="M25" s="111"/>
      <c r="N25" s="111"/>
      <c r="O25" s="115"/>
      <c r="P25" s="116"/>
      <c r="Q25" s="117"/>
      <c r="R25" s="82"/>
    </row>
    <row r="26" spans="1:18">
      <c r="A26" s="108">
        <v>70</v>
      </c>
      <c r="B26" s="109">
        <f t="shared" si="0"/>
        <v>28.626116569254211</v>
      </c>
      <c r="C26" s="110"/>
      <c r="D26" s="122"/>
      <c r="E26" s="122"/>
      <c r="F26" s="122"/>
      <c r="G26" s="123"/>
      <c r="H26" s="124"/>
      <c r="I26" s="124"/>
      <c r="J26" s="124"/>
      <c r="K26" s="125"/>
      <c r="L26" s="82"/>
      <c r="M26" s="82"/>
      <c r="N26" s="82"/>
      <c r="O26" s="126"/>
      <c r="P26" s="82"/>
      <c r="Q26" s="127"/>
      <c r="R26" s="83"/>
    </row>
    <row r="27" spans="1:18" ht="13.8" thickBot="1">
      <c r="A27" s="128">
        <v>75</v>
      </c>
      <c r="B27" s="129">
        <f t="shared" si="0"/>
        <v>29.431856571860372</v>
      </c>
      <c r="C27" s="130"/>
      <c r="D27" s="131"/>
      <c r="E27" s="131"/>
      <c r="F27" s="131"/>
      <c r="G27" s="132"/>
      <c r="H27" s="133"/>
      <c r="I27" s="133"/>
      <c r="J27" s="133"/>
      <c r="K27" s="134"/>
      <c r="L27" s="135"/>
      <c r="M27" s="135"/>
      <c r="N27" s="135"/>
      <c r="O27" s="136"/>
      <c r="P27" s="135"/>
      <c r="Q27" s="137"/>
      <c r="R27" s="83"/>
    </row>
    <row r="28" spans="1:18">
      <c r="A28" s="138"/>
      <c r="B28" s="109"/>
      <c r="C28" s="110"/>
      <c r="D28" s="122"/>
      <c r="E28" s="122"/>
      <c r="F28" s="122"/>
      <c r="G28" s="139"/>
      <c r="H28" s="124"/>
      <c r="I28" s="124"/>
      <c r="J28" s="124"/>
      <c r="K28" s="124"/>
      <c r="L28" s="82"/>
      <c r="M28" s="82"/>
      <c r="N28" s="82"/>
      <c r="O28" s="82"/>
      <c r="P28" s="82"/>
      <c r="Q28" s="83"/>
      <c r="R28" s="83"/>
    </row>
    <row r="29" spans="1:18" ht="13.8" thickBot="1">
      <c r="A29" s="138"/>
      <c r="B29" s="109"/>
      <c r="C29" s="110"/>
      <c r="D29" s="122"/>
      <c r="E29" s="122"/>
      <c r="F29" s="122"/>
      <c r="G29" s="139"/>
      <c r="H29" s="124"/>
      <c r="I29" s="124"/>
      <c r="J29" s="124"/>
      <c r="K29" s="124"/>
      <c r="L29" s="82"/>
      <c r="M29" s="82"/>
      <c r="N29" s="82"/>
      <c r="O29" s="82"/>
      <c r="P29" s="82"/>
      <c r="Q29" s="83"/>
      <c r="R29" s="83"/>
    </row>
    <row r="30" spans="1:18" ht="13.8" thickBot="1">
      <c r="A30" s="216" t="s">
        <v>0</v>
      </c>
      <c r="B30" s="218" t="s">
        <v>69</v>
      </c>
      <c r="C30" s="218"/>
      <c r="D30" s="218"/>
      <c r="E30" s="219"/>
      <c r="F30" s="218"/>
      <c r="G30" s="220" t="s">
        <v>70</v>
      </c>
      <c r="H30" s="221"/>
      <c r="I30" s="221"/>
      <c r="J30" s="222"/>
      <c r="K30" s="220" t="s">
        <v>71</v>
      </c>
      <c r="L30" s="221"/>
      <c r="M30" s="221"/>
      <c r="N30" s="222"/>
      <c r="O30" s="223" t="s">
        <v>6</v>
      </c>
      <c r="P30" s="225" t="s">
        <v>56</v>
      </c>
      <c r="Q30" s="226"/>
      <c r="R30" s="82"/>
    </row>
    <row r="31" spans="1:18" ht="16.2" thickBot="1">
      <c r="A31" s="217"/>
      <c r="B31" s="84" t="s">
        <v>1</v>
      </c>
      <c r="C31" s="85" t="s">
        <v>2</v>
      </c>
      <c r="D31" s="85" t="s">
        <v>3</v>
      </c>
      <c r="E31" s="86" t="s">
        <v>57</v>
      </c>
      <c r="F31" s="85" t="s">
        <v>58</v>
      </c>
      <c r="G31" s="87" t="s">
        <v>60</v>
      </c>
      <c r="H31" s="88" t="s">
        <v>3</v>
      </c>
      <c r="I31" s="88" t="s">
        <v>72</v>
      </c>
      <c r="J31" s="86" t="s">
        <v>59</v>
      </c>
      <c r="K31" s="85" t="s">
        <v>73</v>
      </c>
      <c r="L31" s="85" t="s">
        <v>74</v>
      </c>
      <c r="M31" s="85" t="s">
        <v>75</v>
      </c>
      <c r="N31" s="85" t="s">
        <v>76</v>
      </c>
      <c r="O31" s="224"/>
      <c r="P31" s="89" t="s">
        <v>61</v>
      </c>
      <c r="Q31" s="89" t="s">
        <v>62</v>
      </c>
      <c r="R31" s="90" t="s">
        <v>77</v>
      </c>
    </row>
    <row r="32" spans="1:18" ht="13.8" thickBot="1">
      <c r="A32" s="140">
        <v>15</v>
      </c>
      <c r="B32" s="93">
        <f>EXP(4.04764-8.75819/A32^0.56087)+1.19874*(1-EXP(-0.081*A32))^2.99578*($B$5-17.38)</f>
        <v>9.5085291059454633</v>
      </c>
      <c r="C32" s="141">
        <f>$B$6</f>
        <v>2200</v>
      </c>
      <c r="D32" s="142"/>
      <c r="E32" s="94"/>
      <c r="F32" s="142"/>
      <c r="G32" s="143"/>
      <c r="H32" s="94"/>
      <c r="I32" s="142"/>
      <c r="J32" s="94"/>
      <c r="K32" s="144"/>
      <c r="L32" s="94"/>
      <c r="M32" s="142"/>
      <c r="N32" s="94"/>
      <c r="O32" s="97"/>
      <c r="P32" s="90"/>
      <c r="Q32" s="98"/>
      <c r="R32" s="90"/>
    </row>
    <row r="33" spans="1:18">
      <c r="A33" s="99">
        <v>15</v>
      </c>
      <c r="B33" s="93">
        <f>EXP(4.04764-8.75819/A33^0.56087)+1.19874*(1-EXP(-0.081*A33))^2.99578*($B$5-17.38)</f>
        <v>9.5085291059454633</v>
      </c>
      <c r="C33" s="145">
        <f>IF(A33&lt;=$D$8,100^2/($B$4^2*B33^2),C32)</f>
        <v>2090.8248228660891</v>
      </c>
      <c r="D33" s="101"/>
      <c r="E33" s="101"/>
      <c r="F33" s="101"/>
      <c r="G33" s="102"/>
      <c r="H33" s="103"/>
      <c r="I33" s="101"/>
      <c r="J33" s="101"/>
      <c r="K33" s="104"/>
      <c r="L33" s="101"/>
      <c r="M33" s="101"/>
      <c r="N33" s="101"/>
      <c r="O33" s="105"/>
      <c r="P33" s="106"/>
      <c r="Q33" s="107"/>
      <c r="R33" s="82"/>
    </row>
    <row r="34" spans="1:18">
      <c r="A34" s="108">
        <f>A33+pdesb</f>
        <v>20</v>
      </c>
      <c r="B34" s="109">
        <f t="shared" ref="B34:B45" si="2">EXP(4.04764-8.75819/A34^0.56087)+1.19874*(1-EXP(-0.081*A34))^2.99578*($B$5-17.38)</f>
        <v>12.819794801507502</v>
      </c>
      <c r="C34" s="145">
        <f t="shared" ref="C34:C45" si="3">IF(A34&lt;=$D$8,100^2/($B$4^2*B34^2),C33)</f>
        <v>1150.22335197803</v>
      </c>
      <c r="D34" s="111"/>
      <c r="E34" s="111"/>
      <c r="F34" s="111"/>
      <c r="G34" s="112"/>
      <c r="H34" s="113"/>
      <c r="I34" s="111"/>
      <c r="J34" s="111"/>
      <c r="K34" s="114"/>
      <c r="L34" s="111"/>
      <c r="M34" s="111"/>
      <c r="N34" s="111"/>
      <c r="O34" s="115"/>
      <c r="P34" s="116"/>
      <c r="Q34" s="117"/>
      <c r="R34" s="82"/>
    </row>
    <row r="35" spans="1:18">
      <c r="A35" s="108">
        <f t="shared" ref="A35:A43" si="4">A34+pdesb</f>
        <v>25</v>
      </c>
      <c r="B35" s="109">
        <f t="shared" si="2"/>
        <v>15.622678395248585</v>
      </c>
      <c r="C35" s="145">
        <f t="shared" si="3"/>
        <v>774.52125913905991</v>
      </c>
      <c r="D35" s="111"/>
      <c r="E35" s="111"/>
      <c r="F35" s="111"/>
      <c r="G35" s="112"/>
      <c r="H35" s="113"/>
      <c r="I35" s="111"/>
      <c r="J35" s="111"/>
      <c r="K35" s="114"/>
      <c r="L35" s="111"/>
      <c r="M35" s="111"/>
      <c r="N35" s="111"/>
      <c r="O35" s="115"/>
      <c r="P35" s="116"/>
      <c r="Q35" s="117"/>
      <c r="R35" s="82"/>
    </row>
    <row r="36" spans="1:18">
      <c r="A36" s="108">
        <f t="shared" si="4"/>
        <v>30</v>
      </c>
      <c r="B36" s="109">
        <f t="shared" si="2"/>
        <v>17.988868326662203</v>
      </c>
      <c r="C36" s="145">
        <f t="shared" si="3"/>
        <v>584.16649215451025</v>
      </c>
      <c r="D36" s="111"/>
      <c r="E36" s="111"/>
      <c r="F36" s="111"/>
      <c r="G36" s="112"/>
      <c r="H36" s="113"/>
      <c r="I36" s="111"/>
      <c r="J36" s="111"/>
      <c r="K36" s="114"/>
      <c r="L36" s="111"/>
      <c r="M36" s="111"/>
      <c r="N36" s="111"/>
      <c r="O36" s="115"/>
      <c r="P36" s="116"/>
      <c r="Q36" s="117"/>
      <c r="R36" s="82"/>
    </row>
    <row r="37" spans="1:18">
      <c r="A37" s="108">
        <f t="shared" si="4"/>
        <v>35</v>
      </c>
      <c r="B37" s="109">
        <f t="shared" si="2"/>
        <v>19.99996006609496</v>
      </c>
      <c r="C37" s="145">
        <f t="shared" si="3"/>
        <v>472.59167930173169</v>
      </c>
      <c r="D37" s="119"/>
      <c r="E37" s="120"/>
      <c r="F37" s="120"/>
      <c r="G37" s="118"/>
      <c r="H37" s="121"/>
      <c r="I37" s="111"/>
      <c r="J37" s="111"/>
      <c r="K37" s="114"/>
      <c r="L37" s="111"/>
      <c r="M37" s="111"/>
      <c r="N37" s="111"/>
      <c r="O37" s="115"/>
      <c r="P37" s="116"/>
      <c r="Q37" s="117"/>
      <c r="R37" s="82"/>
    </row>
    <row r="38" spans="1:18">
      <c r="A38" s="108">
        <f t="shared" si="4"/>
        <v>40</v>
      </c>
      <c r="B38" s="109">
        <f t="shared" si="2"/>
        <v>21.727922598897567</v>
      </c>
      <c r="C38" s="145">
        <f t="shared" si="3"/>
        <v>400.41276754306455</v>
      </c>
      <c r="D38" s="120"/>
      <c r="E38" s="120"/>
      <c r="F38" s="120"/>
      <c r="G38" s="118"/>
      <c r="H38" s="121"/>
      <c r="I38" s="111"/>
      <c r="J38" s="111"/>
      <c r="K38" s="114"/>
      <c r="L38" s="111"/>
      <c r="M38" s="111"/>
      <c r="N38" s="111"/>
      <c r="O38" s="115"/>
      <c r="P38" s="116"/>
      <c r="Q38" s="117"/>
      <c r="R38" s="82"/>
    </row>
    <row r="39" spans="1:18">
      <c r="A39" s="108">
        <f t="shared" si="4"/>
        <v>45</v>
      </c>
      <c r="B39" s="109">
        <f t="shared" si="2"/>
        <v>23.230832101091192</v>
      </c>
      <c r="C39" s="145">
        <f t="shared" si="3"/>
        <v>350.27956037925168</v>
      </c>
      <c r="D39" s="120"/>
      <c r="E39" s="120"/>
      <c r="F39" s="120"/>
      <c r="G39" s="118"/>
      <c r="H39" s="121"/>
      <c r="I39" s="111"/>
      <c r="J39" s="111"/>
      <c r="K39" s="114"/>
      <c r="L39" s="111"/>
      <c r="M39" s="111"/>
      <c r="N39" s="111"/>
      <c r="O39" s="115"/>
      <c r="P39" s="116"/>
      <c r="Q39" s="117"/>
      <c r="R39" s="82"/>
    </row>
    <row r="40" spans="1:18">
      <c r="A40" s="108">
        <f t="shared" si="4"/>
        <v>50</v>
      </c>
      <c r="B40" s="109">
        <f t="shared" si="2"/>
        <v>24.553801733943406</v>
      </c>
      <c r="C40" s="145">
        <f t="shared" si="3"/>
        <v>313.55002415670174</v>
      </c>
      <c r="D40" s="120"/>
      <c r="E40" s="120"/>
      <c r="F40" s="120"/>
      <c r="G40" s="118"/>
      <c r="H40" s="121"/>
      <c r="I40" s="111"/>
      <c r="J40" s="111"/>
      <c r="K40" s="114"/>
      <c r="L40" s="111"/>
      <c r="M40" s="111"/>
      <c r="N40" s="111"/>
      <c r="O40" s="115"/>
      <c r="P40" s="116"/>
      <c r="Q40" s="117"/>
      <c r="R40" s="82"/>
    </row>
    <row r="41" spans="1:18">
      <c r="A41" s="108">
        <f t="shared" si="4"/>
        <v>55</v>
      </c>
      <c r="B41" s="109">
        <f t="shared" si="2"/>
        <v>25.731357111216642</v>
      </c>
      <c r="C41" s="145">
        <f t="shared" si="3"/>
        <v>285.50843509740042</v>
      </c>
      <c r="D41" s="111"/>
      <c r="E41" s="111"/>
      <c r="F41" s="111"/>
      <c r="G41" s="112"/>
      <c r="H41" s="113"/>
      <c r="I41" s="111"/>
      <c r="J41" s="111"/>
      <c r="K41" s="114"/>
      <c r="L41" s="111"/>
      <c r="M41" s="111"/>
      <c r="N41" s="111"/>
      <c r="O41" s="115"/>
      <c r="P41" s="116"/>
      <c r="Q41" s="117"/>
      <c r="R41" s="82"/>
    </row>
    <row r="42" spans="1:18" ht="13.5" customHeight="1">
      <c r="A42" s="108">
        <f t="shared" si="4"/>
        <v>60</v>
      </c>
      <c r="B42" s="109">
        <f t="shared" si="2"/>
        <v>26.789862111400492</v>
      </c>
      <c r="C42" s="145">
        <f t="shared" si="3"/>
        <v>263.39247996712578</v>
      </c>
      <c r="D42" s="111"/>
      <c r="E42" s="111"/>
      <c r="F42" s="111"/>
      <c r="G42" s="112"/>
      <c r="H42" s="113"/>
      <c r="I42" s="111"/>
      <c r="J42" s="111"/>
      <c r="K42" s="114"/>
      <c r="L42" s="111"/>
      <c r="M42" s="111"/>
      <c r="N42" s="111"/>
      <c r="O42" s="115"/>
      <c r="P42" s="116"/>
      <c r="Q42" s="117"/>
      <c r="R42" s="82"/>
    </row>
    <row r="43" spans="1:18">
      <c r="A43" s="108">
        <f t="shared" si="4"/>
        <v>65</v>
      </c>
      <c r="B43" s="109">
        <f t="shared" si="2"/>
        <v>27.749553664181299</v>
      </c>
      <c r="C43" s="145">
        <f t="shared" si="3"/>
        <v>245.48916217051769</v>
      </c>
      <c r="D43" s="111"/>
      <c r="E43" s="111"/>
      <c r="F43" s="111"/>
      <c r="G43" s="112"/>
      <c r="H43" s="113"/>
      <c r="I43" s="111"/>
      <c r="J43" s="111"/>
      <c r="K43" s="114"/>
      <c r="L43" s="111"/>
      <c r="M43" s="111"/>
      <c r="N43" s="111"/>
      <c r="O43" s="115"/>
      <c r="P43" s="116"/>
      <c r="Q43" s="117"/>
      <c r="R43" s="82"/>
    </row>
    <row r="44" spans="1:18">
      <c r="A44" s="108">
        <v>70</v>
      </c>
      <c r="B44" s="109">
        <f t="shared" si="2"/>
        <v>28.626116569254211</v>
      </c>
      <c r="C44" s="146">
        <f t="shared" si="3"/>
        <v>245.48916217051769</v>
      </c>
      <c r="D44" s="122"/>
      <c r="E44" s="122"/>
      <c r="F44" s="122"/>
      <c r="G44" s="123"/>
      <c r="H44" s="124"/>
      <c r="I44" s="124"/>
      <c r="J44" s="124"/>
      <c r="K44" s="125"/>
      <c r="L44" s="82"/>
      <c r="M44" s="82"/>
      <c r="N44" s="82"/>
      <c r="O44" s="126"/>
      <c r="P44" s="82"/>
      <c r="Q44" s="127"/>
      <c r="R44" s="83"/>
    </row>
    <row r="45" spans="1:18" ht="13.8" thickBot="1">
      <c r="A45" s="128">
        <v>75</v>
      </c>
      <c r="B45" s="129">
        <f t="shared" si="2"/>
        <v>29.431856571860372</v>
      </c>
      <c r="C45" s="146">
        <f t="shared" si="3"/>
        <v>245.48916217051769</v>
      </c>
      <c r="D45" s="131"/>
      <c r="E45" s="131"/>
      <c r="F45" s="131"/>
      <c r="G45" s="132"/>
      <c r="H45" s="133"/>
      <c r="I45" s="133"/>
      <c r="J45" s="133"/>
      <c r="K45" s="134"/>
      <c r="L45" s="135"/>
      <c r="M45" s="135"/>
      <c r="N45" s="135"/>
      <c r="O45" s="136"/>
      <c r="P45" s="135"/>
      <c r="Q45" s="137"/>
      <c r="R45" s="83"/>
    </row>
    <row r="46" spans="1:18">
      <c r="A46" s="138"/>
      <c r="B46" s="109"/>
      <c r="C46" s="110"/>
      <c r="D46" s="122"/>
      <c r="E46" s="122"/>
      <c r="F46" s="122"/>
      <c r="G46" s="139"/>
      <c r="H46" s="124"/>
      <c r="I46" s="124"/>
      <c r="J46" s="124"/>
      <c r="K46" s="124"/>
      <c r="L46" s="82"/>
      <c r="M46" s="82"/>
      <c r="N46" s="82"/>
      <c r="O46" s="82"/>
      <c r="P46" s="82"/>
      <c r="Q46" s="83"/>
      <c r="R46" s="83"/>
    </row>
    <row r="47" spans="1:18">
      <c r="A47" s="138"/>
      <c r="B47" s="109"/>
      <c r="C47" s="110"/>
      <c r="D47" s="122"/>
      <c r="E47" s="122"/>
      <c r="F47" s="122"/>
      <c r="G47" s="139"/>
      <c r="H47" s="124"/>
      <c r="I47" s="124"/>
      <c r="J47" s="124"/>
      <c r="K47" s="124"/>
      <c r="L47" s="82"/>
      <c r="M47" s="82"/>
      <c r="N47" s="82"/>
      <c r="O47" s="82"/>
      <c r="P47" s="82"/>
      <c r="Q47" s="83"/>
      <c r="R47" s="83"/>
    </row>
    <row r="48" spans="1:18">
      <c r="A48" s="138"/>
      <c r="B48" s="109"/>
      <c r="C48" s="110"/>
      <c r="D48" s="122"/>
      <c r="E48" s="122"/>
      <c r="F48" s="122"/>
      <c r="G48" s="139"/>
      <c r="H48" s="124"/>
      <c r="I48" s="124"/>
      <c r="J48" s="124"/>
      <c r="K48" s="124"/>
      <c r="L48" s="82"/>
      <c r="M48" s="82"/>
      <c r="N48" s="82"/>
      <c r="O48" s="82"/>
      <c r="P48" s="82"/>
      <c r="Q48" s="83"/>
      <c r="R48" s="83"/>
    </row>
    <row r="49" spans="1:18">
      <c r="A49" s="138"/>
      <c r="B49" s="109"/>
      <c r="C49" s="110"/>
      <c r="D49" s="122"/>
      <c r="E49" s="122"/>
      <c r="F49" s="122"/>
      <c r="G49" s="139"/>
      <c r="H49" s="124"/>
      <c r="I49" s="124"/>
      <c r="J49" s="124"/>
      <c r="K49" s="124"/>
      <c r="L49" s="82"/>
      <c r="M49" s="82"/>
      <c r="N49" s="82"/>
      <c r="O49" s="82"/>
      <c r="P49" s="82"/>
      <c r="Q49" s="83"/>
      <c r="R49" s="83"/>
    </row>
    <row r="50" spans="1:18" ht="13.8" thickBot="1">
      <c r="A50" s="138"/>
      <c r="B50" s="109"/>
      <c r="C50" s="110"/>
      <c r="D50" s="122"/>
      <c r="E50" s="122"/>
      <c r="F50" s="122"/>
      <c r="G50" s="139"/>
      <c r="H50" s="124"/>
      <c r="I50" s="124"/>
      <c r="J50" s="124"/>
      <c r="K50" s="124"/>
      <c r="L50" s="82"/>
      <c r="M50" s="82"/>
      <c r="N50" s="82"/>
      <c r="O50" s="82"/>
      <c r="P50" s="82"/>
      <c r="Q50" s="83"/>
      <c r="R50" s="83"/>
    </row>
    <row r="51" spans="1:18" ht="13.8" thickBot="1">
      <c r="A51" s="216" t="s">
        <v>0</v>
      </c>
      <c r="B51" s="218" t="s">
        <v>69</v>
      </c>
      <c r="C51" s="218"/>
      <c r="D51" s="218"/>
      <c r="E51" s="219"/>
      <c r="F51" s="218"/>
      <c r="G51" s="220" t="s">
        <v>70</v>
      </c>
      <c r="H51" s="221"/>
      <c r="I51" s="221"/>
      <c r="J51" s="222"/>
      <c r="K51" s="220" t="s">
        <v>71</v>
      </c>
      <c r="L51" s="221"/>
      <c r="M51" s="221"/>
      <c r="N51" s="222"/>
      <c r="O51" s="223" t="s">
        <v>6</v>
      </c>
      <c r="P51" s="225" t="s">
        <v>56</v>
      </c>
      <c r="Q51" s="226"/>
      <c r="R51" s="82"/>
    </row>
    <row r="52" spans="1:18" ht="16.2" thickBot="1">
      <c r="A52" s="217"/>
      <c r="B52" s="84" t="s">
        <v>1</v>
      </c>
      <c r="C52" s="85" t="s">
        <v>2</v>
      </c>
      <c r="D52" s="85" t="s">
        <v>3</v>
      </c>
      <c r="E52" s="86" t="s">
        <v>57</v>
      </c>
      <c r="F52" s="85" t="s">
        <v>58</v>
      </c>
      <c r="G52" s="87" t="s">
        <v>60</v>
      </c>
      <c r="H52" s="88" t="s">
        <v>3</v>
      </c>
      <c r="I52" s="88" t="s">
        <v>72</v>
      </c>
      <c r="J52" s="86" t="s">
        <v>59</v>
      </c>
      <c r="K52" s="85" t="s">
        <v>73</v>
      </c>
      <c r="L52" s="85" t="s">
        <v>74</v>
      </c>
      <c r="M52" s="85" t="s">
        <v>75</v>
      </c>
      <c r="N52" s="85" t="s">
        <v>76</v>
      </c>
      <c r="O52" s="224"/>
      <c r="P52" s="89" t="s">
        <v>61</v>
      </c>
      <c r="Q52" s="89" t="s">
        <v>62</v>
      </c>
      <c r="R52" s="90" t="s">
        <v>77</v>
      </c>
    </row>
    <row r="53" spans="1:18" ht="13.8" thickBot="1">
      <c r="A53" s="140">
        <v>15</v>
      </c>
      <c r="B53" s="93">
        <f>EXP(4.04764-8.75819/A53^0.56087)+1.19874*(1-EXP(-0.081*A53))^2.99578*($B$5-17.38)</f>
        <v>9.5085291059454633</v>
      </c>
      <c r="C53" s="141">
        <f>$B$6</f>
        <v>2200</v>
      </c>
      <c r="D53" s="142"/>
      <c r="E53" s="94"/>
      <c r="F53" s="147"/>
      <c r="G53" s="148"/>
      <c r="H53" s="94"/>
      <c r="I53" s="142"/>
      <c r="J53" s="94"/>
      <c r="K53" s="144"/>
      <c r="L53" s="94"/>
      <c r="M53" s="142"/>
      <c r="N53" s="94"/>
      <c r="O53" s="97"/>
      <c r="P53" s="90"/>
      <c r="Q53" s="98"/>
      <c r="R53" s="90"/>
    </row>
    <row r="54" spans="1:18">
      <c r="A54" s="99">
        <v>15</v>
      </c>
      <c r="B54" s="149">
        <f>EXP(4.04764-8.75819/A54^0.56087)+1.19874*(1-EXP(-0.081*A54))^2.99578*($B$5-17.38)</f>
        <v>9.5085291059454633</v>
      </c>
      <c r="C54" s="145">
        <f>IF(A54&lt;=$D$8,100^2/($B$4^2*B54^2),C53)</f>
        <v>2090.8248228660891</v>
      </c>
      <c r="D54" s="150">
        <f>(-7.5886+0.6547*B54+0.3669*A54+299.909*(1/SQRT(C54))-0.003528*A54^2)</f>
        <v>9.9052289536229896</v>
      </c>
      <c r="E54" s="101"/>
      <c r="F54" s="151"/>
      <c r="G54" s="100"/>
      <c r="H54" s="103"/>
      <c r="I54" s="101"/>
      <c r="J54" s="101"/>
      <c r="K54" s="104"/>
      <c r="L54" s="101"/>
      <c r="M54" s="101"/>
      <c r="N54" s="101"/>
      <c r="O54" s="105"/>
      <c r="P54" s="106"/>
      <c r="Q54" s="107"/>
      <c r="R54" s="82"/>
    </row>
    <row r="55" spans="1:18">
      <c r="A55" s="108">
        <f>A54+pdesb</f>
        <v>20</v>
      </c>
      <c r="B55" s="152">
        <f t="shared" ref="B55:B66" si="5">EXP(4.04764-8.75819/A55^0.56087)+1.19874*(1-EXP(-0.081*A55))^2.99578*($B$5-17.38)</f>
        <v>12.819794801507502</v>
      </c>
      <c r="C55" s="145">
        <f t="shared" ref="C55:C66" si="6">IF(A55&lt;=$D$8,100^2/($B$4^2*B55^2),C54)</f>
        <v>1150.22335197803</v>
      </c>
      <c r="D55" s="153">
        <f>(-7.5886+0.6547*B55+0.3669*A55+299.909*(1/SQRT(C55))-0.003528*A55^2)</f>
        <v>15.574294886535185</v>
      </c>
      <c r="E55" s="111"/>
      <c r="F55" s="154"/>
      <c r="G55" s="110"/>
      <c r="H55" s="113"/>
      <c r="I55" s="111"/>
      <c r="J55" s="111"/>
      <c r="K55" s="114"/>
      <c r="L55" s="111"/>
      <c r="M55" s="111"/>
      <c r="N55" s="111"/>
      <c r="O55" s="115"/>
      <c r="P55" s="116"/>
      <c r="Q55" s="117"/>
      <c r="R55" s="82"/>
    </row>
    <row r="56" spans="1:18">
      <c r="A56" s="108">
        <f t="shared" ref="A56:A64" si="7">A55+pdesb</f>
        <v>25</v>
      </c>
      <c r="B56" s="152">
        <f t="shared" si="5"/>
        <v>15.622678395248585</v>
      </c>
      <c r="C56" s="145">
        <f t="shared" si="6"/>
        <v>774.52125913905991</v>
      </c>
      <c r="D56" s="153">
        <f t="shared" ref="D56:D66" si="8">(-7.5886+0.6547*B56+0.3669*A56+299.909*(1/SQRT(C56))-0.003528*A56^2)</f>
        <v>20.383445811502646</v>
      </c>
      <c r="E56" s="111"/>
      <c r="F56" s="154"/>
      <c r="G56" s="110"/>
      <c r="H56" s="113"/>
      <c r="I56" s="111"/>
      <c r="J56" s="111"/>
      <c r="K56" s="114"/>
      <c r="L56" s="111"/>
      <c r="M56" s="111"/>
      <c r="N56" s="111"/>
      <c r="O56" s="115"/>
      <c r="P56" s="116"/>
      <c r="Q56" s="117"/>
      <c r="R56" s="82"/>
    </row>
    <row r="57" spans="1:18">
      <c r="A57" s="108">
        <f t="shared" si="7"/>
        <v>30</v>
      </c>
      <c r="B57" s="152">
        <f t="shared" si="5"/>
        <v>17.988868326662203</v>
      </c>
      <c r="C57" s="145">
        <f t="shared" si="6"/>
        <v>584.16649215451025</v>
      </c>
      <c r="D57" s="153">
        <f t="shared" si="8"/>
        <v>24.429066168721892</v>
      </c>
      <c r="E57" s="111"/>
      <c r="F57" s="154"/>
      <c r="G57" s="110"/>
      <c r="H57" s="113"/>
      <c r="I57" s="111"/>
      <c r="J57" s="111"/>
      <c r="K57" s="114"/>
      <c r="L57" s="111"/>
      <c r="M57" s="111"/>
      <c r="N57" s="111"/>
      <c r="O57" s="115"/>
      <c r="P57" s="116"/>
      <c r="Q57" s="117"/>
      <c r="R57" s="82"/>
    </row>
    <row r="58" spans="1:18">
      <c r="A58" s="108">
        <f t="shared" si="7"/>
        <v>35</v>
      </c>
      <c r="B58" s="152">
        <f t="shared" si="5"/>
        <v>19.99996006609496</v>
      </c>
      <c r="C58" s="145">
        <f t="shared" si="6"/>
        <v>472.59167930173169</v>
      </c>
      <c r="D58" s="153">
        <f t="shared" si="8"/>
        <v>27.820860309236064</v>
      </c>
      <c r="E58" s="111"/>
      <c r="F58" s="154"/>
      <c r="G58" s="110"/>
      <c r="H58" s="113"/>
      <c r="I58" s="111"/>
      <c r="J58" s="111"/>
      <c r="K58" s="114"/>
      <c r="L58" s="111"/>
      <c r="M58" s="111"/>
      <c r="N58" s="111"/>
      <c r="O58" s="115"/>
      <c r="P58" s="116"/>
      <c r="Q58" s="117"/>
      <c r="R58" s="82"/>
    </row>
    <row r="59" spans="1:18">
      <c r="A59" s="108">
        <f t="shared" si="7"/>
        <v>40</v>
      </c>
      <c r="B59" s="152">
        <f t="shared" si="5"/>
        <v>21.727922598897567</v>
      </c>
      <c r="C59" s="145">
        <f t="shared" si="6"/>
        <v>400.41276754306455</v>
      </c>
      <c r="D59" s="153">
        <f t="shared" si="8"/>
        <v>30.655589864537607</v>
      </c>
      <c r="E59" s="111"/>
      <c r="F59" s="154"/>
      <c r="G59" s="110"/>
      <c r="H59" s="113"/>
      <c r="I59" s="111"/>
      <c r="J59" s="111"/>
      <c r="K59" s="114"/>
      <c r="L59" s="111"/>
      <c r="M59" s="111"/>
      <c r="N59" s="111"/>
      <c r="O59" s="115"/>
      <c r="P59" s="116"/>
      <c r="Q59" s="117"/>
      <c r="R59" s="82"/>
    </row>
    <row r="60" spans="1:18">
      <c r="A60" s="108">
        <f t="shared" si="7"/>
        <v>45</v>
      </c>
      <c r="B60" s="152">
        <f t="shared" si="5"/>
        <v>23.230832101091192</v>
      </c>
      <c r="C60" s="145">
        <f t="shared" si="6"/>
        <v>350.27956037925168</v>
      </c>
      <c r="D60" s="153">
        <f t="shared" si="8"/>
        <v>33.01133771317857</v>
      </c>
      <c r="E60" s="111"/>
      <c r="F60" s="154"/>
      <c r="G60" s="110"/>
      <c r="H60" s="113"/>
      <c r="I60" s="111"/>
      <c r="J60" s="111"/>
      <c r="K60" s="114"/>
      <c r="L60" s="111"/>
      <c r="M60" s="111"/>
      <c r="N60" s="111"/>
      <c r="O60" s="115"/>
      <c r="P60" s="116"/>
      <c r="Q60" s="117"/>
      <c r="R60" s="82"/>
    </row>
    <row r="61" spans="1:18">
      <c r="A61" s="108">
        <f t="shared" si="7"/>
        <v>50</v>
      </c>
      <c r="B61" s="152">
        <f t="shared" si="5"/>
        <v>24.553801733943406</v>
      </c>
      <c r="C61" s="145">
        <f t="shared" si="6"/>
        <v>313.55002415670174</v>
      </c>
      <c r="D61" s="153">
        <f t="shared" si="8"/>
        <v>34.94875808093078</v>
      </c>
      <c r="E61" s="111"/>
      <c r="F61" s="154"/>
      <c r="G61" s="110"/>
      <c r="H61" s="113"/>
      <c r="I61" s="111"/>
      <c r="J61" s="111"/>
      <c r="K61" s="114"/>
      <c r="L61" s="111"/>
      <c r="M61" s="111"/>
      <c r="N61" s="111"/>
      <c r="O61" s="115"/>
      <c r="P61" s="116"/>
      <c r="Q61" s="117"/>
      <c r="R61" s="82"/>
    </row>
    <row r="62" spans="1:18">
      <c r="A62" s="108">
        <f t="shared" si="7"/>
        <v>55</v>
      </c>
      <c r="B62" s="152">
        <f t="shared" si="5"/>
        <v>25.731357111216642</v>
      </c>
      <c r="C62" s="145">
        <f t="shared" si="6"/>
        <v>285.50843509740042</v>
      </c>
      <c r="D62" s="153">
        <f t="shared" si="8"/>
        <v>36.514270334409645</v>
      </c>
      <c r="E62" s="111"/>
      <c r="F62" s="154"/>
      <c r="G62" s="110"/>
      <c r="H62" s="113"/>
      <c r="I62" s="111"/>
      <c r="J62" s="111"/>
      <c r="K62" s="114"/>
      <c r="L62" s="111"/>
      <c r="M62" s="111"/>
      <c r="N62" s="111"/>
      <c r="O62" s="115"/>
      <c r="P62" s="116"/>
      <c r="Q62" s="117"/>
      <c r="R62" s="82"/>
    </row>
    <row r="63" spans="1:18">
      <c r="A63" s="108">
        <f t="shared" si="7"/>
        <v>60</v>
      </c>
      <c r="B63" s="152">
        <f t="shared" si="5"/>
        <v>26.789862111400492</v>
      </c>
      <c r="C63" s="145">
        <f t="shared" si="6"/>
        <v>263.39247996712578</v>
      </c>
      <c r="D63" s="153">
        <f t="shared" si="8"/>
        <v>37.743320463060329</v>
      </c>
      <c r="E63" s="111"/>
      <c r="F63" s="154"/>
      <c r="G63" s="110"/>
      <c r="H63" s="113"/>
      <c r="I63" s="111"/>
      <c r="J63" s="111"/>
      <c r="K63" s="114"/>
      <c r="L63" s="111"/>
      <c r="M63" s="111"/>
      <c r="N63" s="111"/>
      <c r="O63" s="115"/>
      <c r="P63" s="116"/>
      <c r="Q63" s="117"/>
      <c r="R63" s="82"/>
    </row>
    <row r="64" spans="1:18">
      <c r="A64" s="108">
        <f t="shared" si="7"/>
        <v>65</v>
      </c>
      <c r="B64" s="152">
        <f t="shared" si="5"/>
        <v>27.749553664181299</v>
      </c>
      <c r="C64" s="145">
        <f t="shared" si="6"/>
        <v>245.48916217051769</v>
      </c>
      <c r="D64" s="153">
        <f t="shared" si="8"/>
        <v>38.663116830642679</v>
      </c>
      <c r="E64" s="111"/>
      <c r="F64" s="154"/>
      <c r="G64" s="110"/>
      <c r="H64" s="113"/>
      <c r="I64" s="111"/>
      <c r="J64" s="111"/>
      <c r="K64" s="114"/>
      <c r="L64" s="111"/>
      <c r="M64" s="111"/>
      <c r="N64" s="111"/>
      <c r="O64" s="115"/>
      <c r="P64" s="116"/>
      <c r="Q64" s="117"/>
      <c r="R64" s="82"/>
    </row>
    <row r="65" spans="1:18">
      <c r="A65" s="108">
        <v>70</v>
      </c>
      <c r="B65" s="152">
        <f t="shared" si="5"/>
        <v>28.626116569254211</v>
      </c>
      <c r="C65" s="146">
        <f t="shared" si="6"/>
        <v>245.48916217051769</v>
      </c>
      <c r="D65" s="153">
        <f t="shared" si="8"/>
        <v>38.690102564593914</v>
      </c>
      <c r="E65" s="122"/>
      <c r="F65" s="155"/>
      <c r="G65" s="139"/>
      <c r="H65" s="124"/>
      <c r="I65" s="124"/>
      <c r="J65" s="124"/>
      <c r="K65" s="125"/>
      <c r="L65" s="82"/>
      <c r="M65" s="82"/>
      <c r="N65" s="82"/>
      <c r="O65" s="126"/>
      <c r="P65" s="82"/>
      <c r="Q65" s="127"/>
      <c r="R65" s="83"/>
    </row>
    <row r="66" spans="1:18" ht="13.8" thickBot="1">
      <c r="A66" s="128">
        <v>75</v>
      </c>
      <c r="B66" s="156">
        <f t="shared" si="5"/>
        <v>29.431856571860372</v>
      </c>
      <c r="C66" s="146">
        <f t="shared" si="6"/>
        <v>245.48916217051769</v>
      </c>
      <c r="D66" s="157">
        <f t="shared" si="8"/>
        <v>38.494320544300166</v>
      </c>
      <c r="E66" s="131"/>
      <c r="F66" s="158"/>
      <c r="G66" s="159"/>
      <c r="H66" s="133"/>
      <c r="I66" s="133"/>
      <c r="J66" s="133"/>
      <c r="K66" s="134"/>
      <c r="L66" s="135"/>
      <c r="M66" s="135"/>
      <c r="N66" s="135"/>
      <c r="O66" s="136"/>
      <c r="P66" s="135"/>
      <c r="Q66" s="137"/>
      <c r="R66" s="83"/>
    </row>
    <row r="67" spans="1:18">
      <c r="A67" s="138"/>
      <c r="B67" s="109"/>
      <c r="C67" s="110"/>
      <c r="D67" s="153"/>
      <c r="E67" s="122"/>
      <c r="F67" s="122"/>
      <c r="G67" s="139"/>
      <c r="H67" s="124"/>
      <c r="I67" s="124"/>
      <c r="J67" s="124"/>
      <c r="K67" s="124"/>
      <c r="L67" s="82"/>
      <c r="M67" s="82"/>
      <c r="N67" s="82"/>
      <c r="O67" s="82"/>
      <c r="P67" s="82"/>
      <c r="Q67" s="83"/>
      <c r="R67" s="83"/>
    </row>
    <row r="68" spans="1:18">
      <c r="A68" s="138"/>
      <c r="B68" s="109"/>
      <c r="C68" s="110"/>
      <c r="D68" s="153"/>
      <c r="E68" s="122"/>
      <c r="F68" s="122"/>
      <c r="G68" s="139"/>
      <c r="H68" s="124"/>
      <c r="I68" s="124"/>
      <c r="J68" s="124"/>
      <c r="K68" s="124"/>
      <c r="L68" s="82"/>
      <c r="M68" s="82"/>
      <c r="N68" s="82"/>
      <c r="O68" s="82"/>
      <c r="P68" s="82"/>
      <c r="Q68" s="83"/>
      <c r="R68" s="83"/>
    </row>
    <row r="69" spans="1:18" s="67" customFormat="1">
      <c r="A69" s="138"/>
      <c r="B69" s="109"/>
      <c r="C69" s="110"/>
      <c r="D69" s="153"/>
      <c r="E69" s="122"/>
      <c r="F69" s="122"/>
      <c r="G69" s="139"/>
      <c r="H69" s="124"/>
      <c r="I69" s="124"/>
      <c r="J69" s="124"/>
      <c r="K69" s="124"/>
      <c r="L69" s="82"/>
      <c r="M69" s="82"/>
      <c r="N69" s="82"/>
      <c r="O69" s="82"/>
      <c r="P69" s="82"/>
      <c r="Q69" s="83"/>
      <c r="R69" s="83"/>
    </row>
    <row r="70" spans="1:18" ht="13.8" thickBot="1">
      <c r="A70" s="138"/>
      <c r="B70" s="109"/>
      <c r="C70" s="110"/>
      <c r="D70" s="122"/>
      <c r="E70" s="122"/>
      <c r="F70" s="122"/>
      <c r="G70" s="139"/>
      <c r="H70" s="124"/>
      <c r="I70" s="124"/>
      <c r="J70" s="124"/>
      <c r="K70" s="124"/>
      <c r="L70" s="82"/>
      <c r="M70" s="82"/>
      <c r="N70" s="82"/>
      <c r="O70" s="82"/>
      <c r="P70" s="82"/>
      <c r="Q70" s="83"/>
      <c r="R70" s="83"/>
    </row>
    <row r="71" spans="1:18" ht="13.8" thickBot="1">
      <c r="A71" s="216" t="s">
        <v>0</v>
      </c>
      <c r="B71" s="218" t="s">
        <v>69</v>
      </c>
      <c r="C71" s="218"/>
      <c r="D71" s="218"/>
      <c r="E71" s="219"/>
      <c r="F71" s="218"/>
      <c r="G71" s="220" t="s">
        <v>70</v>
      </c>
      <c r="H71" s="221"/>
      <c r="I71" s="221"/>
      <c r="J71" s="222"/>
      <c r="K71" s="220" t="s">
        <v>71</v>
      </c>
      <c r="L71" s="221"/>
      <c r="M71" s="221"/>
      <c r="N71" s="222"/>
      <c r="O71" s="223" t="s">
        <v>6</v>
      </c>
      <c r="P71" s="225" t="s">
        <v>56</v>
      </c>
      <c r="Q71" s="226"/>
      <c r="R71" s="82"/>
    </row>
    <row r="72" spans="1:18" ht="16.2" thickBot="1">
      <c r="A72" s="217"/>
      <c r="B72" s="84" t="s">
        <v>1</v>
      </c>
      <c r="C72" s="85" t="s">
        <v>2</v>
      </c>
      <c r="D72" s="85" t="s">
        <v>3</v>
      </c>
      <c r="E72" s="86" t="s">
        <v>57</v>
      </c>
      <c r="F72" s="85" t="s">
        <v>58</v>
      </c>
      <c r="G72" s="87" t="s">
        <v>60</v>
      </c>
      <c r="H72" s="88" t="s">
        <v>3</v>
      </c>
      <c r="I72" s="88" t="s">
        <v>72</v>
      </c>
      <c r="J72" s="86" t="s">
        <v>59</v>
      </c>
      <c r="K72" s="85" t="s">
        <v>73</v>
      </c>
      <c r="L72" s="85" t="s">
        <v>74</v>
      </c>
      <c r="M72" s="85" t="s">
        <v>75</v>
      </c>
      <c r="N72" s="85" t="s">
        <v>76</v>
      </c>
      <c r="O72" s="224"/>
      <c r="P72" s="89" t="s">
        <v>61</v>
      </c>
      <c r="Q72" s="89" t="s">
        <v>62</v>
      </c>
      <c r="R72" s="90" t="s">
        <v>77</v>
      </c>
    </row>
    <row r="73" spans="1:18" ht="13.8" thickBot="1">
      <c r="A73" s="140">
        <v>15</v>
      </c>
      <c r="B73" s="93">
        <f>EXP(4.04764-8.75819/A73^0.56087)+1.19874*(1-EXP(-0.081*A73))^2.99578*($B$5-17.38)</f>
        <v>9.5085291059454633</v>
      </c>
      <c r="C73" s="141">
        <f>$B$6</f>
        <v>2200</v>
      </c>
      <c r="D73" s="142"/>
      <c r="E73" s="94"/>
      <c r="F73" s="147"/>
      <c r="G73" s="90"/>
      <c r="H73" s="94"/>
      <c r="I73" s="94"/>
      <c r="J73" s="94"/>
      <c r="K73" s="144"/>
      <c r="L73" s="142"/>
      <c r="M73" s="142"/>
      <c r="N73" s="142"/>
      <c r="O73" s="97"/>
      <c r="P73" s="148"/>
      <c r="Q73" s="160"/>
      <c r="R73" s="90"/>
    </row>
    <row r="74" spans="1:18">
      <c r="A74" s="161">
        <v>15</v>
      </c>
      <c r="B74" s="149">
        <f>EXP(4.04764-8.75819/A74^0.56087)+1.19874*(1-EXP(-0.081*A74))^2.99578*($B$5-17.38)</f>
        <v>9.5085291059454633</v>
      </c>
      <c r="C74" s="145">
        <f>IF(A74&lt;=$D$8,100^2/($B$4^2*B74^2),C73)</f>
        <v>2090.8248228660891</v>
      </c>
      <c r="D74" s="150">
        <f>(-7.5886+0.6547*B74+0.3669*A74+299.909*(1/SQRT(C74))-0.003528*A74^2)</f>
        <v>9.9052289536229896</v>
      </c>
      <c r="E74" s="162">
        <f>(PI()/4*(D74/100)^2)*C74</f>
        <v>16.111521893899372</v>
      </c>
      <c r="F74" s="151"/>
      <c r="G74" s="100"/>
      <c r="H74" s="103"/>
      <c r="I74" s="101"/>
      <c r="J74" s="101"/>
      <c r="K74" s="104"/>
      <c r="L74" s="101"/>
      <c r="M74" s="101"/>
      <c r="N74" s="101"/>
      <c r="O74" s="105"/>
      <c r="P74" s="106"/>
      <c r="Q74" s="107"/>
      <c r="R74" s="82"/>
    </row>
    <row r="75" spans="1:18">
      <c r="A75" s="163">
        <f>A74+pdesb</f>
        <v>20</v>
      </c>
      <c r="B75" s="152">
        <f t="shared" ref="B75:B86" si="9">EXP(4.04764-8.75819/A75^0.56087)+1.19874*(1-EXP(-0.081*A75))^2.99578*($B$5-17.38)</f>
        <v>12.819794801507502</v>
      </c>
      <c r="C75" s="145">
        <f t="shared" ref="C75:C86" si="10">IF(A75&lt;=$D$8,100^2/($B$4^2*B75^2),C74)</f>
        <v>1150.22335197803</v>
      </c>
      <c r="D75" s="153">
        <f t="shared" ref="D75:D86" si="11">(-7.5886+0.6547*B75+0.3669*A75+299.909*(1/SQRT(C75))-0.003528*A75^2)</f>
        <v>15.574294886535185</v>
      </c>
      <c r="E75" s="164">
        <f t="shared" ref="E75:E86" si="12">(PI()/4*(D75/100)^2)*C75</f>
        <v>21.912344578448636</v>
      </c>
      <c r="F75" s="154"/>
      <c r="G75" s="110"/>
      <c r="H75" s="113"/>
      <c r="I75" s="111"/>
      <c r="J75" s="111"/>
      <c r="K75" s="114"/>
      <c r="L75" s="111"/>
      <c r="M75" s="111"/>
      <c r="N75" s="111"/>
      <c r="O75" s="115"/>
      <c r="P75" s="116"/>
      <c r="Q75" s="117"/>
      <c r="R75" s="82"/>
    </row>
    <row r="76" spans="1:18">
      <c r="A76" s="163">
        <f t="shared" ref="A76:A84" si="13">A75+pdesb</f>
        <v>25</v>
      </c>
      <c r="B76" s="152">
        <f t="shared" si="9"/>
        <v>15.622678395248585</v>
      </c>
      <c r="C76" s="145">
        <f t="shared" si="10"/>
        <v>774.52125913905991</v>
      </c>
      <c r="D76" s="153">
        <f t="shared" si="11"/>
        <v>20.383445811502646</v>
      </c>
      <c r="E76" s="164">
        <f t="shared" si="12"/>
        <v>25.274258931963477</v>
      </c>
      <c r="F76" s="154"/>
      <c r="G76" s="110"/>
      <c r="H76" s="113"/>
      <c r="I76" s="111"/>
      <c r="J76" s="111"/>
      <c r="K76" s="114"/>
      <c r="L76" s="111"/>
      <c r="M76" s="111"/>
      <c r="N76" s="111"/>
      <c r="O76" s="115"/>
      <c r="P76" s="116"/>
      <c r="Q76" s="117"/>
      <c r="R76" s="82"/>
    </row>
    <row r="77" spans="1:18">
      <c r="A77" s="163">
        <f t="shared" si="13"/>
        <v>30</v>
      </c>
      <c r="B77" s="152">
        <f t="shared" si="9"/>
        <v>17.988868326662203</v>
      </c>
      <c r="C77" s="145">
        <f t="shared" si="10"/>
        <v>584.16649215451025</v>
      </c>
      <c r="D77" s="153">
        <f t="shared" si="11"/>
        <v>24.429066168721892</v>
      </c>
      <c r="E77" s="164">
        <f t="shared" si="12"/>
        <v>27.380429429173205</v>
      </c>
      <c r="F77" s="154"/>
      <c r="G77" s="110"/>
      <c r="H77" s="113"/>
      <c r="I77" s="111"/>
      <c r="J77" s="111"/>
      <c r="K77" s="114"/>
      <c r="L77" s="111"/>
      <c r="M77" s="111"/>
      <c r="N77" s="111"/>
      <c r="O77" s="115"/>
      <c r="P77" s="116"/>
      <c r="Q77" s="117"/>
      <c r="R77" s="82"/>
    </row>
    <row r="78" spans="1:18">
      <c r="A78" s="163">
        <f t="shared" si="13"/>
        <v>35</v>
      </c>
      <c r="B78" s="152">
        <f t="shared" si="9"/>
        <v>19.99996006609496</v>
      </c>
      <c r="C78" s="145">
        <f t="shared" si="10"/>
        <v>472.59167930173169</v>
      </c>
      <c r="D78" s="153">
        <f t="shared" si="11"/>
        <v>27.820860309236064</v>
      </c>
      <c r="E78" s="164">
        <f t="shared" si="12"/>
        <v>28.728772061012613</v>
      </c>
      <c r="F78" s="154"/>
      <c r="G78" s="110"/>
      <c r="H78" s="113"/>
      <c r="I78" s="111"/>
      <c r="J78" s="111"/>
      <c r="K78" s="114"/>
      <c r="L78" s="111"/>
      <c r="M78" s="111"/>
      <c r="N78" s="111"/>
      <c r="O78" s="115"/>
      <c r="P78" s="116"/>
      <c r="Q78" s="117"/>
      <c r="R78" s="82"/>
    </row>
    <row r="79" spans="1:18">
      <c r="A79" s="163">
        <f t="shared" si="13"/>
        <v>40</v>
      </c>
      <c r="B79" s="152">
        <f t="shared" si="9"/>
        <v>21.727922598897567</v>
      </c>
      <c r="C79" s="145">
        <f t="shared" si="10"/>
        <v>400.41276754306455</v>
      </c>
      <c r="D79" s="153">
        <f t="shared" si="11"/>
        <v>30.655589864537607</v>
      </c>
      <c r="E79" s="164">
        <f t="shared" si="12"/>
        <v>29.554060121803456</v>
      </c>
      <c r="F79" s="154"/>
      <c r="G79" s="110"/>
      <c r="H79" s="113"/>
      <c r="I79" s="111"/>
      <c r="J79" s="111"/>
      <c r="K79" s="114"/>
      <c r="L79" s="111"/>
      <c r="M79" s="111"/>
      <c r="N79" s="111"/>
      <c r="O79" s="115"/>
      <c r="P79" s="116"/>
      <c r="Q79" s="117"/>
      <c r="R79" s="82"/>
    </row>
    <row r="80" spans="1:18">
      <c r="A80" s="163">
        <f t="shared" si="13"/>
        <v>45</v>
      </c>
      <c r="B80" s="152">
        <f t="shared" si="9"/>
        <v>23.230832101091192</v>
      </c>
      <c r="C80" s="145">
        <f t="shared" si="10"/>
        <v>350.27956037925168</v>
      </c>
      <c r="D80" s="153">
        <f t="shared" si="11"/>
        <v>33.01133771317857</v>
      </c>
      <c r="E80" s="164">
        <f t="shared" si="12"/>
        <v>29.979951394381878</v>
      </c>
      <c r="F80" s="154"/>
      <c r="G80" s="110"/>
      <c r="H80" s="113"/>
      <c r="I80" s="111"/>
      <c r="J80" s="111"/>
      <c r="K80" s="114"/>
      <c r="L80" s="111"/>
      <c r="M80" s="111"/>
      <c r="N80" s="111"/>
      <c r="O80" s="115"/>
      <c r="P80" s="116"/>
      <c r="Q80" s="117"/>
      <c r="R80" s="82"/>
    </row>
    <row r="81" spans="1:18">
      <c r="A81" s="163">
        <f t="shared" si="13"/>
        <v>50</v>
      </c>
      <c r="B81" s="152">
        <f t="shared" si="9"/>
        <v>24.553801733943406</v>
      </c>
      <c r="C81" s="145">
        <f t="shared" si="10"/>
        <v>313.55002415670174</v>
      </c>
      <c r="D81" s="153">
        <f t="shared" si="11"/>
        <v>34.94875808093078</v>
      </c>
      <c r="E81" s="164">
        <f t="shared" si="12"/>
        <v>30.078779843687929</v>
      </c>
      <c r="F81" s="154"/>
      <c r="G81" s="110"/>
      <c r="H81" s="113"/>
      <c r="I81" s="111"/>
      <c r="J81" s="111"/>
      <c r="K81" s="114"/>
      <c r="L81" s="111"/>
      <c r="M81" s="111"/>
      <c r="N81" s="111"/>
      <c r="O81" s="115"/>
      <c r="P81" s="116"/>
      <c r="Q81" s="117"/>
      <c r="R81" s="82"/>
    </row>
    <row r="82" spans="1:18">
      <c r="A82" s="163">
        <f t="shared" si="13"/>
        <v>55</v>
      </c>
      <c r="B82" s="152">
        <f t="shared" si="9"/>
        <v>25.731357111216642</v>
      </c>
      <c r="C82" s="145">
        <f t="shared" si="10"/>
        <v>285.50843509740042</v>
      </c>
      <c r="D82" s="153">
        <f t="shared" si="11"/>
        <v>36.514270334409645</v>
      </c>
      <c r="E82" s="164">
        <f t="shared" si="12"/>
        <v>29.897445169365728</v>
      </c>
      <c r="F82" s="154"/>
      <c r="G82" s="110"/>
      <c r="H82" s="113"/>
      <c r="I82" s="111"/>
      <c r="J82" s="111"/>
      <c r="K82" s="114"/>
      <c r="L82" s="111"/>
      <c r="M82" s="111"/>
      <c r="N82" s="111"/>
      <c r="O82" s="115"/>
      <c r="P82" s="116"/>
      <c r="Q82" s="117"/>
      <c r="R82" s="82"/>
    </row>
    <row r="83" spans="1:18">
      <c r="A83" s="163">
        <f t="shared" si="13"/>
        <v>60</v>
      </c>
      <c r="B83" s="152">
        <f t="shared" si="9"/>
        <v>26.789862111400492</v>
      </c>
      <c r="C83" s="145">
        <f t="shared" si="10"/>
        <v>263.39247996712578</v>
      </c>
      <c r="D83" s="153">
        <f t="shared" si="11"/>
        <v>37.743320463060329</v>
      </c>
      <c r="E83" s="164">
        <f t="shared" si="12"/>
        <v>29.469547119501851</v>
      </c>
      <c r="F83" s="154"/>
      <c r="G83" s="110"/>
      <c r="H83" s="113"/>
      <c r="I83" s="111"/>
      <c r="J83" s="111"/>
      <c r="K83" s="114"/>
      <c r="L83" s="111"/>
      <c r="M83" s="111"/>
      <c r="N83" s="111"/>
      <c r="O83" s="115"/>
      <c r="P83" s="116"/>
      <c r="Q83" s="117"/>
      <c r="R83" s="82"/>
    </row>
    <row r="84" spans="1:18">
      <c r="A84" s="163">
        <f t="shared" si="13"/>
        <v>65</v>
      </c>
      <c r="B84" s="152">
        <f t="shared" si="9"/>
        <v>27.749553664181299</v>
      </c>
      <c r="C84" s="145">
        <f t="shared" si="10"/>
        <v>245.48916217051769</v>
      </c>
      <c r="D84" s="153">
        <f t="shared" si="11"/>
        <v>38.663116830642679</v>
      </c>
      <c r="E84" s="164">
        <f>(PI()/4*(D84/100)^2)*C84</f>
        <v>28.821456793767251</v>
      </c>
      <c r="F84" s="154"/>
      <c r="G84" s="110"/>
      <c r="H84" s="113"/>
      <c r="I84" s="111"/>
      <c r="J84" s="111"/>
      <c r="K84" s="114"/>
      <c r="L84" s="111"/>
      <c r="M84" s="111"/>
      <c r="N84" s="111"/>
      <c r="O84" s="115"/>
      <c r="P84" s="116"/>
      <c r="Q84" s="117"/>
      <c r="R84" s="82"/>
    </row>
    <row r="85" spans="1:18">
      <c r="A85" s="163">
        <v>70</v>
      </c>
      <c r="B85" s="152">
        <f t="shared" si="9"/>
        <v>28.626116569254211</v>
      </c>
      <c r="C85" s="146">
        <f t="shared" si="10"/>
        <v>245.48916217051769</v>
      </c>
      <c r="D85" s="153">
        <f t="shared" si="11"/>
        <v>38.690102564593914</v>
      </c>
      <c r="E85" s="164">
        <f t="shared" si="12"/>
        <v>28.861703916022808</v>
      </c>
      <c r="F85" s="155"/>
      <c r="G85" s="139"/>
      <c r="H85" s="124"/>
      <c r="I85" s="124"/>
      <c r="J85" s="124"/>
      <c r="K85" s="125"/>
      <c r="L85" s="82"/>
      <c r="M85" s="82"/>
      <c r="N85" s="82"/>
      <c r="O85" s="126"/>
      <c r="P85" s="82"/>
      <c r="Q85" s="127"/>
      <c r="R85" s="83"/>
    </row>
    <row r="86" spans="1:18" ht="13.8" thickBot="1">
      <c r="A86" s="165">
        <v>75</v>
      </c>
      <c r="B86" s="156">
        <f t="shared" si="9"/>
        <v>29.431856571860372</v>
      </c>
      <c r="C86" s="146">
        <f t="shared" si="10"/>
        <v>245.48916217051769</v>
      </c>
      <c r="D86" s="157">
        <f t="shared" si="11"/>
        <v>38.494320544300166</v>
      </c>
      <c r="E86" s="166">
        <f t="shared" si="12"/>
        <v>28.570347441590304</v>
      </c>
      <c r="F86" s="158"/>
      <c r="G86" s="159"/>
      <c r="H86" s="133"/>
      <c r="I86" s="133"/>
      <c r="J86" s="133"/>
      <c r="K86" s="134"/>
      <c r="L86" s="135"/>
      <c r="M86" s="135"/>
      <c r="N86" s="135"/>
      <c r="O86" s="136"/>
      <c r="P86" s="135"/>
      <c r="Q86" s="137"/>
      <c r="R86" s="83"/>
    </row>
    <row r="87" spans="1:18" s="67" customFormat="1">
      <c r="A87" s="138"/>
      <c r="B87" s="109"/>
      <c r="C87" s="110"/>
      <c r="D87" s="153"/>
      <c r="E87" s="111"/>
      <c r="F87" s="122"/>
      <c r="G87" s="139"/>
      <c r="H87" s="124"/>
      <c r="I87" s="124"/>
      <c r="J87" s="124"/>
      <c r="K87" s="124"/>
      <c r="L87" s="82"/>
      <c r="M87" s="82"/>
      <c r="N87" s="82"/>
      <c r="O87" s="82"/>
      <c r="P87" s="82"/>
      <c r="Q87" s="83"/>
      <c r="R87" s="83"/>
    </row>
    <row r="88" spans="1:18" s="67" customFormat="1">
      <c r="A88" s="138"/>
      <c r="B88" s="109"/>
      <c r="C88" s="110"/>
      <c r="D88" s="153"/>
      <c r="E88" s="111"/>
      <c r="F88" s="122"/>
      <c r="G88" s="139"/>
      <c r="H88" s="124"/>
      <c r="I88" s="124"/>
      <c r="J88" s="124"/>
      <c r="K88" s="124"/>
      <c r="L88" s="82"/>
      <c r="M88" s="82"/>
      <c r="N88" s="82"/>
      <c r="O88" s="82"/>
      <c r="P88" s="82"/>
      <c r="Q88" s="83"/>
      <c r="R88" s="83"/>
    </row>
    <row r="89" spans="1:18" s="67" customFormat="1">
      <c r="A89" s="138"/>
      <c r="B89" s="109"/>
      <c r="C89" s="110"/>
      <c r="D89" s="153"/>
      <c r="E89" s="111"/>
      <c r="F89" s="122"/>
      <c r="G89" s="139"/>
      <c r="H89" s="124"/>
      <c r="I89" s="124"/>
      <c r="J89" s="124"/>
      <c r="K89" s="124"/>
      <c r="L89" s="82"/>
      <c r="M89" s="82"/>
      <c r="N89" s="82"/>
      <c r="O89" s="82"/>
      <c r="P89" s="82"/>
      <c r="Q89" s="83"/>
      <c r="R89" s="83"/>
    </row>
    <row r="90" spans="1:18" s="67" customFormat="1">
      <c r="A90" s="138"/>
      <c r="B90" s="109"/>
      <c r="C90" s="110"/>
      <c r="D90" s="153"/>
      <c r="E90" s="111"/>
      <c r="F90" s="122"/>
      <c r="G90" s="139"/>
      <c r="H90" s="124"/>
      <c r="I90" s="124"/>
      <c r="J90" s="124"/>
      <c r="K90" s="124"/>
      <c r="L90" s="82"/>
      <c r="M90" s="82"/>
      <c r="N90" s="82"/>
      <c r="O90" s="82"/>
      <c r="P90" s="82"/>
      <c r="Q90" s="83"/>
      <c r="R90" s="83"/>
    </row>
    <row r="91" spans="1:18" s="67" customFormat="1">
      <c r="A91" s="138"/>
      <c r="B91" s="109"/>
      <c r="C91" s="110"/>
      <c r="D91" s="153"/>
      <c r="E91" s="111"/>
      <c r="F91" s="122"/>
      <c r="G91" s="139"/>
      <c r="H91" s="124"/>
      <c r="I91" s="124"/>
      <c r="J91" s="124"/>
      <c r="K91" s="124"/>
      <c r="L91" s="82"/>
      <c r="M91" s="82"/>
      <c r="N91" s="82"/>
      <c r="O91" s="82"/>
      <c r="P91" s="82"/>
      <c r="Q91" s="83"/>
      <c r="R91" s="83"/>
    </row>
    <row r="92" spans="1:18" s="67" customFormat="1">
      <c r="A92" s="138"/>
      <c r="B92" s="109"/>
      <c r="C92" s="110"/>
      <c r="D92" s="153"/>
      <c r="E92" s="111"/>
      <c r="F92" s="122"/>
      <c r="G92" s="139"/>
      <c r="H92" s="124"/>
      <c r="I92" s="124"/>
      <c r="J92" s="124"/>
      <c r="K92" s="124"/>
      <c r="L92" s="82"/>
      <c r="M92" s="82"/>
      <c r="N92" s="82"/>
      <c r="O92" s="82"/>
      <c r="P92" s="82"/>
      <c r="Q92" s="83"/>
      <c r="R92" s="83"/>
    </row>
    <row r="93" spans="1:18" ht="15.75" customHeight="1">
      <c r="A93" s="138"/>
      <c r="B93" s="109"/>
      <c r="C93" s="110"/>
      <c r="D93" s="122"/>
      <c r="E93" s="122"/>
      <c r="F93" s="122"/>
      <c r="G93" s="139"/>
      <c r="H93" s="124"/>
      <c r="I93" s="124"/>
      <c r="J93" s="124"/>
      <c r="K93" s="124"/>
      <c r="L93" s="82"/>
      <c r="M93" s="82"/>
      <c r="N93" s="82"/>
      <c r="O93" s="82"/>
      <c r="P93" s="82"/>
      <c r="Q93" s="83"/>
      <c r="R93" s="83"/>
    </row>
    <row r="94" spans="1:18" ht="15.75" customHeight="1">
      <c r="A94" s="138"/>
      <c r="B94" s="109"/>
      <c r="C94" s="110"/>
      <c r="D94" s="122"/>
      <c r="E94" s="122"/>
      <c r="F94" s="122"/>
      <c r="G94" s="139"/>
      <c r="H94" s="124"/>
      <c r="I94" s="124"/>
      <c r="J94" s="124"/>
      <c r="K94" s="124"/>
      <c r="L94" s="82"/>
      <c r="M94" s="82"/>
      <c r="N94" s="82"/>
      <c r="O94" s="82"/>
      <c r="P94" s="82"/>
      <c r="Q94" s="83"/>
      <c r="R94" s="83"/>
    </row>
    <row r="95" spans="1:18" ht="15.75" customHeight="1" thickBot="1">
      <c r="A95" s="138"/>
      <c r="B95" s="109"/>
      <c r="C95" s="110"/>
      <c r="D95" s="122"/>
      <c r="E95" s="122"/>
      <c r="F95" s="122"/>
      <c r="G95" s="139"/>
      <c r="H95" s="124"/>
      <c r="I95" s="124"/>
      <c r="J95" s="124"/>
      <c r="K95" s="124"/>
      <c r="L95" s="82"/>
      <c r="M95" s="82"/>
      <c r="N95" s="82"/>
      <c r="O95" s="82"/>
      <c r="P95" s="82"/>
      <c r="Q95" s="83"/>
      <c r="R95" s="83"/>
    </row>
    <row r="96" spans="1:18" ht="13.8" thickBot="1">
      <c r="A96" s="216" t="s">
        <v>0</v>
      </c>
      <c r="B96" s="218" t="s">
        <v>69</v>
      </c>
      <c r="C96" s="218"/>
      <c r="D96" s="218"/>
      <c r="E96" s="219"/>
      <c r="F96" s="218"/>
      <c r="G96" s="220" t="s">
        <v>70</v>
      </c>
      <c r="H96" s="221"/>
      <c r="I96" s="221"/>
      <c r="J96" s="222"/>
      <c r="K96" s="220" t="s">
        <v>71</v>
      </c>
      <c r="L96" s="221"/>
      <c r="M96" s="221"/>
      <c r="N96" s="222"/>
      <c r="O96" s="223" t="s">
        <v>6</v>
      </c>
      <c r="P96" s="225" t="s">
        <v>56</v>
      </c>
      <c r="Q96" s="226"/>
      <c r="R96" s="82"/>
    </row>
    <row r="97" spans="1:18" ht="16.2" thickBot="1">
      <c r="A97" s="217"/>
      <c r="B97" s="84" t="s">
        <v>1</v>
      </c>
      <c r="C97" s="85" t="s">
        <v>2</v>
      </c>
      <c r="D97" s="85" t="s">
        <v>3</v>
      </c>
      <c r="E97" s="86" t="s">
        <v>57</v>
      </c>
      <c r="F97" s="85" t="s">
        <v>58</v>
      </c>
      <c r="G97" s="87" t="s">
        <v>60</v>
      </c>
      <c r="H97" s="88" t="s">
        <v>3</v>
      </c>
      <c r="I97" s="88" t="s">
        <v>72</v>
      </c>
      <c r="J97" s="86" t="s">
        <v>59</v>
      </c>
      <c r="K97" s="85" t="s">
        <v>73</v>
      </c>
      <c r="L97" s="85" t="s">
        <v>74</v>
      </c>
      <c r="M97" s="85" t="s">
        <v>75</v>
      </c>
      <c r="N97" s="85" t="s">
        <v>76</v>
      </c>
      <c r="O97" s="224"/>
      <c r="P97" s="89" t="s">
        <v>61</v>
      </c>
      <c r="Q97" s="89" t="s">
        <v>62</v>
      </c>
      <c r="R97" s="90" t="s">
        <v>77</v>
      </c>
    </row>
    <row r="98" spans="1:18" ht="13.8" thickBot="1">
      <c r="A98" s="140">
        <v>15</v>
      </c>
      <c r="B98" s="93">
        <f>EXP(4.04764-8.75819/A98^0.56087)+1.19874*(1-EXP(-0.081*A98))^2.99578*($B$5-17.38)</f>
        <v>9.5085291059454633</v>
      </c>
      <c r="C98" s="141">
        <f>$B$6</f>
        <v>2200</v>
      </c>
      <c r="D98" s="142"/>
      <c r="E98" s="94"/>
      <c r="F98" s="147"/>
      <c r="G98" s="90"/>
      <c r="H98" s="94"/>
      <c r="I98" s="94"/>
      <c r="J98" s="94"/>
      <c r="K98" s="144"/>
      <c r="L98" s="142"/>
      <c r="M98" s="142"/>
      <c r="N98" s="142"/>
      <c r="O98" s="97"/>
      <c r="P98" s="148"/>
      <c r="Q98" s="160"/>
      <c r="R98" s="90"/>
    </row>
    <row r="99" spans="1:18">
      <c r="A99" s="161">
        <v>15</v>
      </c>
      <c r="B99" s="149">
        <f>EXP(4.04764-8.75819/A99^0.56087)+1.19874*(1-EXP(-0.081*A99))^2.99578*($B$5-17.38)</f>
        <v>9.5085291059454633</v>
      </c>
      <c r="C99" s="145">
        <f>IF(A99&lt;=$D$8,100^2/($B$4^2*B99^2),C98)</f>
        <v>2090.8248228660891</v>
      </c>
      <c r="D99" s="150">
        <f>(-7.5886+0.6547*B99+0.3669*A99+299.909*(1/SQRT(C99))-0.003528*A99^2)</f>
        <v>9.9052289536229896</v>
      </c>
      <c r="E99" s="162">
        <f>(PI()/4*(D99/100)^2)*C99</f>
        <v>16.111521893899372</v>
      </c>
      <c r="F99" s="167">
        <f>0.2768*E99+0.4376*E99*B99</f>
        <v>71.498621703001916</v>
      </c>
      <c r="G99" s="100"/>
      <c r="H99" s="103"/>
      <c r="I99" s="101"/>
      <c r="J99" s="101"/>
      <c r="K99" s="104"/>
      <c r="L99" s="101"/>
      <c r="M99" s="101"/>
      <c r="N99" s="101"/>
      <c r="O99" s="105"/>
      <c r="P99" s="106"/>
      <c r="Q99" s="107"/>
      <c r="R99" s="82"/>
    </row>
    <row r="100" spans="1:18">
      <c r="A100" s="163">
        <f>A99+pdesb</f>
        <v>20</v>
      </c>
      <c r="B100" s="152">
        <f t="shared" ref="B100:B111" si="14">EXP(4.04764-8.75819/A100^0.56087)+1.19874*(1-EXP(-0.081*A100))^2.99578*($B$5-17.38)</f>
        <v>12.819794801507502</v>
      </c>
      <c r="C100" s="145">
        <f t="shared" ref="C100:C111" si="15">IF(A100&lt;=$D$8,100^2/($B$4^2*B100^2),C99)</f>
        <v>1150.22335197803</v>
      </c>
      <c r="D100" s="153">
        <f t="shared" ref="D100:D111" si="16">(-7.5886+0.6547*B100+0.3669*A100+299.909*(1/SQRT(C100))-0.003528*A100^2)</f>
        <v>15.574294886535185</v>
      </c>
      <c r="E100" s="164">
        <f t="shared" ref="E100:E111" si="17">(PI()/4*(D100/100)^2)*C100</f>
        <v>21.912344578448636</v>
      </c>
      <c r="F100" s="168">
        <f t="shared" ref="F100:F111" si="18">0.2768*E100+0.4376*E100*B100</f>
        <v>128.9923236435173</v>
      </c>
      <c r="G100" s="110"/>
      <c r="H100" s="113"/>
      <c r="I100" s="111"/>
      <c r="J100" s="111"/>
      <c r="K100" s="114"/>
      <c r="L100" s="111"/>
      <c r="M100" s="111"/>
      <c r="N100" s="111"/>
      <c r="O100" s="115"/>
      <c r="P100" s="116"/>
      <c r="Q100" s="117"/>
      <c r="R100" s="82"/>
    </row>
    <row r="101" spans="1:18">
      <c r="A101" s="163">
        <f t="shared" ref="A101:A109" si="19">A100+pdesb</f>
        <v>25</v>
      </c>
      <c r="B101" s="152">
        <f t="shared" si="14"/>
        <v>15.622678395248585</v>
      </c>
      <c r="C101" s="145">
        <f t="shared" si="15"/>
        <v>774.52125913905991</v>
      </c>
      <c r="D101" s="153">
        <f t="shared" si="16"/>
        <v>20.383445811502646</v>
      </c>
      <c r="E101" s="164">
        <f t="shared" si="17"/>
        <v>25.274258931963477</v>
      </c>
      <c r="F101" s="168">
        <f t="shared" si="18"/>
        <v>179.78298333464787</v>
      </c>
      <c r="G101" s="110"/>
      <c r="H101" s="113"/>
      <c r="I101" s="111"/>
      <c r="J101" s="111"/>
      <c r="K101" s="114"/>
      <c r="L101" s="111"/>
      <c r="M101" s="111"/>
      <c r="N101" s="111"/>
      <c r="O101" s="115"/>
      <c r="P101" s="116"/>
      <c r="Q101" s="117"/>
      <c r="R101" s="82"/>
    </row>
    <row r="102" spans="1:18">
      <c r="A102" s="163">
        <f t="shared" si="19"/>
        <v>30</v>
      </c>
      <c r="B102" s="152">
        <f t="shared" si="14"/>
        <v>17.988868326662203</v>
      </c>
      <c r="C102" s="145">
        <f t="shared" si="15"/>
        <v>584.16649215451025</v>
      </c>
      <c r="D102" s="153">
        <f t="shared" si="16"/>
        <v>24.429066168721892</v>
      </c>
      <c r="E102" s="164">
        <f t="shared" si="17"/>
        <v>27.380429429173205</v>
      </c>
      <c r="F102" s="168">
        <f t="shared" si="18"/>
        <v>223.11569329134582</v>
      </c>
      <c r="G102" s="110"/>
      <c r="H102" s="113"/>
      <c r="I102" s="111"/>
      <c r="J102" s="111"/>
      <c r="K102" s="114"/>
      <c r="L102" s="111"/>
      <c r="M102" s="111"/>
      <c r="N102" s="111"/>
      <c r="O102" s="115"/>
      <c r="P102" s="116"/>
      <c r="Q102" s="117"/>
      <c r="R102" s="82"/>
    </row>
    <row r="103" spans="1:18">
      <c r="A103" s="163">
        <f t="shared" si="19"/>
        <v>35</v>
      </c>
      <c r="B103" s="152">
        <f t="shared" si="14"/>
        <v>19.99996006609496</v>
      </c>
      <c r="C103" s="145">
        <f t="shared" si="15"/>
        <v>472.59167930173169</v>
      </c>
      <c r="D103" s="153">
        <f t="shared" si="16"/>
        <v>27.820860309236064</v>
      </c>
      <c r="E103" s="164">
        <f t="shared" si="17"/>
        <v>28.728772061012613</v>
      </c>
      <c r="F103" s="168">
        <f t="shared" si="18"/>
        <v>259.3858351469712</v>
      </c>
      <c r="H103" s="113"/>
      <c r="I103" s="111"/>
      <c r="J103" s="111"/>
      <c r="K103" s="114"/>
      <c r="L103" s="111"/>
      <c r="M103" s="111"/>
      <c r="N103" s="111"/>
      <c r="O103" s="115"/>
      <c r="P103" s="116"/>
      <c r="Q103" s="117"/>
      <c r="R103" s="82"/>
    </row>
    <row r="104" spans="1:18">
      <c r="A104" s="163">
        <f t="shared" si="19"/>
        <v>40</v>
      </c>
      <c r="B104" s="152">
        <f t="shared" si="14"/>
        <v>21.727922598897567</v>
      </c>
      <c r="C104" s="145">
        <f t="shared" si="15"/>
        <v>400.41276754306455</v>
      </c>
      <c r="D104" s="153">
        <f t="shared" si="16"/>
        <v>30.655589864537607</v>
      </c>
      <c r="E104" s="164">
        <f t="shared" si="17"/>
        <v>29.554060121803456</v>
      </c>
      <c r="F104" s="168">
        <f t="shared" si="18"/>
        <v>289.18467340404459</v>
      </c>
      <c r="G104" s="110"/>
      <c r="H104" s="113"/>
      <c r="I104" s="111"/>
      <c r="J104" s="111"/>
      <c r="K104" s="114"/>
      <c r="L104" s="111"/>
      <c r="M104" s="111"/>
      <c r="N104" s="111"/>
      <c r="O104" s="115"/>
      <c r="P104" s="116"/>
      <c r="Q104" s="117"/>
      <c r="R104" s="82"/>
    </row>
    <row r="105" spans="1:18">
      <c r="A105" s="163">
        <f t="shared" si="19"/>
        <v>45</v>
      </c>
      <c r="B105" s="152">
        <f t="shared" si="14"/>
        <v>23.230832101091192</v>
      </c>
      <c r="C105" s="145">
        <f t="shared" si="15"/>
        <v>350.27956037925168</v>
      </c>
      <c r="D105" s="153">
        <f t="shared" si="16"/>
        <v>33.01133771317857</v>
      </c>
      <c r="E105" s="164">
        <f t="shared" si="17"/>
        <v>29.979951394381878</v>
      </c>
      <c r="F105" s="168">
        <f t="shared" si="18"/>
        <v>313.06900401095913</v>
      </c>
      <c r="G105" s="110"/>
      <c r="H105" s="113"/>
      <c r="I105" s="111"/>
      <c r="J105" s="111"/>
      <c r="K105" s="114"/>
      <c r="L105" s="111"/>
      <c r="M105" s="111"/>
      <c r="N105" s="111"/>
      <c r="O105" s="115"/>
      <c r="P105" s="116"/>
      <c r="Q105" s="117"/>
      <c r="R105" s="82"/>
    </row>
    <row r="106" spans="1:18">
      <c r="A106" s="163">
        <f t="shared" si="19"/>
        <v>50</v>
      </c>
      <c r="B106" s="152">
        <f t="shared" si="14"/>
        <v>24.553801733943406</v>
      </c>
      <c r="C106" s="145">
        <f t="shared" si="15"/>
        <v>313.55002415670174</v>
      </c>
      <c r="D106" s="153">
        <f t="shared" si="16"/>
        <v>34.94875808093078</v>
      </c>
      <c r="E106" s="164">
        <f t="shared" si="17"/>
        <v>30.078779843687929</v>
      </c>
      <c r="F106" s="168">
        <f t="shared" si="18"/>
        <v>331.5145846482713</v>
      </c>
      <c r="G106" s="110"/>
      <c r="H106" s="113"/>
      <c r="I106" s="111"/>
      <c r="J106" s="111"/>
      <c r="K106" s="114"/>
      <c r="L106" s="111"/>
      <c r="M106" s="111"/>
      <c r="N106" s="111"/>
      <c r="O106" s="115"/>
      <c r="P106" s="116"/>
      <c r="Q106" s="117"/>
      <c r="R106" s="82"/>
    </row>
    <row r="107" spans="1:18">
      <c r="A107" s="163">
        <f t="shared" si="19"/>
        <v>55</v>
      </c>
      <c r="B107" s="152">
        <f t="shared" si="14"/>
        <v>25.731357111216642</v>
      </c>
      <c r="C107" s="145">
        <f t="shared" si="15"/>
        <v>285.50843509740042</v>
      </c>
      <c r="D107" s="153">
        <f t="shared" si="16"/>
        <v>36.514270334409645</v>
      </c>
      <c r="E107" s="164">
        <f t="shared" si="17"/>
        <v>29.897445169365728</v>
      </c>
      <c r="F107" s="168">
        <f t="shared" si="18"/>
        <v>344.92209729182821</v>
      </c>
      <c r="G107" s="110"/>
      <c r="H107" s="113"/>
      <c r="I107" s="111"/>
      <c r="J107" s="111"/>
      <c r="K107" s="114"/>
      <c r="L107" s="111"/>
      <c r="M107" s="111"/>
      <c r="N107" s="111"/>
      <c r="O107" s="115"/>
      <c r="P107" s="116"/>
      <c r="Q107" s="117"/>
      <c r="R107" s="82"/>
    </row>
    <row r="108" spans="1:18">
      <c r="A108" s="163">
        <f t="shared" si="19"/>
        <v>60</v>
      </c>
      <c r="B108" s="152">
        <f t="shared" si="14"/>
        <v>26.789862111400492</v>
      </c>
      <c r="C108" s="145">
        <f t="shared" si="15"/>
        <v>263.39247996712578</v>
      </c>
      <c r="D108" s="153">
        <f t="shared" si="16"/>
        <v>37.743320463060329</v>
      </c>
      <c r="E108" s="164">
        <f t="shared" si="17"/>
        <v>29.469547119501851</v>
      </c>
      <c r="F108" s="168">
        <f t="shared" si="18"/>
        <v>353.63585207294227</v>
      </c>
      <c r="G108" s="110"/>
      <c r="H108" s="113"/>
      <c r="I108" s="111"/>
      <c r="J108" s="111"/>
      <c r="K108" s="114"/>
      <c r="L108" s="111"/>
      <c r="M108" s="111"/>
      <c r="N108" s="111"/>
      <c r="O108" s="115"/>
      <c r="P108" s="116"/>
      <c r="Q108" s="117"/>
      <c r="R108" s="82"/>
    </row>
    <row r="109" spans="1:18">
      <c r="A109" s="163">
        <f t="shared" si="19"/>
        <v>65</v>
      </c>
      <c r="B109" s="152">
        <f t="shared" si="14"/>
        <v>27.749553664181299</v>
      </c>
      <c r="C109" s="145">
        <f t="shared" si="15"/>
        <v>245.48916217051769</v>
      </c>
      <c r="D109" s="153">
        <f t="shared" si="16"/>
        <v>38.663116830642679</v>
      </c>
      <c r="E109" s="164">
        <f t="shared" si="17"/>
        <v>28.821456793767251</v>
      </c>
      <c r="F109" s="168">
        <f t="shared" si="18"/>
        <v>357.96262836231824</v>
      </c>
      <c r="G109" s="110"/>
      <c r="H109" s="113"/>
      <c r="I109" s="111"/>
      <c r="J109" s="111"/>
      <c r="K109" s="114"/>
      <c r="L109" s="111"/>
      <c r="M109" s="111"/>
      <c r="N109" s="111"/>
      <c r="O109" s="115"/>
      <c r="P109" s="116"/>
      <c r="Q109" s="117"/>
      <c r="R109" s="82"/>
    </row>
    <row r="110" spans="1:18">
      <c r="A110" s="163">
        <v>70</v>
      </c>
      <c r="B110" s="152">
        <f t="shared" si="14"/>
        <v>28.626116569254211</v>
      </c>
      <c r="C110" s="146">
        <f t="shared" si="15"/>
        <v>245.48916217051769</v>
      </c>
      <c r="D110" s="153">
        <f t="shared" si="16"/>
        <v>38.690102564593914</v>
      </c>
      <c r="E110" s="164">
        <f t="shared" si="17"/>
        <v>28.861703916022808</v>
      </c>
      <c r="F110" s="168">
        <f t="shared" si="18"/>
        <v>369.53338354474806</v>
      </c>
      <c r="G110" s="139"/>
      <c r="H110" s="124"/>
      <c r="I110" s="124"/>
      <c r="J110" s="124"/>
      <c r="K110" s="125"/>
      <c r="L110" s="82"/>
      <c r="M110" s="82"/>
      <c r="N110" s="82"/>
      <c r="O110" s="126"/>
      <c r="P110" s="82"/>
      <c r="Q110" s="127"/>
      <c r="R110" s="83"/>
    </row>
    <row r="111" spans="1:18" ht="13.8" thickBot="1">
      <c r="A111" s="165">
        <v>75</v>
      </c>
      <c r="B111" s="156">
        <f t="shared" si="14"/>
        <v>29.431856571860372</v>
      </c>
      <c r="C111" s="146">
        <f t="shared" si="15"/>
        <v>245.48916217051769</v>
      </c>
      <c r="D111" s="157">
        <f t="shared" si="16"/>
        <v>38.494320544300166</v>
      </c>
      <c r="E111" s="166">
        <f t="shared" si="17"/>
        <v>28.570347441590304</v>
      </c>
      <c r="F111" s="169">
        <f t="shared" si="18"/>
        <v>375.87664605637605</v>
      </c>
      <c r="G111" s="159"/>
      <c r="H111" s="133"/>
      <c r="I111" s="133"/>
      <c r="J111" s="133"/>
      <c r="K111" s="134"/>
      <c r="L111" s="135"/>
      <c r="M111" s="135"/>
      <c r="N111" s="135"/>
      <c r="O111" s="136"/>
      <c r="P111" s="135"/>
      <c r="Q111" s="137"/>
      <c r="R111" s="83"/>
    </row>
    <row r="112" spans="1:18" s="67" customFormat="1">
      <c r="A112" s="138"/>
      <c r="B112" s="109"/>
      <c r="C112" s="110"/>
      <c r="D112" s="153"/>
      <c r="E112" s="111"/>
      <c r="F112" s="170"/>
      <c r="G112" s="139"/>
      <c r="H112" s="124"/>
      <c r="I112" s="124"/>
      <c r="J112" s="124"/>
      <c r="K112" s="124"/>
      <c r="L112" s="82"/>
      <c r="M112" s="82"/>
      <c r="N112" s="82"/>
      <c r="O112" s="82"/>
      <c r="P112" s="82"/>
      <c r="Q112" s="83"/>
      <c r="R112" s="83"/>
    </row>
    <row r="113" spans="1:18" s="67" customFormat="1">
      <c r="A113" s="138"/>
      <c r="B113" s="109"/>
      <c r="C113" s="110"/>
      <c r="D113" s="153"/>
      <c r="E113" s="111"/>
      <c r="F113" s="170"/>
      <c r="G113" s="139"/>
      <c r="H113" s="124"/>
      <c r="I113" s="124"/>
      <c r="J113" s="124"/>
      <c r="K113" s="124"/>
      <c r="L113" s="82"/>
      <c r="M113" s="82"/>
      <c r="N113" s="82"/>
      <c r="O113" s="82"/>
      <c r="P113" s="82"/>
      <c r="Q113" s="83"/>
      <c r="R113" s="83"/>
    </row>
    <row r="114" spans="1:18" s="67" customFormat="1">
      <c r="A114" s="138"/>
      <c r="B114" s="109"/>
      <c r="C114" s="110"/>
      <c r="D114" s="153"/>
      <c r="E114" s="111"/>
      <c r="F114" s="170"/>
      <c r="G114" s="139"/>
      <c r="H114" s="124"/>
      <c r="I114" s="124"/>
      <c r="J114" s="124"/>
      <c r="K114" s="124"/>
      <c r="L114" s="82"/>
      <c r="M114" s="82"/>
      <c r="N114" s="82"/>
      <c r="O114" s="82"/>
      <c r="P114" s="82"/>
      <c r="Q114" s="83"/>
      <c r="R114" s="83"/>
    </row>
    <row r="115" spans="1:18" ht="13.8" thickBot="1">
      <c r="A115" s="138"/>
      <c r="B115" s="109"/>
      <c r="C115" s="110"/>
      <c r="D115" s="122"/>
      <c r="E115" s="122"/>
      <c r="F115" s="122"/>
      <c r="G115" s="139"/>
      <c r="H115" s="124"/>
      <c r="I115" s="124"/>
      <c r="J115" s="124"/>
      <c r="K115" s="124"/>
      <c r="L115" s="82"/>
      <c r="M115" s="82"/>
      <c r="N115" s="82"/>
      <c r="O115" s="82"/>
      <c r="P115" s="82"/>
      <c r="Q115" s="83"/>
      <c r="R115" s="83"/>
    </row>
    <row r="116" spans="1:18" ht="13.8" thickBot="1">
      <c r="A116" s="216" t="s">
        <v>0</v>
      </c>
      <c r="B116" s="218" t="s">
        <v>69</v>
      </c>
      <c r="C116" s="218"/>
      <c r="D116" s="218"/>
      <c r="E116" s="219"/>
      <c r="F116" s="218"/>
      <c r="G116" s="220" t="s">
        <v>70</v>
      </c>
      <c r="H116" s="221"/>
      <c r="I116" s="221"/>
      <c r="J116" s="222"/>
      <c r="K116" s="220" t="s">
        <v>71</v>
      </c>
      <c r="L116" s="221"/>
      <c r="M116" s="221"/>
      <c r="N116" s="222"/>
      <c r="O116" s="223" t="s">
        <v>6</v>
      </c>
      <c r="P116" s="225" t="s">
        <v>56</v>
      </c>
      <c r="Q116" s="226"/>
      <c r="R116" s="82"/>
    </row>
    <row r="117" spans="1:18" ht="16.2" thickBot="1">
      <c r="A117" s="217"/>
      <c r="B117" s="84" t="s">
        <v>1</v>
      </c>
      <c r="C117" s="85" t="s">
        <v>2</v>
      </c>
      <c r="D117" s="85" t="s">
        <v>3</v>
      </c>
      <c r="E117" s="86" t="s">
        <v>57</v>
      </c>
      <c r="F117" s="85" t="s">
        <v>58</v>
      </c>
      <c r="G117" s="87" t="s">
        <v>60</v>
      </c>
      <c r="H117" s="88" t="s">
        <v>3</v>
      </c>
      <c r="I117" s="88" t="s">
        <v>72</v>
      </c>
      <c r="J117" s="86" t="s">
        <v>59</v>
      </c>
      <c r="K117" s="85" t="s">
        <v>73</v>
      </c>
      <c r="L117" s="85" t="s">
        <v>74</v>
      </c>
      <c r="M117" s="85" t="s">
        <v>75</v>
      </c>
      <c r="N117" s="85" t="s">
        <v>76</v>
      </c>
      <c r="O117" s="224"/>
      <c r="P117" s="89" t="s">
        <v>61</v>
      </c>
      <c r="Q117" s="89" t="s">
        <v>62</v>
      </c>
      <c r="R117" s="90" t="s">
        <v>77</v>
      </c>
    </row>
    <row r="118" spans="1:18" ht="13.8" thickBot="1">
      <c r="A118" s="140">
        <v>15</v>
      </c>
      <c r="B118" s="93">
        <f>EXP(4.04764-8.75819/A118^0.56087)+1.19874*(1-EXP(-0.081*A118))^2.99578*($B$5-17.38)</f>
        <v>9.5085291059454633</v>
      </c>
      <c r="C118" s="141">
        <f>$B$6</f>
        <v>2200</v>
      </c>
      <c r="D118" s="142"/>
      <c r="E118" s="94"/>
      <c r="F118" s="147"/>
      <c r="G118" s="95"/>
      <c r="H118" s="94"/>
      <c r="I118" s="94"/>
      <c r="J118" s="94"/>
      <c r="K118" s="144"/>
      <c r="L118" s="142"/>
      <c r="M118" s="142"/>
      <c r="N118" s="142"/>
      <c r="O118" s="97"/>
      <c r="P118" s="148"/>
      <c r="Q118" s="160"/>
      <c r="R118" s="90"/>
    </row>
    <row r="119" spans="1:18">
      <c r="A119" s="161">
        <v>15</v>
      </c>
      <c r="B119" s="149">
        <f>EXP(4.04764-8.75819/A119^0.56087)+1.19874*(1-EXP(-0.081*A119))^2.99578*($B$5-17.38)</f>
        <v>9.5085291059454633</v>
      </c>
      <c r="C119" s="145">
        <f>IF(A119&lt;=$D$8,100^2/($B$4^2*B119^2),C118)</f>
        <v>2090.8248228660891</v>
      </c>
      <c r="D119" s="150">
        <f>(-7.5886+0.6547*B119+0.3669*A119+299.909*(1/SQRT(C119))-0.003528*A119^2)</f>
        <v>9.9052289536229896</v>
      </c>
      <c r="E119" s="162">
        <f>(PI()/4*(D119/100)^2)*C119</f>
        <v>16.111521893899372</v>
      </c>
      <c r="F119" s="167">
        <f>0.2768*E119+0.4376*E119*B119</f>
        <v>71.498621703001916</v>
      </c>
      <c r="G119" s="171">
        <f t="shared" ref="G119:G131" si="20">IF(A120&lt;=$D$8,C119-C120,0)</f>
        <v>940.60147088805911</v>
      </c>
      <c r="H119" s="103"/>
      <c r="I119" s="101"/>
      <c r="J119" s="151"/>
      <c r="K119" s="104"/>
      <c r="L119" s="101"/>
      <c r="M119" s="101"/>
      <c r="N119" s="101"/>
      <c r="O119" s="105"/>
      <c r="P119" s="106"/>
      <c r="Q119" s="107"/>
      <c r="R119" s="82"/>
    </row>
    <row r="120" spans="1:18">
      <c r="A120" s="163">
        <f>A119+pdesb</f>
        <v>20</v>
      </c>
      <c r="B120" s="152">
        <f t="shared" ref="B120:B131" si="21">EXP(4.04764-8.75819/A120^0.56087)+1.19874*(1-EXP(-0.081*A120))^2.99578*($B$5-17.38)</f>
        <v>12.819794801507502</v>
      </c>
      <c r="C120" s="145">
        <f t="shared" ref="C120:C131" si="22">IF(A120&lt;=$D$8,100^2/($B$4^2*B120^2),C119)</f>
        <v>1150.22335197803</v>
      </c>
      <c r="D120" s="153">
        <f t="shared" ref="D120:D131" si="23">(-7.5886+0.6547*B120+0.3669*A120+299.909*(1/SQRT(C120))-0.003528*A120^2)</f>
        <v>15.574294886535185</v>
      </c>
      <c r="E120" s="164">
        <f t="shared" ref="E120:E131" si="24">(PI()/4*(D120/100)^2)*C120</f>
        <v>21.912344578448636</v>
      </c>
      <c r="F120" s="168">
        <f t="shared" ref="F120:F131" si="25">0.2768*E120+0.4376*E120*B120</f>
        <v>128.9923236435173</v>
      </c>
      <c r="G120" s="172">
        <f t="shared" si="20"/>
        <v>375.70209283897009</v>
      </c>
      <c r="H120" s="113"/>
      <c r="I120" s="111"/>
      <c r="J120" s="154"/>
      <c r="K120" s="114"/>
      <c r="L120" s="111"/>
      <c r="M120" s="111"/>
      <c r="N120" s="111"/>
      <c r="O120" s="115"/>
      <c r="P120" s="116"/>
      <c r="Q120" s="117"/>
      <c r="R120" s="82"/>
    </row>
    <row r="121" spans="1:18">
      <c r="A121" s="163">
        <f t="shared" ref="A121:A129" si="26">A120+pdesb</f>
        <v>25</v>
      </c>
      <c r="B121" s="152">
        <f t="shared" si="21"/>
        <v>15.622678395248585</v>
      </c>
      <c r="C121" s="145">
        <f t="shared" si="22"/>
        <v>774.52125913905991</v>
      </c>
      <c r="D121" s="153">
        <f t="shared" si="23"/>
        <v>20.383445811502646</v>
      </c>
      <c r="E121" s="164">
        <f t="shared" si="24"/>
        <v>25.274258931963477</v>
      </c>
      <c r="F121" s="168">
        <f t="shared" si="25"/>
        <v>179.78298333464787</v>
      </c>
      <c r="G121" s="172">
        <f t="shared" si="20"/>
        <v>190.35476698454966</v>
      </c>
      <c r="H121" s="113"/>
      <c r="I121" s="111"/>
      <c r="J121" s="154"/>
      <c r="K121" s="114"/>
      <c r="L121" s="111"/>
      <c r="M121" s="111"/>
      <c r="N121" s="111"/>
      <c r="O121" s="115"/>
      <c r="P121" s="116"/>
      <c r="Q121" s="117"/>
      <c r="R121" s="82"/>
    </row>
    <row r="122" spans="1:18">
      <c r="A122" s="163">
        <f t="shared" si="26"/>
        <v>30</v>
      </c>
      <c r="B122" s="152">
        <f t="shared" si="21"/>
        <v>17.988868326662203</v>
      </c>
      <c r="C122" s="145">
        <f t="shared" si="22"/>
        <v>584.16649215451025</v>
      </c>
      <c r="D122" s="153">
        <f t="shared" si="23"/>
        <v>24.429066168721892</v>
      </c>
      <c r="E122" s="164">
        <f t="shared" si="24"/>
        <v>27.380429429173205</v>
      </c>
      <c r="F122" s="168">
        <f t="shared" si="25"/>
        <v>223.11569329134582</v>
      </c>
      <c r="G122" s="172">
        <f t="shared" si="20"/>
        <v>111.57481285277856</v>
      </c>
      <c r="H122" s="173"/>
      <c r="I122" s="111"/>
      <c r="J122" s="154"/>
      <c r="K122" s="114"/>
      <c r="L122" s="111"/>
      <c r="M122" s="111"/>
      <c r="N122" s="111"/>
      <c r="O122" s="115"/>
      <c r="P122" s="116"/>
      <c r="Q122" s="117"/>
      <c r="R122" s="82"/>
    </row>
    <row r="123" spans="1:18">
      <c r="A123" s="163">
        <f t="shared" si="26"/>
        <v>35</v>
      </c>
      <c r="B123" s="152">
        <f t="shared" si="21"/>
        <v>19.99996006609496</v>
      </c>
      <c r="C123" s="145">
        <f t="shared" si="22"/>
        <v>472.59167930173169</v>
      </c>
      <c r="D123" s="153">
        <f t="shared" si="23"/>
        <v>27.820860309236064</v>
      </c>
      <c r="E123" s="164">
        <f t="shared" si="24"/>
        <v>28.728772061012613</v>
      </c>
      <c r="F123" s="168">
        <f t="shared" si="25"/>
        <v>259.3858351469712</v>
      </c>
      <c r="G123" s="172">
        <f t="shared" si="20"/>
        <v>72.178911758667141</v>
      </c>
      <c r="H123" s="113"/>
      <c r="I123" s="111"/>
      <c r="J123" s="154"/>
      <c r="K123" s="114"/>
      <c r="L123" s="111"/>
      <c r="M123" s="111"/>
      <c r="N123" s="111"/>
      <c r="O123" s="115"/>
      <c r="P123" s="116"/>
      <c r="Q123" s="117"/>
      <c r="R123" s="82"/>
    </row>
    <row r="124" spans="1:18">
      <c r="A124" s="163">
        <f t="shared" si="26"/>
        <v>40</v>
      </c>
      <c r="B124" s="152">
        <f t="shared" si="21"/>
        <v>21.727922598897567</v>
      </c>
      <c r="C124" s="145">
        <f t="shared" si="22"/>
        <v>400.41276754306455</v>
      </c>
      <c r="D124" s="153">
        <f t="shared" si="23"/>
        <v>30.655589864537607</v>
      </c>
      <c r="E124" s="164">
        <f t="shared" si="24"/>
        <v>29.554060121803456</v>
      </c>
      <c r="F124" s="168">
        <f t="shared" si="25"/>
        <v>289.18467340404459</v>
      </c>
      <c r="G124" s="172">
        <f t="shared" si="20"/>
        <v>50.13320716381287</v>
      </c>
      <c r="H124" s="113"/>
      <c r="I124" s="111"/>
      <c r="J124" s="154"/>
      <c r="K124" s="114"/>
      <c r="L124" s="111"/>
      <c r="M124" s="111"/>
      <c r="N124" s="111"/>
      <c r="O124" s="115"/>
      <c r="P124" s="116"/>
      <c r="Q124" s="117"/>
      <c r="R124" s="82"/>
    </row>
    <row r="125" spans="1:18">
      <c r="A125" s="163">
        <f t="shared" si="26"/>
        <v>45</v>
      </c>
      <c r="B125" s="152">
        <f t="shared" si="21"/>
        <v>23.230832101091192</v>
      </c>
      <c r="C125" s="145">
        <f t="shared" si="22"/>
        <v>350.27956037925168</v>
      </c>
      <c r="D125" s="153">
        <f t="shared" si="23"/>
        <v>33.01133771317857</v>
      </c>
      <c r="E125" s="164">
        <f t="shared" si="24"/>
        <v>29.979951394381878</v>
      </c>
      <c r="F125" s="168">
        <f t="shared" si="25"/>
        <v>313.06900401095913</v>
      </c>
      <c r="G125" s="172">
        <f t="shared" si="20"/>
        <v>36.729536222549939</v>
      </c>
      <c r="H125" s="113"/>
      <c r="I125" s="111"/>
      <c r="J125" s="154"/>
      <c r="K125" s="114"/>
      <c r="L125" s="111"/>
      <c r="M125" s="111"/>
      <c r="N125" s="111"/>
      <c r="O125" s="115"/>
      <c r="P125" s="116"/>
      <c r="Q125" s="117"/>
      <c r="R125" s="82"/>
    </row>
    <row r="126" spans="1:18">
      <c r="A126" s="163">
        <f t="shared" si="26"/>
        <v>50</v>
      </c>
      <c r="B126" s="152">
        <f t="shared" si="21"/>
        <v>24.553801733943406</v>
      </c>
      <c r="C126" s="145">
        <f t="shared" si="22"/>
        <v>313.55002415670174</v>
      </c>
      <c r="D126" s="153">
        <f t="shared" si="23"/>
        <v>34.94875808093078</v>
      </c>
      <c r="E126" s="164">
        <f t="shared" si="24"/>
        <v>30.078779843687929</v>
      </c>
      <c r="F126" s="168">
        <f t="shared" si="25"/>
        <v>331.5145846482713</v>
      </c>
      <c r="G126" s="172">
        <f t="shared" si="20"/>
        <v>28.041589059301316</v>
      </c>
      <c r="H126" s="113"/>
      <c r="I126" s="111"/>
      <c r="J126" s="154"/>
      <c r="K126" s="114"/>
      <c r="L126" s="111"/>
      <c r="M126" s="111"/>
      <c r="N126" s="111"/>
      <c r="O126" s="115"/>
      <c r="P126" s="116"/>
      <c r="Q126" s="117"/>
      <c r="R126" s="82"/>
    </row>
    <row r="127" spans="1:18">
      <c r="A127" s="163">
        <f t="shared" si="26"/>
        <v>55</v>
      </c>
      <c r="B127" s="152">
        <f t="shared" si="21"/>
        <v>25.731357111216642</v>
      </c>
      <c r="C127" s="145">
        <f t="shared" si="22"/>
        <v>285.50843509740042</v>
      </c>
      <c r="D127" s="153">
        <f t="shared" si="23"/>
        <v>36.514270334409645</v>
      </c>
      <c r="E127" s="164">
        <f t="shared" si="24"/>
        <v>29.897445169365728</v>
      </c>
      <c r="F127" s="168">
        <f t="shared" si="25"/>
        <v>344.92209729182821</v>
      </c>
      <c r="G127" s="172">
        <f t="shared" si="20"/>
        <v>22.115955130274642</v>
      </c>
      <c r="H127" s="113"/>
      <c r="I127" s="111"/>
      <c r="J127" s="154"/>
      <c r="K127" s="114"/>
      <c r="L127" s="111"/>
      <c r="M127" s="111"/>
      <c r="N127" s="111"/>
      <c r="O127" s="115"/>
      <c r="P127" s="116"/>
      <c r="Q127" s="117"/>
      <c r="R127" s="82"/>
    </row>
    <row r="128" spans="1:18">
      <c r="A128" s="163">
        <f t="shared" si="26"/>
        <v>60</v>
      </c>
      <c r="B128" s="152">
        <f t="shared" si="21"/>
        <v>26.789862111400492</v>
      </c>
      <c r="C128" s="145">
        <f t="shared" si="22"/>
        <v>263.39247996712578</v>
      </c>
      <c r="D128" s="153">
        <f t="shared" si="23"/>
        <v>37.743320463060329</v>
      </c>
      <c r="E128" s="164">
        <f t="shared" si="24"/>
        <v>29.469547119501851</v>
      </c>
      <c r="F128" s="168">
        <f t="shared" si="25"/>
        <v>353.63585207294227</v>
      </c>
      <c r="G128" s="172">
        <f t="shared" si="20"/>
        <v>17.903317796608093</v>
      </c>
      <c r="H128" s="113"/>
      <c r="I128" s="111"/>
      <c r="J128" s="154"/>
      <c r="K128" s="114"/>
      <c r="L128" s="111"/>
      <c r="M128" s="111"/>
      <c r="N128" s="111"/>
      <c r="O128" s="115"/>
      <c r="P128" s="116"/>
      <c r="Q128" s="117"/>
      <c r="R128" s="82"/>
    </row>
    <row r="129" spans="1:18">
      <c r="A129" s="163">
        <f t="shared" si="26"/>
        <v>65</v>
      </c>
      <c r="B129" s="152">
        <f t="shared" si="21"/>
        <v>27.749553664181299</v>
      </c>
      <c r="C129" s="145">
        <f t="shared" si="22"/>
        <v>245.48916217051769</v>
      </c>
      <c r="D129" s="153">
        <f t="shared" si="23"/>
        <v>38.663116830642679</v>
      </c>
      <c r="E129" s="164">
        <f t="shared" si="24"/>
        <v>28.821456793767251</v>
      </c>
      <c r="F129" s="168">
        <f t="shared" si="25"/>
        <v>357.96262836231824</v>
      </c>
      <c r="G129" s="172">
        <f t="shared" si="20"/>
        <v>0</v>
      </c>
      <c r="H129" s="113"/>
      <c r="I129" s="111"/>
      <c r="J129" s="154"/>
      <c r="K129" s="114"/>
      <c r="L129" s="111"/>
      <c r="M129" s="111"/>
      <c r="N129" s="111"/>
      <c r="O129" s="115"/>
      <c r="P129" s="116"/>
      <c r="Q129" s="117"/>
      <c r="R129" s="82"/>
    </row>
    <row r="130" spans="1:18">
      <c r="A130" s="163">
        <v>70</v>
      </c>
      <c r="B130" s="152">
        <f t="shared" si="21"/>
        <v>28.626116569254211</v>
      </c>
      <c r="C130" s="146">
        <f t="shared" si="22"/>
        <v>245.48916217051769</v>
      </c>
      <c r="D130" s="153">
        <f t="shared" si="23"/>
        <v>38.690102564593914</v>
      </c>
      <c r="E130" s="164">
        <f t="shared" si="24"/>
        <v>28.861703916022808</v>
      </c>
      <c r="F130" s="168">
        <f t="shared" si="25"/>
        <v>369.53338354474806</v>
      </c>
      <c r="G130" s="172">
        <f t="shared" si="20"/>
        <v>0</v>
      </c>
      <c r="H130" s="124"/>
      <c r="I130" s="124"/>
      <c r="J130" s="174"/>
      <c r="K130" s="125"/>
      <c r="L130" s="82"/>
      <c r="M130" s="82"/>
      <c r="N130" s="82"/>
      <c r="O130" s="126"/>
      <c r="P130" s="82"/>
      <c r="Q130" s="127"/>
      <c r="R130" s="83"/>
    </row>
    <row r="131" spans="1:18" ht="13.8" thickBot="1">
      <c r="A131" s="165">
        <v>75</v>
      </c>
      <c r="B131" s="156">
        <f t="shared" si="21"/>
        <v>29.431856571860372</v>
      </c>
      <c r="C131" s="146">
        <f t="shared" si="22"/>
        <v>245.48916217051769</v>
      </c>
      <c r="D131" s="157">
        <f t="shared" si="23"/>
        <v>38.494320544300166</v>
      </c>
      <c r="E131" s="166">
        <f t="shared" si="24"/>
        <v>28.570347441590304</v>
      </c>
      <c r="F131" s="169">
        <f t="shared" si="25"/>
        <v>375.87664605637605</v>
      </c>
      <c r="G131" s="175">
        <f t="shared" si="20"/>
        <v>245.48916217051769</v>
      </c>
      <c r="H131" s="133"/>
      <c r="I131" s="133"/>
      <c r="J131" s="176"/>
      <c r="K131" s="134"/>
      <c r="L131" s="135"/>
      <c r="M131" s="135"/>
      <c r="N131" s="135"/>
      <c r="O131" s="136"/>
      <c r="P131" s="135"/>
      <c r="Q131" s="137"/>
      <c r="R131" s="83"/>
    </row>
    <row r="132" spans="1:18">
      <c r="A132" s="138"/>
      <c r="B132" s="109"/>
      <c r="C132" s="110"/>
      <c r="D132" s="153"/>
      <c r="E132" s="111"/>
      <c r="F132" s="170"/>
      <c r="G132" s="177"/>
      <c r="H132" s="124"/>
      <c r="I132" s="124"/>
      <c r="J132" s="124"/>
      <c r="K132" s="124"/>
      <c r="L132" s="82"/>
      <c r="M132" s="82"/>
      <c r="N132" s="82"/>
      <c r="O132" s="82"/>
      <c r="P132" s="82"/>
      <c r="Q132" s="83"/>
      <c r="R132" s="83"/>
    </row>
    <row r="133" spans="1:18" s="67" customFormat="1">
      <c r="A133" s="138"/>
      <c r="B133" s="109"/>
      <c r="C133" s="110"/>
      <c r="D133" s="153"/>
      <c r="E133" s="111"/>
      <c r="F133" s="170"/>
      <c r="G133" s="177"/>
      <c r="H133" s="124"/>
      <c r="I133" s="124"/>
      <c r="J133" s="124"/>
      <c r="K133" s="124"/>
      <c r="L133" s="82"/>
      <c r="M133" s="82"/>
      <c r="N133" s="82"/>
      <c r="O133" s="82"/>
      <c r="P133" s="82"/>
      <c r="Q133" s="83"/>
      <c r="R133" s="83"/>
    </row>
    <row r="134" spans="1:18" s="67" customFormat="1">
      <c r="A134" s="163"/>
      <c r="B134" s="109"/>
      <c r="C134" s="110"/>
      <c r="D134" s="153"/>
      <c r="E134" s="111"/>
      <c r="F134" s="170"/>
      <c r="G134" s="177"/>
      <c r="H134" s="124"/>
      <c r="I134" s="124"/>
      <c r="J134" s="124"/>
      <c r="K134" s="124"/>
      <c r="L134" s="82"/>
      <c r="M134" s="82"/>
      <c r="N134" s="82"/>
      <c r="O134" s="82"/>
      <c r="P134" s="82"/>
      <c r="Q134" s="83"/>
      <c r="R134" s="83"/>
    </row>
    <row r="135" spans="1:18" s="67" customFormat="1">
      <c r="A135" s="163"/>
      <c r="B135" s="109"/>
      <c r="C135" s="110"/>
      <c r="D135" s="153"/>
      <c r="E135" s="111"/>
      <c r="F135" s="170"/>
      <c r="G135" s="177"/>
      <c r="H135" s="124"/>
      <c r="I135" s="124"/>
      <c r="J135" s="124"/>
      <c r="K135" s="124"/>
      <c r="L135" s="82"/>
      <c r="M135" s="82"/>
      <c r="N135" s="82"/>
      <c r="O135" s="82"/>
      <c r="P135" s="82"/>
      <c r="Q135" s="83"/>
      <c r="R135" s="83"/>
    </row>
    <row r="136" spans="1:18" s="67" customFormat="1">
      <c r="A136" s="163"/>
      <c r="B136" s="109"/>
      <c r="C136" s="110"/>
      <c r="D136" s="153"/>
      <c r="E136" s="111"/>
      <c r="F136" s="170"/>
      <c r="G136" s="177"/>
      <c r="H136" s="124"/>
      <c r="I136" s="124"/>
      <c r="J136" s="124"/>
      <c r="K136" s="124"/>
      <c r="L136" s="82"/>
      <c r="M136" s="82"/>
      <c r="N136" s="82"/>
      <c r="O136" s="82"/>
      <c r="P136" s="82"/>
      <c r="Q136" s="83"/>
      <c r="R136" s="83"/>
    </row>
    <row r="137" spans="1:18" s="67" customFormat="1">
      <c r="A137" s="163"/>
      <c r="B137" s="109"/>
      <c r="C137" s="110"/>
      <c r="D137" s="153"/>
      <c r="E137" s="111"/>
      <c r="F137" s="170"/>
      <c r="G137" s="177"/>
      <c r="H137" s="124"/>
      <c r="I137" s="124"/>
      <c r="J137" s="124"/>
      <c r="K137" s="124"/>
      <c r="L137" s="82"/>
      <c r="M137" s="82"/>
      <c r="N137" s="82"/>
      <c r="O137" s="82"/>
      <c r="P137" s="82"/>
      <c r="Q137" s="83"/>
      <c r="R137" s="83"/>
    </row>
    <row r="138" spans="1:18" s="67" customFormat="1">
      <c r="A138" s="163"/>
      <c r="B138" s="109"/>
      <c r="C138" s="110"/>
      <c r="D138" s="153"/>
      <c r="E138" s="111"/>
      <c r="F138" s="170"/>
      <c r="G138" s="177"/>
      <c r="H138" s="124"/>
      <c r="I138" s="124"/>
      <c r="J138" s="124"/>
      <c r="K138" s="124"/>
      <c r="L138" s="82"/>
      <c r="M138" s="82"/>
      <c r="N138" s="82"/>
      <c r="O138" s="82"/>
      <c r="P138" s="82"/>
      <c r="Q138" s="83"/>
      <c r="R138" s="83"/>
    </row>
    <row r="139" spans="1:18" s="67" customFormat="1">
      <c r="A139" s="163"/>
      <c r="B139" s="109"/>
      <c r="C139" s="110"/>
      <c r="D139" s="153"/>
      <c r="E139" s="111"/>
      <c r="F139" s="170"/>
      <c r="G139" s="177"/>
      <c r="H139" s="124"/>
      <c r="I139" s="124"/>
      <c r="J139" s="124"/>
      <c r="K139" s="124"/>
      <c r="L139" s="82"/>
      <c r="M139" s="82"/>
      <c r="N139" s="82"/>
      <c r="O139" s="82"/>
      <c r="P139" s="82"/>
      <c r="Q139" s="83"/>
      <c r="R139" s="83"/>
    </row>
    <row r="140" spans="1:18" s="67" customFormat="1">
      <c r="A140" s="163"/>
      <c r="B140" s="109"/>
      <c r="C140" s="110"/>
      <c r="D140" s="153"/>
      <c r="E140" s="111"/>
      <c r="F140" s="170"/>
      <c r="G140" s="177"/>
      <c r="H140" s="124"/>
      <c r="I140" s="124"/>
      <c r="J140" s="124"/>
      <c r="K140" s="124"/>
      <c r="L140" s="82"/>
      <c r="M140" s="82"/>
      <c r="N140" s="82"/>
      <c r="O140" s="82"/>
      <c r="P140" s="82"/>
      <c r="Q140" s="83"/>
      <c r="R140" s="83"/>
    </row>
    <row r="141" spans="1:18" s="67" customFormat="1" ht="13.8" thickBot="1">
      <c r="A141" s="163"/>
      <c r="B141" s="109"/>
      <c r="C141" s="110"/>
      <c r="D141" s="153"/>
      <c r="E141" s="111"/>
      <c r="F141" s="170"/>
      <c r="G141" s="177"/>
      <c r="H141" s="124"/>
      <c r="I141" s="124"/>
      <c r="J141" s="124"/>
      <c r="K141" s="124"/>
      <c r="L141" s="82"/>
      <c r="M141" s="82"/>
      <c r="N141" s="82"/>
      <c r="O141" s="82"/>
      <c r="P141" s="82"/>
      <c r="Q141" s="83"/>
      <c r="R141" s="83"/>
    </row>
    <row r="142" spans="1:18" ht="13.8" thickBot="1">
      <c r="A142" s="216" t="s">
        <v>0</v>
      </c>
      <c r="B142" s="218" t="s">
        <v>69</v>
      </c>
      <c r="C142" s="218"/>
      <c r="D142" s="218"/>
      <c r="E142" s="219"/>
      <c r="F142" s="218"/>
      <c r="G142" s="220" t="s">
        <v>70</v>
      </c>
      <c r="H142" s="221"/>
      <c r="I142" s="221"/>
      <c r="J142" s="222"/>
      <c r="K142" s="220" t="s">
        <v>71</v>
      </c>
      <c r="L142" s="221"/>
      <c r="M142" s="221"/>
      <c r="N142" s="222"/>
      <c r="O142" s="223" t="s">
        <v>6</v>
      </c>
      <c r="P142" s="225" t="s">
        <v>56</v>
      </c>
      <c r="Q142" s="226"/>
      <c r="R142" s="82"/>
    </row>
    <row r="143" spans="1:18" ht="16.2" thickBot="1">
      <c r="A143" s="217"/>
      <c r="B143" s="84" t="s">
        <v>1</v>
      </c>
      <c r="C143" s="85" t="s">
        <v>2</v>
      </c>
      <c r="D143" s="85" t="s">
        <v>3</v>
      </c>
      <c r="E143" s="86" t="s">
        <v>57</v>
      </c>
      <c r="F143" s="85" t="s">
        <v>58</v>
      </c>
      <c r="G143" s="87" t="s">
        <v>60</v>
      </c>
      <c r="H143" s="88" t="s">
        <v>3</v>
      </c>
      <c r="I143" s="88" t="s">
        <v>72</v>
      </c>
      <c r="J143" s="86" t="s">
        <v>59</v>
      </c>
      <c r="K143" s="85" t="s">
        <v>73</v>
      </c>
      <c r="L143" s="85" t="s">
        <v>74</v>
      </c>
      <c r="M143" s="85" t="s">
        <v>75</v>
      </c>
      <c r="N143" s="85" t="s">
        <v>76</v>
      </c>
      <c r="O143" s="224"/>
      <c r="P143" s="89" t="s">
        <v>61</v>
      </c>
      <c r="Q143" s="89" t="s">
        <v>62</v>
      </c>
      <c r="R143" s="90" t="s">
        <v>77</v>
      </c>
    </row>
    <row r="144" spans="1:18" ht="13.8" thickBot="1">
      <c r="A144" s="140">
        <v>15</v>
      </c>
      <c r="B144" s="93">
        <f>EXP(4.04764-8.75819/A144^0.56087)+1.19874*(1-EXP(-0.081*A144))^2.99578*($B$5-17.38)</f>
        <v>9.5085291059454633</v>
      </c>
      <c r="C144" s="141">
        <f>$B$6</f>
        <v>2200</v>
      </c>
      <c r="D144" s="142"/>
      <c r="E144" s="94"/>
      <c r="F144" s="147"/>
      <c r="G144" s="95"/>
      <c r="H144" s="94"/>
      <c r="I144" s="94"/>
      <c r="J144" s="94"/>
      <c r="K144" s="144"/>
      <c r="L144" s="142"/>
      <c r="M144" s="142"/>
      <c r="N144" s="142"/>
      <c r="O144" s="97"/>
      <c r="P144" s="148"/>
      <c r="Q144" s="160"/>
      <c r="R144" s="90"/>
    </row>
    <row r="145" spans="1:18">
      <c r="A145" s="161">
        <v>15</v>
      </c>
      <c r="B145" s="149">
        <f>EXP(4.04764-8.75819/A145^0.56087)+1.19874*(1-EXP(-0.081*A145))^2.99578*($B$5-17.38)</f>
        <v>9.5085291059454633</v>
      </c>
      <c r="C145" s="145">
        <f>IF(A145&lt;=$D$8,100^2/($B$4^2*B145^2),C144)</f>
        <v>2090.8248228660891</v>
      </c>
      <c r="D145" s="150">
        <f>(-7.5886+0.6547*B145+0.3669*A145+299.909*(1/SQRT(C145))-0.003528*A145^2)</f>
        <v>9.9052289536229896</v>
      </c>
      <c r="E145" s="162">
        <f>(PI()/4*(D145/100)^2)*C145</f>
        <v>16.111521893899372</v>
      </c>
      <c r="F145" s="167">
        <f>0.2768*E145+0.4376*E145*B145</f>
        <v>71.498621703001916</v>
      </c>
      <c r="G145" s="171">
        <f>C145-C146</f>
        <v>940.60147088805911</v>
      </c>
      <c r="H145" s="178">
        <f>6.3167+0.01803*D145^2-0.005994*G145+18.1328*(G145/C145)</f>
        <v>10.60514329777968</v>
      </c>
      <c r="I145" s="101"/>
      <c r="J145" s="151"/>
      <c r="K145" s="104"/>
      <c r="L145" s="101"/>
      <c r="M145" s="101"/>
      <c r="N145" s="101"/>
      <c r="O145" s="105"/>
      <c r="P145" s="106"/>
      <c r="Q145" s="107"/>
      <c r="R145" s="82"/>
    </row>
    <row r="146" spans="1:18">
      <c r="A146" s="163">
        <f>A145+pdesb</f>
        <v>20</v>
      </c>
      <c r="B146" s="152">
        <f t="shared" ref="B146:B157" si="27">EXP(4.04764-8.75819/A146^0.56087)+1.19874*(1-EXP(-0.081*A146))^2.99578*($B$5-17.38)</f>
        <v>12.819794801507502</v>
      </c>
      <c r="C146" s="145">
        <f t="shared" ref="C146:C157" si="28">IF(A146&lt;=$D$8,100^2/($B$4^2*B146^2),C145)</f>
        <v>1150.22335197803</v>
      </c>
      <c r="D146" s="153">
        <f t="shared" ref="D146:D157" si="29">(-7.5886+0.6547*B146+0.3669*A146+299.909*(1/SQRT(C146))-0.003528*A146^2)</f>
        <v>15.574294886535185</v>
      </c>
      <c r="E146" s="164">
        <f t="shared" ref="E146:E157" si="30">(PI()/4*(D146/100)^2)*C146</f>
        <v>21.912344578448636</v>
      </c>
      <c r="F146" s="168">
        <f t="shared" ref="F146:F157" si="31">0.2768*E146+0.4376*E146*B146</f>
        <v>128.9923236435173</v>
      </c>
      <c r="G146" s="172">
        <f>C146-C147</f>
        <v>375.70209283897009</v>
      </c>
      <c r="H146" s="179">
        <f t="shared" ref="H146:H157" si="32">6.3167+0.01803*D146^2-0.005994*G146+18.1328*(G146/C146)</f>
        <v>14.36086391915218</v>
      </c>
      <c r="I146" s="173"/>
      <c r="J146" s="154"/>
      <c r="K146" s="114"/>
      <c r="L146" s="111"/>
      <c r="M146" s="111"/>
      <c r="N146" s="111"/>
      <c r="O146" s="115"/>
      <c r="P146" s="116"/>
      <c r="Q146" s="117"/>
      <c r="R146" s="82"/>
    </row>
    <row r="147" spans="1:18">
      <c r="A147" s="163">
        <f t="shared" ref="A147:A155" si="33">A146+pdesb</f>
        <v>25</v>
      </c>
      <c r="B147" s="152">
        <f t="shared" si="27"/>
        <v>15.622678395248585</v>
      </c>
      <c r="C147" s="145">
        <f t="shared" si="28"/>
        <v>774.52125913905991</v>
      </c>
      <c r="D147" s="153">
        <f t="shared" si="29"/>
        <v>20.383445811502646</v>
      </c>
      <c r="E147" s="164">
        <f t="shared" si="30"/>
        <v>25.274258931963477</v>
      </c>
      <c r="F147" s="168">
        <f t="shared" si="31"/>
        <v>179.78298333464787</v>
      </c>
      <c r="G147" s="172">
        <f t="shared" ref="G147:G156" si="34">C147-C148</f>
        <v>190.35476698454966</v>
      </c>
      <c r="H147" s="179">
        <f t="shared" si="32"/>
        <v>17.123419717915027</v>
      </c>
      <c r="I147" s="111"/>
      <c r="J147" s="154"/>
      <c r="K147" s="114"/>
      <c r="L147" s="111"/>
      <c r="M147" s="111"/>
      <c r="N147" s="111"/>
      <c r="O147" s="115"/>
      <c r="P147" s="116"/>
      <c r="Q147" s="117"/>
      <c r="R147" s="82"/>
    </row>
    <row r="148" spans="1:18">
      <c r="A148" s="163">
        <f t="shared" si="33"/>
        <v>30</v>
      </c>
      <c r="B148" s="152">
        <f t="shared" si="27"/>
        <v>17.988868326662203</v>
      </c>
      <c r="C148" s="145">
        <f t="shared" si="28"/>
        <v>584.16649215451025</v>
      </c>
      <c r="D148" s="153">
        <f t="shared" si="29"/>
        <v>24.429066168721892</v>
      </c>
      <c r="E148" s="164">
        <f t="shared" si="30"/>
        <v>27.380429429173205</v>
      </c>
      <c r="F148" s="168">
        <f t="shared" si="31"/>
        <v>223.11569329134582</v>
      </c>
      <c r="G148" s="172">
        <f t="shared" si="34"/>
        <v>111.57481285277856</v>
      </c>
      <c r="H148" s="179">
        <f t="shared" si="32"/>
        <v>19.871185038184535</v>
      </c>
      <c r="I148" s="111"/>
      <c r="J148" s="154"/>
      <c r="K148" s="114"/>
      <c r="L148" s="111"/>
      <c r="M148" s="111"/>
      <c r="N148" s="111"/>
      <c r="O148" s="115"/>
      <c r="P148" s="116"/>
      <c r="Q148" s="117"/>
      <c r="R148" s="82"/>
    </row>
    <row r="149" spans="1:18">
      <c r="A149" s="163">
        <f t="shared" si="33"/>
        <v>35</v>
      </c>
      <c r="B149" s="152">
        <f t="shared" si="27"/>
        <v>19.99996006609496</v>
      </c>
      <c r="C149" s="145">
        <f t="shared" si="28"/>
        <v>472.59167930173169</v>
      </c>
      <c r="D149" s="153">
        <f t="shared" si="29"/>
        <v>27.820860309236064</v>
      </c>
      <c r="E149" s="164">
        <f t="shared" si="30"/>
        <v>28.728772061012613</v>
      </c>
      <c r="F149" s="168">
        <f t="shared" si="31"/>
        <v>259.3858351469712</v>
      </c>
      <c r="G149" s="172">
        <f t="shared" si="34"/>
        <v>72.178911758667141</v>
      </c>
      <c r="H149" s="179">
        <f t="shared" si="32"/>
        <v>22.608706393508037</v>
      </c>
      <c r="I149" s="111"/>
      <c r="J149" s="154"/>
      <c r="K149" s="114"/>
      <c r="L149" s="111"/>
      <c r="M149" s="111"/>
      <c r="N149" s="111"/>
      <c r="O149" s="115"/>
      <c r="P149" s="116"/>
      <c r="Q149" s="117"/>
      <c r="R149" s="82"/>
    </row>
    <row r="150" spans="1:18">
      <c r="A150" s="163">
        <f t="shared" si="33"/>
        <v>40</v>
      </c>
      <c r="B150" s="152">
        <f t="shared" si="27"/>
        <v>21.727922598897567</v>
      </c>
      <c r="C150" s="145">
        <f t="shared" si="28"/>
        <v>400.41276754306455</v>
      </c>
      <c r="D150" s="153">
        <f t="shared" si="29"/>
        <v>30.655589864537607</v>
      </c>
      <c r="E150" s="164">
        <f t="shared" si="30"/>
        <v>29.554060121803456</v>
      </c>
      <c r="F150" s="168">
        <f t="shared" si="31"/>
        <v>289.18467340404459</v>
      </c>
      <c r="G150" s="172">
        <f t="shared" si="34"/>
        <v>50.13320716381287</v>
      </c>
      <c r="H150" s="179">
        <f t="shared" si="32"/>
        <v>25.230463717043527</v>
      </c>
      <c r="I150" s="111"/>
      <c r="J150" s="154"/>
      <c r="K150" s="114"/>
      <c r="L150" s="111"/>
      <c r="M150" s="111"/>
      <c r="N150" s="111"/>
      <c r="O150" s="115"/>
      <c r="P150" s="116"/>
      <c r="Q150" s="117"/>
      <c r="R150" s="82"/>
    </row>
    <row r="151" spans="1:18">
      <c r="A151" s="163">
        <f t="shared" si="33"/>
        <v>45</v>
      </c>
      <c r="B151" s="152">
        <f t="shared" si="27"/>
        <v>23.230832101091192</v>
      </c>
      <c r="C151" s="145">
        <f t="shared" si="28"/>
        <v>350.27956037925168</v>
      </c>
      <c r="D151" s="153">
        <f t="shared" si="29"/>
        <v>33.01133771317857</v>
      </c>
      <c r="E151" s="164">
        <f t="shared" si="30"/>
        <v>29.979951394381878</v>
      </c>
      <c r="F151" s="168">
        <f t="shared" si="31"/>
        <v>313.06900401095913</v>
      </c>
      <c r="G151" s="172">
        <f t="shared" si="34"/>
        <v>36.729536222549939</v>
      </c>
      <c r="H151" s="179">
        <f t="shared" si="32"/>
        <v>27.64607223821206</v>
      </c>
      <c r="I151" s="111"/>
      <c r="J151" s="154"/>
      <c r="K151" s="114"/>
      <c r="L151" s="111"/>
      <c r="M151" s="111"/>
      <c r="N151" s="111"/>
      <c r="O151" s="115"/>
      <c r="P151" s="116"/>
      <c r="Q151" s="117"/>
      <c r="R151" s="82"/>
    </row>
    <row r="152" spans="1:18">
      <c r="A152" s="163">
        <f t="shared" si="33"/>
        <v>50</v>
      </c>
      <c r="B152" s="152">
        <f t="shared" si="27"/>
        <v>24.553801733943406</v>
      </c>
      <c r="C152" s="145">
        <f t="shared" si="28"/>
        <v>313.55002415670174</v>
      </c>
      <c r="D152" s="153">
        <f t="shared" si="29"/>
        <v>34.94875808093078</v>
      </c>
      <c r="E152" s="164">
        <f t="shared" si="30"/>
        <v>30.078779843687929</v>
      </c>
      <c r="F152" s="168">
        <f t="shared" si="31"/>
        <v>331.5145846482713</v>
      </c>
      <c r="G152" s="172">
        <f t="shared" si="34"/>
        <v>28.041589059301316</v>
      </c>
      <c r="H152" s="179">
        <f t="shared" si="32"/>
        <v>29.792406801004816</v>
      </c>
      <c r="I152" s="111"/>
      <c r="J152" s="154"/>
      <c r="K152" s="114"/>
      <c r="L152" s="111"/>
      <c r="M152" s="111"/>
      <c r="N152" s="111"/>
      <c r="O152" s="115"/>
      <c r="P152" s="116"/>
      <c r="Q152" s="117"/>
      <c r="R152" s="82"/>
    </row>
    <row r="153" spans="1:18">
      <c r="A153" s="163">
        <f t="shared" si="33"/>
        <v>55</v>
      </c>
      <c r="B153" s="152">
        <f t="shared" si="27"/>
        <v>25.731357111216642</v>
      </c>
      <c r="C153" s="145">
        <f t="shared" si="28"/>
        <v>285.50843509740042</v>
      </c>
      <c r="D153" s="153">
        <f t="shared" si="29"/>
        <v>36.514270334409645</v>
      </c>
      <c r="E153" s="164">
        <f t="shared" si="30"/>
        <v>29.897445169365728</v>
      </c>
      <c r="F153" s="168">
        <f t="shared" si="31"/>
        <v>344.92209729182821</v>
      </c>
      <c r="G153" s="172">
        <f t="shared" si="34"/>
        <v>22.115955130274642</v>
      </c>
      <c r="H153" s="179">
        <f t="shared" si="32"/>
        <v>31.627987257024213</v>
      </c>
      <c r="I153" s="111"/>
      <c r="J153" s="154"/>
      <c r="K153" s="114"/>
      <c r="L153" s="111"/>
      <c r="M153" s="111"/>
      <c r="N153" s="111"/>
      <c r="O153" s="115"/>
      <c r="P153" s="116"/>
      <c r="Q153" s="117"/>
      <c r="R153" s="82"/>
    </row>
    <row r="154" spans="1:18">
      <c r="A154" s="163">
        <f t="shared" si="33"/>
        <v>60</v>
      </c>
      <c r="B154" s="152">
        <f t="shared" si="27"/>
        <v>26.789862111400492</v>
      </c>
      <c r="C154" s="145">
        <f t="shared" si="28"/>
        <v>263.39247996712578</v>
      </c>
      <c r="D154" s="153">
        <f t="shared" si="29"/>
        <v>37.743320463060329</v>
      </c>
      <c r="E154" s="164">
        <f t="shared" si="30"/>
        <v>29.469547119501851</v>
      </c>
      <c r="F154" s="168">
        <f t="shared" si="31"/>
        <v>353.63585207294227</v>
      </c>
      <c r="G154" s="172">
        <f t="shared" si="34"/>
        <v>17.903317796608093</v>
      </c>
      <c r="H154" s="179">
        <f t="shared" si="32"/>
        <v>33.126695539886633</v>
      </c>
      <c r="I154" s="111"/>
      <c r="J154" s="154"/>
      <c r="K154" s="114"/>
      <c r="L154" s="111"/>
      <c r="M154" s="111"/>
      <c r="N154" s="111"/>
      <c r="O154" s="115"/>
      <c r="P154" s="116"/>
      <c r="Q154" s="117"/>
      <c r="R154" s="82"/>
    </row>
    <row r="155" spans="1:18">
      <c r="A155" s="163">
        <f t="shared" si="33"/>
        <v>65</v>
      </c>
      <c r="B155" s="152">
        <f t="shared" si="27"/>
        <v>27.749553664181299</v>
      </c>
      <c r="C155" s="145">
        <f t="shared" si="28"/>
        <v>245.48916217051769</v>
      </c>
      <c r="D155" s="153">
        <f t="shared" si="29"/>
        <v>38.663116830642679</v>
      </c>
      <c r="E155" s="164">
        <f t="shared" si="30"/>
        <v>28.821456793767251</v>
      </c>
      <c r="F155" s="168">
        <f t="shared" si="31"/>
        <v>357.96262836231824</v>
      </c>
      <c r="G155" s="172">
        <f>C155-C156</f>
        <v>0</v>
      </c>
      <c r="H155" s="179">
        <f>6.3167+0.01803*D155^2-0.005994*G155+18.1328*(G155/C155)</f>
        <v>33.268603953170455</v>
      </c>
      <c r="I155" s="111"/>
      <c r="J155" s="154"/>
      <c r="K155" s="114"/>
      <c r="L155" s="111"/>
      <c r="M155" s="111"/>
      <c r="N155" s="111"/>
      <c r="O155" s="115"/>
      <c r="P155" s="116"/>
      <c r="Q155" s="117"/>
      <c r="R155" s="82"/>
    </row>
    <row r="156" spans="1:18">
      <c r="A156" s="163">
        <v>70</v>
      </c>
      <c r="B156" s="152">
        <f t="shared" si="27"/>
        <v>28.626116569254211</v>
      </c>
      <c r="C156" s="146">
        <f t="shared" si="28"/>
        <v>245.48916217051769</v>
      </c>
      <c r="D156" s="153">
        <f t="shared" si="29"/>
        <v>38.690102564593914</v>
      </c>
      <c r="E156" s="164">
        <f t="shared" si="30"/>
        <v>28.861703916022808</v>
      </c>
      <c r="F156" s="168">
        <f t="shared" si="31"/>
        <v>369.53338354474806</v>
      </c>
      <c r="G156" s="172">
        <f t="shared" si="34"/>
        <v>0</v>
      </c>
      <c r="H156" s="179">
        <f t="shared" si="32"/>
        <v>33.306240377352104</v>
      </c>
      <c r="I156" s="124"/>
      <c r="J156" s="174"/>
      <c r="K156" s="125"/>
      <c r="L156" s="82"/>
      <c r="M156" s="82"/>
      <c r="N156" s="82"/>
      <c r="O156" s="126"/>
      <c r="P156" s="82"/>
      <c r="Q156" s="127"/>
      <c r="R156" s="83"/>
    </row>
    <row r="157" spans="1:18" ht="13.8" thickBot="1">
      <c r="A157" s="165">
        <v>75</v>
      </c>
      <c r="B157" s="156">
        <f t="shared" si="27"/>
        <v>29.431856571860372</v>
      </c>
      <c r="C157" s="146">
        <f t="shared" si="28"/>
        <v>245.48916217051769</v>
      </c>
      <c r="D157" s="157">
        <f t="shared" si="29"/>
        <v>38.494320544300166</v>
      </c>
      <c r="E157" s="166">
        <f t="shared" si="30"/>
        <v>28.570347441590304</v>
      </c>
      <c r="F157" s="169">
        <f t="shared" si="31"/>
        <v>375.87664605637605</v>
      </c>
      <c r="G157" s="175">
        <f>C157-C158</f>
        <v>245.48916217051769</v>
      </c>
      <c r="H157" s="180">
        <f t="shared" si="32"/>
        <v>49.695121198386872</v>
      </c>
      <c r="I157" s="133"/>
      <c r="J157" s="176"/>
      <c r="K157" s="134"/>
      <c r="L157" s="135"/>
      <c r="M157" s="135"/>
      <c r="N157" s="135"/>
      <c r="O157" s="136"/>
      <c r="P157" s="135"/>
      <c r="Q157" s="137"/>
      <c r="R157" s="83"/>
    </row>
    <row r="158" spans="1:18">
      <c r="A158" s="138"/>
      <c r="B158" s="109"/>
      <c r="C158" s="145"/>
      <c r="D158" s="122"/>
      <c r="E158" s="122"/>
      <c r="F158" s="122"/>
      <c r="G158" s="139"/>
      <c r="H158" s="124"/>
      <c r="I158" s="124"/>
      <c r="J158" s="124"/>
      <c r="K158" s="124"/>
      <c r="L158" s="82"/>
      <c r="M158" s="82"/>
      <c r="N158" s="82"/>
      <c r="O158" s="82"/>
      <c r="P158" s="82"/>
      <c r="Q158" s="83"/>
      <c r="R158" s="83"/>
    </row>
    <row r="159" spans="1:18" s="67" customFormat="1">
      <c r="A159" s="138"/>
      <c r="B159" s="109"/>
      <c r="C159" s="110"/>
      <c r="D159" s="122"/>
      <c r="E159" s="122"/>
      <c r="F159" s="122"/>
      <c r="G159" s="139"/>
      <c r="H159" s="124"/>
      <c r="I159" s="124"/>
      <c r="J159" s="124"/>
      <c r="K159" s="124"/>
      <c r="L159" s="82"/>
      <c r="M159" s="82"/>
      <c r="N159" s="82"/>
      <c r="O159" s="82"/>
      <c r="P159" s="82"/>
      <c r="Q159" s="83"/>
      <c r="R159" s="83"/>
    </row>
    <row r="160" spans="1:18" s="67" customFormat="1">
      <c r="A160" s="138"/>
      <c r="B160" s="109"/>
      <c r="C160" s="110"/>
      <c r="D160" s="122"/>
      <c r="E160" s="122"/>
      <c r="F160" s="122"/>
      <c r="G160" s="139"/>
      <c r="H160" s="124"/>
      <c r="I160" s="124"/>
      <c r="J160" s="124"/>
      <c r="K160" s="124"/>
      <c r="L160" s="82"/>
      <c r="M160" s="82"/>
      <c r="N160" s="82"/>
      <c r="O160" s="82"/>
      <c r="P160" s="82"/>
      <c r="Q160" s="83"/>
      <c r="R160" s="83"/>
    </row>
    <row r="161" spans="1:18" s="67" customFormat="1" ht="13.8" thickBot="1">
      <c r="A161" s="138"/>
      <c r="B161" s="109"/>
      <c r="C161" s="110"/>
      <c r="D161" s="122"/>
      <c r="E161" s="122"/>
      <c r="F161" s="122"/>
      <c r="G161" s="139"/>
      <c r="H161" s="124"/>
      <c r="I161" s="124"/>
      <c r="J161" s="124"/>
      <c r="K161" s="124"/>
      <c r="L161" s="82"/>
      <c r="M161" s="82"/>
      <c r="N161" s="82"/>
      <c r="O161" s="82"/>
      <c r="P161" s="82"/>
      <c r="Q161" s="83"/>
      <c r="R161" s="83"/>
    </row>
    <row r="162" spans="1:18" ht="13.8" thickBot="1">
      <c r="A162" s="216" t="s">
        <v>0</v>
      </c>
      <c r="B162" s="218" t="s">
        <v>69</v>
      </c>
      <c r="C162" s="218"/>
      <c r="D162" s="218"/>
      <c r="E162" s="219"/>
      <c r="F162" s="218"/>
      <c r="G162" s="220" t="s">
        <v>70</v>
      </c>
      <c r="H162" s="221"/>
      <c r="I162" s="221"/>
      <c r="J162" s="222"/>
      <c r="K162" s="220" t="s">
        <v>71</v>
      </c>
      <c r="L162" s="221"/>
      <c r="M162" s="221"/>
      <c r="N162" s="222"/>
      <c r="O162" s="223" t="s">
        <v>6</v>
      </c>
      <c r="P162" s="225" t="s">
        <v>56</v>
      </c>
      <c r="Q162" s="226"/>
      <c r="R162" s="82"/>
    </row>
    <row r="163" spans="1:18" ht="16.2" thickBot="1">
      <c r="A163" s="217"/>
      <c r="B163" s="84" t="s">
        <v>1</v>
      </c>
      <c r="C163" s="85" t="s">
        <v>2</v>
      </c>
      <c r="D163" s="85" t="s">
        <v>3</v>
      </c>
      <c r="E163" s="86" t="s">
        <v>57</v>
      </c>
      <c r="F163" s="85" t="s">
        <v>58</v>
      </c>
      <c r="G163" s="87" t="s">
        <v>60</v>
      </c>
      <c r="H163" s="88" t="s">
        <v>3</v>
      </c>
      <c r="I163" s="88" t="s">
        <v>72</v>
      </c>
      <c r="J163" s="86" t="s">
        <v>59</v>
      </c>
      <c r="K163" s="85" t="s">
        <v>73</v>
      </c>
      <c r="L163" s="85" t="s">
        <v>74</v>
      </c>
      <c r="M163" s="85" t="s">
        <v>75</v>
      </c>
      <c r="N163" s="85" t="s">
        <v>76</v>
      </c>
      <c r="O163" s="224"/>
      <c r="P163" s="89" t="s">
        <v>61</v>
      </c>
      <c r="Q163" s="89" t="s">
        <v>62</v>
      </c>
      <c r="R163" s="90" t="s">
        <v>77</v>
      </c>
    </row>
    <row r="164" spans="1:18" ht="13.8" thickBot="1">
      <c r="A164" s="140">
        <v>15</v>
      </c>
      <c r="B164" s="93">
        <f>EXP(4.04764-8.75819/A164^0.56087)+1.19874*(1-EXP(-0.081*A164))^2.99578*($B$5-17.38)</f>
        <v>9.5085291059454633</v>
      </c>
      <c r="C164" s="141">
        <f>$B$6</f>
        <v>2200</v>
      </c>
      <c r="D164" s="142"/>
      <c r="E164" s="94"/>
      <c r="F164" s="142"/>
      <c r="G164" s="95"/>
      <c r="H164" s="94"/>
      <c r="I164" s="94"/>
      <c r="J164" s="94"/>
      <c r="K164" s="142"/>
      <c r="L164" s="142"/>
      <c r="M164" s="142"/>
      <c r="N164" s="142"/>
      <c r="O164" s="97"/>
      <c r="P164" s="148"/>
      <c r="Q164" s="160"/>
      <c r="R164" s="90"/>
    </row>
    <row r="165" spans="1:18">
      <c r="A165" s="161">
        <v>15</v>
      </c>
      <c r="B165" s="149">
        <f>EXP(4.04764-8.75819/A165^0.56087)+1.19874*(1-EXP(-0.081*A165))^2.99578*($B$5-17.38)</f>
        <v>9.5085291059454633</v>
      </c>
      <c r="C165" s="145">
        <f>IF(A165&lt;=$D$8,100^2/($B$4^2*B165^2),C164)</f>
        <v>2090.8248228660891</v>
      </c>
      <c r="D165" s="150">
        <f>(-7.5886+0.6547*B165+0.3669*A165+299.909*(1/SQRT(C165))-0.003528*A165^2)</f>
        <v>9.9052289536229896</v>
      </c>
      <c r="E165" s="162">
        <f>(PI()/4*(D165/100)^2)*C165</f>
        <v>16.111521893899372</v>
      </c>
      <c r="F165" s="181">
        <f>0.2768*E165+0.4376*E165*B165</f>
        <v>71.498621703001916</v>
      </c>
      <c r="G165" s="171">
        <f>C165-C166</f>
        <v>940.60147088805911</v>
      </c>
      <c r="H165" s="178">
        <f>6.3167+0.01803*D165^2-0.005994*G165+18.1328*(G165/C165)</f>
        <v>10.60514329777968</v>
      </c>
      <c r="I165" s="162">
        <f>(PI()/4*(H165/100)^2)*G165</f>
        <v>8.3086146522791804</v>
      </c>
      <c r="J165" s="151"/>
      <c r="K165" s="182"/>
      <c r="L165" s="101"/>
      <c r="M165" s="101"/>
      <c r="N165" s="101"/>
      <c r="O165" s="105"/>
      <c r="P165" s="106"/>
      <c r="Q165" s="107"/>
      <c r="R165" s="82"/>
    </row>
    <row r="166" spans="1:18">
      <c r="A166" s="163">
        <f>A165+pdesb</f>
        <v>20</v>
      </c>
      <c r="B166" s="152">
        <f t="shared" ref="B166:B177" si="35">EXP(4.04764-8.75819/A166^0.56087)+1.19874*(1-EXP(-0.081*A166))^2.99578*($B$5-17.38)</f>
        <v>12.819794801507502</v>
      </c>
      <c r="C166" s="145">
        <f t="shared" ref="C166:C177" si="36">IF(A166&lt;=$D$8,100^2/($B$4^2*B166^2),C165)</f>
        <v>1150.22335197803</v>
      </c>
      <c r="D166" s="153">
        <f t="shared" ref="D166:D177" si="37">(-7.5886+0.6547*B166+0.3669*A166+299.909*(1/SQRT(C166))-0.003528*A166^2)</f>
        <v>15.574294886535185</v>
      </c>
      <c r="E166" s="164">
        <f t="shared" ref="E166:E177" si="38">(PI()/4*(D166/100)^2)*C166</f>
        <v>21.912344578448636</v>
      </c>
      <c r="F166" s="170">
        <f t="shared" ref="F166:F177" si="39">0.2768*E166+0.4376*E166*B166</f>
        <v>128.9923236435173</v>
      </c>
      <c r="G166" s="172">
        <f t="shared" ref="G166:G176" si="40">C166-C167</f>
        <v>375.70209283897009</v>
      </c>
      <c r="H166" s="179">
        <f t="shared" ref="H166:H176" si="41">6.3167+0.01803*D166^2-0.005994*G166+18.1328*(G166/C166)</f>
        <v>14.36086391915218</v>
      </c>
      <c r="I166" s="164">
        <f t="shared" ref="I166:I176" si="42">(PI()/4*(H166/100)^2)*G166</f>
        <v>6.0854770583989177</v>
      </c>
      <c r="J166" s="154"/>
      <c r="K166" s="183"/>
      <c r="L166" s="111"/>
      <c r="M166" s="111"/>
      <c r="N166" s="111"/>
      <c r="O166" s="115"/>
      <c r="P166" s="116"/>
      <c r="Q166" s="117"/>
      <c r="R166" s="82"/>
    </row>
    <row r="167" spans="1:18">
      <c r="A167" s="163">
        <f t="shared" ref="A167:A175" si="43">A166+pdesb</f>
        <v>25</v>
      </c>
      <c r="B167" s="152">
        <f t="shared" si="35"/>
        <v>15.622678395248585</v>
      </c>
      <c r="C167" s="145">
        <f t="shared" si="36"/>
        <v>774.52125913905991</v>
      </c>
      <c r="D167" s="153">
        <f t="shared" si="37"/>
        <v>20.383445811502646</v>
      </c>
      <c r="E167" s="164">
        <f t="shared" si="38"/>
        <v>25.274258931963477</v>
      </c>
      <c r="F167" s="170">
        <f t="shared" si="39"/>
        <v>179.78298333464787</v>
      </c>
      <c r="G167" s="172">
        <f t="shared" si="40"/>
        <v>190.35476698454966</v>
      </c>
      <c r="H167" s="179">
        <f t="shared" si="41"/>
        <v>17.123419717915027</v>
      </c>
      <c r="I167" s="164">
        <f t="shared" si="42"/>
        <v>4.383637590452258</v>
      </c>
      <c r="J167" s="154"/>
      <c r="K167" s="183"/>
      <c r="L167" s="111"/>
      <c r="M167" s="111"/>
      <c r="N167" s="111"/>
      <c r="O167" s="115"/>
      <c r="P167" s="116"/>
      <c r="Q167" s="117"/>
      <c r="R167" s="82"/>
    </row>
    <row r="168" spans="1:18">
      <c r="A168" s="163">
        <f t="shared" si="43"/>
        <v>30</v>
      </c>
      <c r="B168" s="152">
        <f t="shared" si="35"/>
        <v>17.988868326662203</v>
      </c>
      <c r="C168" s="145">
        <f t="shared" si="36"/>
        <v>584.16649215451025</v>
      </c>
      <c r="D168" s="153">
        <f t="shared" si="37"/>
        <v>24.429066168721892</v>
      </c>
      <c r="E168" s="164">
        <f t="shared" si="38"/>
        <v>27.380429429173205</v>
      </c>
      <c r="F168" s="170">
        <f t="shared" si="39"/>
        <v>223.11569329134582</v>
      </c>
      <c r="G168" s="172">
        <f t="shared" si="40"/>
        <v>111.57481285277856</v>
      </c>
      <c r="H168" s="179">
        <f t="shared" si="41"/>
        <v>19.871185038184535</v>
      </c>
      <c r="I168" s="164">
        <f t="shared" si="42"/>
        <v>3.4602189750321761</v>
      </c>
      <c r="J168" s="154"/>
      <c r="K168" s="183"/>
      <c r="L168" s="111"/>
      <c r="M168" s="111"/>
      <c r="N168" s="111"/>
      <c r="O168" s="115"/>
      <c r="P168" s="116"/>
      <c r="Q168" s="117"/>
      <c r="R168" s="82"/>
    </row>
    <row r="169" spans="1:18">
      <c r="A169" s="163">
        <f t="shared" si="43"/>
        <v>35</v>
      </c>
      <c r="B169" s="152">
        <f t="shared" si="35"/>
        <v>19.99996006609496</v>
      </c>
      <c r="C169" s="145">
        <f t="shared" si="36"/>
        <v>472.59167930173169</v>
      </c>
      <c r="D169" s="153">
        <f t="shared" si="37"/>
        <v>27.820860309236064</v>
      </c>
      <c r="E169" s="164">
        <f t="shared" si="38"/>
        <v>28.728772061012613</v>
      </c>
      <c r="F169" s="170">
        <f t="shared" si="39"/>
        <v>259.3858351469712</v>
      </c>
      <c r="G169" s="172">
        <f t="shared" si="40"/>
        <v>72.178911758667141</v>
      </c>
      <c r="H169" s="179">
        <f t="shared" si="41"/>
        <v>22.608706393508037</v>
      </c>
      <c r="I169" s="164">
        <f t="shared" si="42"/>
        <v>2.8976881127880056</v>
      </c>
      <c r="J169" s="154"/>
      <c r="K169" s="183"/>
      <c r="L169" s="111"/>
      <c r="M169" s="111"/>
      <c r="N169" s="111"/>
      <c r="O169" s="115"/>
      <c r="P169" s="116"/>
      <c r="Q169" s="117"/>
      <c r="R169" s="82"/>
    </row>
    <row r="170" spans="1:18">
      <c r="A170" s="163">
        <f t="shared" si="43"/>
        <v>40</v>
      </c>
      <c r="B170" s="152">
        <f t="shared" si="35"/>
        <v>21.727922598897567</v>
      </c>
      <c r="C170" s="145">
        <f t="shared" si="36"/>
        <v>400.41276754306455</v>
      </c>
      <c r="D170" s="153">
        <f t="shared" si="37"/>
        <v>30.655589864537607</v>
      </c>
      <c r="E170" s="164">
        <f t="shared" si="38"/>
        <v>29.554060121803456</v>
      </c>
      <c r="F170" s="170">
        <f t="shared" si="39"/>
        <v>289.18467340404459</v>
      </c>
      <c r="G170" s="172">
        <f t="shared" si="40"/>
        <v>50.13320716381287</v>
      </c>
      <c r="H170" s="179">
        <f t="shared" si="41"/>
        <v>25.230463717043527</v>
      </c>
      <c r="I170" s="164">
        <f t="shared" si="42"/>
        <v>2.5064891853387357</v>
      </c>
      <c r="J170" s="154"/>
      <c r="K170" s="183"/>
      <c r="L170" s="111"/>
      <c r="M170" s="111"/>
      <c r="N170" s="111"/>
      <c r="O170" s="115"/>
      <c r="P170" s="116"/>
      <c r="Q170" s="117"/>
      <c r="R170" s="82"/>
    </row>
    <row r="171" spans="1:18">
      <c r="A171" s="163">
        <f t="shared" si="43"/>
        <v>45</v>
      </c>
      <c r="B171" s="152">
        <f t="shared" si="35"/>
        <v>23.230832101091192</v>
      </c>
      <c r="C171" s="145">
        <f t="shared" si="36"/>
        <v>350.27956037925168</v>
      </c>
      <c r="D171" s="153">
        <f t="shared" si="37"/>
        <v>33.01133771317857</v>
      </c>
      <c r="E171" s="164">
        <f t="shared" si="38"/>
        <v>29.979951394381878</v>
      </c>
      <c r="F171" s="170">
        <f t="shared" si="39"/>
        <v>313.06900401095913</v>
      </c>
      <c r="G171" s="172">
        <f t="shared" si="40"/>
        <v>36.729536222549939</v>
      </c>
      <c r="H171" s="179">
        <f t="shared" si="41"/>
        <v>27.64607223821206</v>
      </c>
      <c r="I171" s="164">
        <f t="shared" si="42"/>
        <v>2.2048152440893189</v>
      </c>
      <c r="J171" s="154"/>
      <c r="K171" s="183"/>
      <c r="L171" s="111"/>
      <c r="M171" s="111"/>
      <c r="N171" s="111"/>
      <c r="O171" s="115"/>
      <c r="P171" s="116"/>
      <c r="Q171" s="117"/>
      <c r="R171" s="82"/>
    </row>
    <row r="172" spans="1:18">
      <c r="A172" s="163">
        <f t="shared" si="43"/>
        <v>50</v>
      </c>
      <c r="B172" s="152">
        <f t="shared" si="35"/>
        <v>24.553801733943406</v>
      </c>
      <c r="C172" s="145">
        <f t="shared" si="36"/>
        <v>313.55002415670174</v>
      </c>
      <c r="D172" s="153">
        <f t="shared" si="37"/>
        <v>34.94875808093078</v>
      </c>
      <c r="E172" s="164">
        <f t="shared" si="38"/>
        <v>30.078779843687929</v>
      </c>
      <c r="F172" s="170">
        <f t="shared" si="39"/>
        <v>331.5145846482713</v>
      </c>
      <c r="G172" s="172">
        <f t="shared" si="40"/>
        <v>28.041589059301316</v>
      </c>
      <c r="H172" s="179">
        <f t="shared" si="41"/>
        <v>29.792406801004816</v>
      </c>
      <c r="I172" s="164">
        <f t="shared" si="42"/>
        <v>1.9548060784098495</v>
      </c>
      <c r="J172" s="154"/>
      <c r="K172" s="183"/>
      <c r="L172" s="111"/>
      <c r="M172" s="111"/>
      <c r="N172" s="111"/>
      <c r="O172" s="115"/>
      <c r="P172" s="116"/>
      <c r="Q172" s="117"/>
      <c r="R172" s="82"/>
    </row>
    <row r="173" spans="1:18">
      <c r="A173" s="163">
        <f t="shared" si="43"/>
        <v>55</v>
      </c>
      <c r="B173" s="152">
        <f t="shared" si="35"/>
        <v>25.731357111216642</v>
      </c>
      <c r="C173" s="145">
        <f t="shared" si="36"/>
        <v>285.50843509740042</v>
      </c>
      <c r="D173" s="153">
        <f t="shared" si="37"/>
        <v>36.514270334409645</v>
      </c>
      <c r="E173" s="164">
        <f t="shared" si="38"/>
        <v>29.897445169365728</v>
      </c>
      <c r="F173" s="170">
        <f t="shared" si="39"/>
        <v>344.92209729182821</v>
      </c>
      <c r="G173" s="172">
        <f t="shared" si="40"/>
        <v>22.115955130274642</v>
      </c>
      <c r="H173" s="179">
        <f t="shared" si="41"/>
        <v>31.627987257024213</v>
      </c>
      <c r="I173" s="164">
        <f t="shared" si="42"/>
        <v>1.737555525390071</v>
      </c>
      <c r="J173" s="154"/>
      <c r="K173" s="183"/>
      <c r="L173" s="111"/>
      <c r="M173" s="111"/>
      <c r="N173" s="111"/>
      <c r="O173" s="115"/>
      <c r="P173" s="116"/>
      <c r="Q173" s="117"/>
      <c r="R173" s="82"/>
    </row>
    <row r="174" spans="1:18">
      <c r="A174" s="163">
        <f t="shared" si="43"/>
        <v>60</v>
      </c>
      <c r="B174" s="152">
        <f t="shared" si="35"/>
        <v>26.789862111400492</v>
      </c>
      <c r="C174" s="145">
        <f t="shared" si="36"/>
        <v>263.39247996712578</v>
      </c>
      <c r="D174" s="153">
        <f t="shared" si="37"/>
        <v>37.743320463060329</v>
      </c>
      <c r="E174" s="164">
        <f t="shared" si="38"/>
        <v>29.469547119501851</v>
      </c>
      <c r="F174" s="170">
        <f t="shared" si="39"/>
        <v>353.63585207294227</v>
      </c>
      <c r="G174" s="172">
        <f t="shared" si="40"/>
        <v>17.903317796608093</v>
      </c>
      <c r="H174" s="179">
        <f t="shared" si="41"/>
        <v>33.126695539886633</v>
      </c>
      <c r="I174" s="164">
        <f t="shared" si="42"/>
        <v>1.5430487055972151</v>
      </c>
      <c r="J174" s="154"/>
      <c r="K174" s="183"/>
      <c r="L174" s="111"/>
      <c r="M174" s="111"/>
      <c r="N174" s="111"/>
      <c r="O174" s="115"/>
      <c r="P174" s="116"/>
      <c r="Q174" s="117"/>
      <c r="R174" s="82"/>
    </row>
    <row r="175" spans="1:18">
      <c r="A175" s="163">
        <f t="shared" si="43"/>
        <v>65</v>
      </c>
      <c r="B175" s="152">
        <f t="shared" si="35"/>
        <v>27.749553664181299</v>
      </c>
      <c r="C175" s="145">
        <f t="shared" si="36"/>
        <v>245.48916217051769</v>
      </c>
      <c r="D175" s="153">
        <f t="shared" si="37"/>
        <v>38.663116830642679</v>
      </c>
      <c r="E175" s="164">
        <f t="shared" si="38"/>
        <v>28.821456793767251</v>
      </c>
      <c r="F175" s="170">
        <f t="shared" si="39"/>
        <v>357.96262836231824</v>
      </c>
      <c r="G175" s="172">
        <f t="shared" si="40"/>
        <v>0</v>
      </c>
      <c r="H175" s="179">
        <f t="shared" si="41"/>
        <v>33.268603953170455</v>
      </c>
      <c r="I175" s="164">
        <f t="shared" si="42"/>
        <v>0</v>
      </c>
      <c r="J175" s="154"/>
      <c r="K175" s="183"/>
      <c r="L175" s="111"/>
      <c r="M175" s="111"/>
      <c r="N175" s="111"/>
      <c r="O175" s="115"/>
      <c r="P175" s="116"/>
      <c r="Q175" s="117"/>
      <c r="R175" s="82"/>
    </row>
    <row r="176" spans="1:18">
      <c r="A176" s="163">
        <v>70</v>
      </c>
      <c r="B176" s="152">
        <f t="shared" si="35"/>
        <v>28.626116569254211</v>
      </c>
      <c r="C176" s="146">
        <f t="shared" si="36"/>
        <v>245.48916217051769</v>
      </c>
      <c r="D176" s="153">
        <f t="shared" si="37"/>
        <v>38.690102564593914</v>
      </c>
      <c r="E176" s="164">
        <f t="shared" si="38"/>
        <v>28.861703916022808</v>
      </c>
      <c r="F176" s="170">
        <f t="shared" si="39"/>
        <v>369.53338354474806</v>
      </c>
      <c r="G176" s="172">
        <f t="shared" si="40"/>
        <v>0</v>
      </c>
      <c r="H176" s="179">
        <f t="shared" si="41"/>
        <v>33.306240377352104</v>
      </c>
      <c r="I176" s="164">
        <f t="shared" si="42"/>
        <v>0</v>
      </c>
      <c r="J176" s="174"/>
      <c r="K176" s="124"/>
      <c r="L176" s="82"/>
      <c r="M176" s="82"/>
      <c r="N176" s="82"/>
      <c r="O176" s="126"/>
      <c r="P176" s="82"/>
      <c r="Q176" s="127"/>
      <c r="R176" s="83"/>
    </row>
    <row r="177" spans="1:18" ht="13.8" thickBot="1">
      <c r="A177" s="165">
        <v>75</v>
      </c>
      <c r="B177" s="156">
        <f t="shared" si="35"/>
        <v>29.431856571860372</v>
      </c>
      <c r="C177" s="146">
        <f t="shared" si="36"/>
        <v>245.48916217051769</v>
      </c>
      <c r="D177" s="157">
        <f t="shared" si="37"/>
        <v>38.494320544300166</v>
      </c>
      <c r="E177" s="166">
        <f t="shared" si="38"/>
        <v>28.570347441590304</v>
      </c>
      <c r="F177" s="184">
        <f t="shared" si="39"/>
        <v>375.87664605637605</v>
      </c>
      <c r="G177" s="185"/>
      <c r="H177" s="186"/>
      <c r="I177" s="186"/>
      <c r="J177" s="176"/>
      <c r="K177" s="133"/>
      <c r="L177" s="135"/>
      <c r="M177" s="135"/>
      <c r="N177" s="135"/>
      <c r="O177" s="136"/>
      <c r="P177" s="135"/>
      <c r="Q177" s="137"/>
      <c r="R177" s="83"/>
    </row>
    <row r="178" spans="1:18" s="67" customFormat="1" ht="14.25" customHeight="1">
      <c r="A178" s="138"/>
      <c r="B178" s="109"/>
      <c r="C178" s="110"/>
      <c r="D178" s="153"/>
      <c r="E178" s="111"/>
      <c r="F178" s="170"/>
      <c r="G178" s="177"/>
      <c r="H178" s="113"/>
      <c r="I178" s="111"/>
      <c r="J178" s="124"/>
      <c r="K178" s="124"/>
      <c r="L178" s="82"/>
      <c r="M178" s="82"/>
      <c r="N178" s="82"/>
      <c r="O178" s="82"/>
      <c r="P178" s="82"/>
      <c r="Q178" s="83"/>
      <c r="R178" s="83"/>
    </row>
    <row r="179" spans="1:18" s="67" customFormat="1" ht="14.25" customHeight="1">
      <c r="A179" s="138"/>
      <c r="B179" s="109"/>
      <c r="C179" s="110"/>
      <c r="D179" s="153"/>
      <c r="E179" s="111"/>
      <c r="F179" s="170"/>
      <c r="G179" s="177"/>
      <c r="H179" s="113"/>
      <c r="I179" s="111"/>
      <c r="J179" s="124"/>
      <c r="K179" s="124"/>
      <c r="L179" s="82"/>
      <c r="M179" s="82"/>
      <c r="N179" s="82"/>
      <c r="O179" s="82"/>
      <c r="P179" s="82"/>
      <c r="Q179" s="83"/>
      <c r="R179" s="83"/>
    </row>
    <row r="180" spans="1:18" s="67" customFormat="1" ht="14.25" customHeight="1">
      <c r="A180" s="138"/>
      <c r="B180" s="109"/>
      <c r="C180" s="110"/>
      <c r="D180" s="153"/>
      <c r="E180" s="111"/>
      <c r="F180" s="170"/>
      <c r="G180" s="177"/>
      <c r="H180" s="113"/>
      <c r="I180" s="111"/>
      <c r="J180" s="124"/>
      <c r="K180" s="124"/>
      <c r="L180" s="82"/>
      <c r="M180" s="82"/>
      <c r="N180" s="82"/>
      <c r="O180" s="82"/>
      <c r="P180" s="82"/>
      <c r="Q180" s="83"/>
      <c r="R180" s="83"/>
    </row>
    <row r="181" spans="1:18" s="67" customFormat="1" ht="14.25" customHeight="1">
      <c r="A181" s="138"/>
      <c r="B181" s="109"/>
      <c r="C181" s="110"/>
      <c r="D181" s="153"/>
      <c r="E181" s="111"/>
      <c r="F181" s="170"/>
      <c r="G181" s="177"/>
      <c r="H181" s="113"/>
      <c r="I181" s="111"/>
      <c r="J181" s="124"/>
      <c r="K181" s="124"/>
      <c r="L181" s="82"/>
      <c r="M181" s="82"/>
      <c r="N181" s="82"/>
      <c r="O181" s="82"/>
      <c r="P181" s="82"/>
      <c r="Q181" s="83"/>
      <c r="R181" s="83"/>
    </row>
    <row r="182" spans="1:18" s="67" customFormat="1" ht="14.25" customHeight="1">
      <c r="A182" s="138"/>
      <c r="B182" s="109"/>
      <c r="C182" s="110"/>
      <c r="D182" s="153"/>
      <c r="E182" s="111"/>
      <c r="F182" s="170"/>
      <c r="G182" s="177"/>
      <c r="H182" s="113"/>
      <c r="I182" s="111"/>
      <c r="J182" s="124"/>
      <c r="K182" s="124"/>
      <c r="L182" s="82"/>
      <c r="M182" s="82"/>
      <c r="N182" s="82"/>
      <c r="O182" s="82"/>
      <c r="P182" s="82"/>
      <c r="Q182" s="83"/>
      <c r="R182" s="83"/>
    </row>
    <row r="183" spans="1:18" s="67" customFormat="1" ht="14.25" customHeight="1">
      <c r="A183" s="138"/>
      <c r="B183" s="109"/>
      <c r="C183" s="110"/>
      <c r="D183" s="153"/>
      <c r="E183" s="111"/>
      <c r="F183" s="170"/>
      <c r="G183" s="177"/>
      <c r="H183" s="113"/>
      <c r="I183" s="111"/>
      <c r="J183" s="124"/>
      <c r="K183" s="124"/>
      <c r="L183" s="82"/>
      <c r="M183" s="82"/>
      <c r="N183" s="82"/>
      <c r="O183" s="82"/>
      <c r="P183" s="82"/>
      <c r="Q183" s="83"/>
      <c r="R183" s="83"/>
    </row>
    <row r="184" spans="1:18" s="67" customFormat="1" ht="14.25" customHeight="1">
      <c r="A184" s="138"/>
      <c r="B184" s="109"/>
      <c r="C184" s="110"/>
      <c r="D184" s="153"/>
      <c r="E184" s="111"/>
      <c r="F184" s="170"/>
      <c r="G184" s="177"/>
      <c r="H184" s="113"/>
      <c r="I184" s="111"/>
      <c r="J184" s="124"/>
      <c r="K184" s="124"/>
      <c r="L184" s="82"/>
      <c r="M184" s="82"/>
      <c r="N184" s="82"/>
      <c r="O184" s="82"/>
      <c r="P184" s="82"/>
      <c r="Q184" s="83"/>
      <c r="R184" s="83"/>
    </row>
    <row r="185" spans="1:18" s="67" customFormat="1" ht="14.25" customHeight="1">
      <c r="A185" s="138"/>
      <c r="B185" s="109"/>
      <c r="C185" s="110"/>
      <c r="D185" s="153"/>
      <c r="E185" s="111"/>
      <c r="F185" s="170"/>
      <c r="G185" s="177"/>
      <c r="H185" s="113"/>
      <c r="I185" s="111"/>
      <c r="J185" s="124"/>
      <c r="K185" s="124"/>
      <c r="L185" s="82"/>
      <c r="M185" s="82"/>
      <c r="N185" s="82"/>
      <c r="O185" s="82"/>
      <c r="P185" s="82"/>
      <c r="Q185" s="83"/>
      <c r="R185" s="83"/>
    </row>
    <row r="186" spans="1:18" s="67" customFormat="1" ht="13.5" customHeight="1">
      <c r="A186" s="138"/>
      <c r="B186" s="109"/>
      <c r="C186" s="110"/>
      <c r="D186" s="153"/>
      <c r="E186" s="111"/>
      <c r="F186" s="170"/>
      <c r="G186" s="177"/>
      <c r="H186" s="113"/>
      <c r="I186" s="111"/>
      <c r="J186" s="124"/>
      <c r="K186" s="124"/>
      <c r="L186" s="82"/>
      <c r="M186" s="82"/>
      <c r="N186" s="82"/>
      <c r="O186" s="82"/>
      <c r="P186" s="82"/>
      <c r="Q186" s="83"/>
      <c r="R186" s="83"/>
    </row>
    <row r="187" spans="1:18" s="67" customFormat="1" ht="13.5" customHeight="1">
      <c r="A187" s="138"/>
      <c r="B187" s="109"/>
      <c r="C187" s="110"/>
      <c r="D187" s="153"/>
      <c r="E187" s="111"/>
      <c r="F187" s="170"/>
      <c r="G187" s="177"/>
      <c r="H187" s="113"/>
      <c r="I187" s="111"/>
      <c r="J187" s="124"/>
      <c r="K187" s="124"/>
      <c r="L187" s="82"/>
      <c r="M187" s="82"/>
      <c r="N187" s="82"/>
      <c r="O187" s="82"/>
      <c r="P187" s="82"/>
      <c r="Q187" s="83"/>
      <c r="R187" s="83"/>
    </row>
    <row r="188" spans="1:18" s="67" customFormat="1" ht="13.5" customHeight="1">
      <c r="A188" s="138"/>
      <c r="B188" s="109"/>
      <c r="C188" s="110"/>
      <c r="D188" s="153"/>
      <c r="E188" s="111"/>
      <c r="F188" s="170"/>
      <c r="G188" s="177"/>
      <c r="H188" s="113"/>
      <c r="I188" s="111"/>
      <c r="J188" s="124"/>
      <c r="K188" s="124"/>
      <c r="L188" s="82"/>
      <c r="M188" s="82"/>
      <c r="N188" s="82"/>
      <c r="O188" s="82"/>
      <c r="P188" s="82"/>
      <c r="Q188" s="83"/>
      <c r="R188" s="83"/>
    </row>
    <row r="189" spans="1:18" s="67" customFormat="1" ht="14.25" customHeight="1">
      <c r="A189" s="138"/>
      <c r="B189" s="109"/>
      <c r="C189" s="110"/>
      <c r="D189" s="153"/>
      <c r="E189" s="111"/>
      <c r="F189" s="170"/>
      <c r="G189" s="177"/>
      <c r="H189" s="113"/>
      <c r="I189" s="111"/>
      <c r="J189" s="124"/>
      <c r="K189" s="124"/>
      <c r="L189" s="82"/>
      <c r="M189" s="82"/>
      <c r="N189" s="82"/>
      <c r="O189" s="82"/>
      <c r="P189" s="82"/>
      <c r="Q189" s="83"/>
      <c r="R189" s="83"/>
    </row>
    <row r="190" spans="1:18" s="67" customFormat="1" ht="14.25" customHeight="1">
      <c r="A190" s="138"/>
      <c r="B190" s="109"/>
      <c r="C190" s="110"/>
      <c r="D190" s="153"/>
      <c r="E190" s="111"/>
      <c r="F190" s="170"/>
      <c r="G190" s="177"/>
      <c r="H190" s="113"/>
      <c r="I190" s="111"/>
      <c r="J190" s="124"/>
      <c r="K190" s="124"/>
      <c r="L190" s="82"/>
      <c r="M190" s="82"/>
      <c r="N190" s="82"/>
      <c r="O190" s="82"/>
      <c r="P190" s="82"/>
      <c r="Q190" s="83"/>
      <c r="R190" s="83"/>
    </row>
    <row r="191" spans="1:18" s="67" customFormat="1" ht="14.25" customHeight="1" thickBot="1">
      <c r="A191" s="138"/>
      <c r="B191" s="109"/>
      <c r="C191" s="110"/>
      <c r="D191" s="153"/>
      <c r="E191" s="111"/>
      <c r="F191" s="170"/>
      <c r="G191" s="177"/>
      <c r="H191" s="113"/>
      <c r="I191" s="111"/>
      <c r="J191" s="124"/>
      <c r="K191" s="124"/>
      <c r="L191" s="82"/>
      <c r="M191" s="82"/>
      <c r="N191" s="82"/>
      <c r="O191" s="82"/>
      <c r="P191" s="82"/>
      <c r="Q191" s="83"/>
      <c r="R191" s="83"/>
    </row>
    <row r="192" spans="1:18" s="67" customFormat="1" ht="14.25" customHeight="1" thickBot="1">
      <c r="A192" s="216" t="s">
        <v>0</v>
      </c>
      <c r="B192" s="218" t="s">
        <v>69</v>
      </c>
      <c r="C192" s="218"/>
      <c r="D192" s="218"/>
      <c r="E192" s="219"/>
      <c r="F192" s="218"/>
      <c r="G192" s="220" t="s">
        <v>70</v>
      </c>
      <c r="H192" s="221"/>
      <c r="I192" s="221"/>
      <c r="J192" s="222"/>
      <c r="K192" s="220" t="s">
        <v>71</v>
      </c>
      <c r="L192" s="221"/>
      <c r="M192" s="221"/>
      <c r="N192" s="222"/>
      <c r="O192" s="223" t="s">
        <v>6</v>
      </c>
      <c r="P192" s="225" t="s">
        <v>56</v>
      </c>
      <c r="Q192" s="226"/>
      <c r="R192" s="82"/>
    </row>
    <row r="193" spans="1:18" s="67" customFormat="1" ht="14.25" customHeight="1" thickBot="1">
      <c r="A193" s="217"/>
      <c r="B193" s="84" t="s">
        <v>1</v>
      </c>
      <c r="C193" s="85" t="s">
        <v>2</v>
      </c>
      <c r="D193" s="85" t="s">
        <v>3</v>
      </c>
      <c r="E193" s="86" t="s">
        <v>57</v>
      </c>
      <c r="F193" s="85" t="s">
        <v>58</v>
      </c>
      <c r="G193" s="87" t="s">
        <v>60</v>
      </c>
      <c r="H193" s="88" t="s">
        <v>3</v>
      </c>
      <c r="I193" s="88" t="s">
        <v>72</v>
      </c>
      <c r="J193" s="86" t="s">
        <v>59</v>
      </c>
      <c r="K193" s="85" t="s">
        <v>73</v>
      </c>
      <c r="L193" s="85" t="s">
        <v>74</v>
      </c>
      <c r="M193" s="85" t="s">
        <v>75</v>
      </c>
      <c r="N193" s="85" t="s">
        <v>76</v>
      </c>
      <c r="O193" s="224"/>
      <c r="P193" s="89" t="s">
        <v>61</v>
      </c>
      <c r="Q193" s="89" t="s">
        <v>62</v>
      </c>
      <c r="R193" s="90" t="s">
        <v>77</v>
      </c>
    </row>
    <row r="194" spans="1:18" s="67" customFormat="1" ht="14.25" customHeight="1" thickBot="1">
      <c r="A194" s="140">
        <v>15</v>
      </c>
      <c r="B194" s="93">
        <f>EXP(4.04764-8.75819/A194^0.56087)+1.19874*(1-EXP(-0.081*A194))^2.99578*($B$5-17.38)</f>
        <v>9.5085291059454633</v>
      </c>
      <c r="C194" s="141">
        <f>$B$6</f>
        <v>2200</v>
      </c>
      <c r="D194" s="142"/>
      <c r="E194" s="94"/>
      <c r="F194" s="147"/>
      <c r="G194" s="95"/>
      <c r="H194" s="94"/>
      <c r="I194" s="94"/>
      <c r="J194" s="94"/>
      <c r="K194" s="144"/>
      <c r="L194" s="142"/>
      <c r="M194" s="142"/>
      <c r="N194" s="142"/>
      <c r="O194" s="97"/>
      <c r="P194" s="148"/>
      <c r="Q194" s="160"/>
      <c r="R194" s="90"/>
    </row>
    <row r="195" spans="1:18" s="67" customFormat="1" ht="14.25" customHeight="1">
      <c r="A195" s="161">
        <v>15</v>
      </c>
      <c r="B195" s="149">
        <f>EXP(4.04764-8.75819/A195^0.56087)+1.19874*(1-EXP(-0.081*A195))^2.99578*($B$5-17.38)</f>
        <v>9.5085291059454633</v>
      </c>
      <c r="C195" s="145">
        <f>IF(A195&lt;=$D$8,100^2/($B$4^2*B195^2),C194)</f>
        <v>2090.8248228660891</v>
      </c>
      <c r="D195" s="150">
        <f>(-7.5886+0.6547*B195+0.3669*A195+299.909*(1/SQRT(C195))-0.003528*A195^2)</f>
        <v>9.9052289536229896</v>
      </c>
      <c r="E195" s="162">
        <f>(PI()/4*(D195/100)^2)*C195</f>
        <v>16.111521893899372</v>
      </c>
      <c r="F195" s="167">
        <f>0.2768*E195+0.4376*E195*B195</f>
        <v>71.498621703001916</v>
      </c>
      <c r="G195" s="171">
        <f>C195-C196</f>
        <v>940.60147088805911</v>
      </c>
      <c r="H195" s="178">
        <f>6.3167+0.01803*D195^2-0.005994*G195+18.1328*(G195/C195)</f>
        <v>10.60514329777968</v>
      </c>
      <c r="I195" s="162">
        <f t="shared" ref="I195:I206" si="44">(PI()/4*(H195/100)^2)*G195</f>
        <v>8.3086146522791804</v>
      </c>
      <c r="J195" s="187">
        <f t="shared" ref="J195:J206" si="45">-0.03896*G195+0.0006721*H195^2*G195</f>
        <v>34.454662825243993</v>
      </c>
      <c r="K195" s="104"/>
      <c r="L195" s="101"/>
      <c r="M195" s="101"/>
      <c r="N195" s="101"/>
      <c r="O195" s="105"/>
      <c r="P195" s="106"/>
      <c r="Q195" s="107"/>
      <c r="R195" s="82"/>
    </row>
    <row r="196" spans="1:18" s="67" customFormat="1" ht="14.25" customHeight="1">
      <c r="A196" s="163">
        <f>A195+pdesb</f>
        <v>20</v>
      </c>
      <c r="B196" s="152">
        <f t="shared" ref="B196:B207" si="46">EXP(4.04764-8.75819/A196^0.56087)+1.19874*(1-EXP(-0.081*A196))^2.99578*($B$5-17.38)</f>
        <v>12.819794801507502</v>
      </c>
      <c r="C196" s="145">
        <f t="shared" ref="C196:C207" si="47">IF(A196&lt;=$D$8,100^2/($B$4^2*B196^2),C195)</f>
        <v>1150.22335197803</v>
      </c>
      <c r="D196" s="153">
        <f t="shared" ref="D196:D207" si="48">(-7.5886+0.6547*B196+0.3669*A196+299.909*(1/SQRT(C196))-0.003528*A196^2)</f>
        <v>15.574294886535185</v>
      </c>
      <c r="E196" s="164">
        <f t="shared" ref="E196:E207" si="49">(PI()/4*(D196/100)^2)*C196</f>
        <v>21.912344578448636</v>
      </c>
      <c r="F196" s="168">
        <f t="shared" ref="F196:F207" si="50">0.2768*E196+0.4376*E196*B196</f>
        <v>128.9923236435173</v>
      </c>
      <c r="G196" s="172">
        <f t="shared" ref="G196:G206" si="51">C196-C197</f>
        <v>375.70209283897009</v>
      </c>
      <c r="H196" s="179">
        <f t="shared" ref="H196:H206" si="52">6.3167+0.01803*D196^2-0.005994*G196+18.1328*(G196/C196)</f>
        <v>14.36086391915218</v>
      </c>
      <c r="I196" s="164">
        <f t="shared" si="44"/>
        <v>6.0854770583989177</v>
      </c>
      <c r="J196" s="188">
        <f t="shared" si="45"/>
        <v>37.438769397344863</v>
      </c>
      <c r="K196" s="114"/>
      <c r="L196" s="111"/>
      <c r="M196" s="111"/>
      <c r="N196" s="111"/>
      <c r="O196" s="115"/>
      <c r="P196" s="116"/>
      <c r="Q196" s="117"/>
      <c r="R196" s="82"/>
    </row>
    <row r="197" spans="1:18" s="67" customFormat="1" ht="14.25" customHeight="1">
      <c r="A197" s="163">
        <f t="shared" ref="A197:A205" si="53">A196+pdesb</f>
        <v>25</v>
      </c>
      <c r="B197" s="152">
        <f t="shared" si="46"/>
        <v>15.622678395248585</v>
      </c>
      <c r="C197" s="145">
        <f t="shared" si="47"/>
        <v>774.52125913905991</v>
      </c>
      <c r="D197" s="153">
        <f t="shared" si="48"/>
        <v>20.383445811502646</v>
      </c>
      <c r="E197" s="164">
        <f t="shared" si="49"/>
        <v>25.274258931963477</v>
      </c>
      <c r="F197" s="168">
        <f t="shared" si="50"/>
        <v>179.78298333464787</v>
      </c>
      <c r="G197" s="172">
        <f t="shared" si="51"/>
        <v>190.35476698454966</v>
      </c>
      <c r="H197" s="179">
        <f t="shared" si="52"/>
        <v>17.123419717915027</v>
      </c>
      <c r="I197" s="164">
        <f t="shared" si="44"/>
        <v>4.383637590452258</v>
      </c>
      <c r="J197" s="188">
        <f t="shared" si="45"/>
        <v>30.096507004285154</v>
      </c>
      <c r="K197" s="114"/>
      <c r="L197" s="111"/>
      <c r="M197" s="111"/>
      <c r="N197" s="111"/>
      <c r="O197" s="115"/>
      <c r="P197" s="116"/>
      <c r="Q197" s="117"/>
      <c r="R197" s="82"/>
    </row>
    <row r="198" spans="1:18" s="67" customFormat="1" ht="14.25" customHeight="1">
      <c r="A198" s="163">
        <f t="shared" si="53"/>
        <v>30</v>
      </c>
      <c r="B198" s="152">
        <f t="shared" si="46"/>
        <v>17.988868326662203</v>
      </c>
      <c r="C198" s="145">
        <f t="shared" si="47"/>
        <v>584.16649215451025</v>
      </c>
      <c r="D198" s="153">
        <f t="shared" si="48"/>
        <v>24.429066168721892</v>
      </c>
      <c r="E198" s="164">
        <f t="shared" si="49"/>
        <v>27.380429429173205</v>
      </c>
      <c r="F198" s="168">
        <f t="shared" si="50"/>
        <v>223.11569329134582</v>
      </c>
      <c r="G198" s="172">
        <f t="shared" si="51"/>
        <v>111.57481285277856</v>
      </c>
      <c r="H198" s="179">
        <f t="shared" si="52"/>
        <v>19.871185038184535</v>
      </c>
      <c r="I198" s="164">
        <f t="shared" si="44"/>
        <v>3.4602189750321761</v>
      </c>
      <c r="J198" s="188">
        <f t="shared" si="45"/>
        <v>25.263671868978673</v>
      </c>
      <c r="K198" s="59"/>
      <c r="L198" s="111"/>
      <c r="M198" s="111"/>
      <c r="N198" s="111"/>
      <c r="O198" s="115"/>
      <c r="P198" s="116"/>
      <c r="Q198" s="117"/>
      <c r="R198" s="82"/>
    </row>
    <row r="199" spans="1:18" s="67" customFormat="1" ht="14.25" customHeight="1">
      <c r="A199" s="163">
        <f t="shared" si="53"/>
        <v>35</v>
      </c>
      <c r="B199" s="152">
        <f t="shared" si="46"/>
        <v>19.99996006609496</v>
      </c>
      <c r="C199" s="145">
        <f t="shared" si="47"/>
        <v>472.59167930173169</v>
      </c>
      <c r="D199" s="153">
        <f t="shared" si="48"/>
        <v>27.820860309236064</v>
      </c>
      <c r="E199" s="164">
        <f t="shared" si="49"/>
        <v>28.728772061012613</v>
      </c>
      <c r="F199" s="168">
        <f t="shared" si="50"/>
        <v>259.3858351469712</v>
      </c>
      <c r="G199" s="172">
        <f t="shared" si="51"/>
        <v>72.178911758667141</v>
      </c>
      <c r="H199" s="179">
        <f t="shared" si="52"/>
        <v>22.608706393508037</v>
      </c>
      <c r="I199" s="164">
        <f t="shared" si="44"/>
        <v>2.8976881127880056</v>
      </c>
      <c r="J199" s="188">
        <f t="shared" si="45"/>
        <v>21.984710397367692</v>
      </c>
      <c r="K199" s="114"/>
      <c r="L199" s="111"/>
      <c r="M199" s="111"/>
      <c r="N199" s="111"/>
      <c r="O199" s="115"/>
      <c r="P199" s="116"/>
      <c r="Q199" s="117"/>
      <c r="R199" s="82"/>
    </row>
    <row r="200" spans="1:18" s="67" customFormat="1" ht="14.25" customHeight="1">
      <c r="A200" s="163">
        <f t="shared" si="53"/>
        <v>40</v>
      </c>
      <c r="B200" s="152">
        <f t="shared" si="46"/>
        <v>21.727922598897567</v>
      </c>
      <c r="C200" s="145">
        <f t="shared" si="47"/>
        <v>400.41276754306455</v>
      </c>
      <c r="D200" s="153">
        <f t="shared" si="48"/>
        <v>30.655589864537607</v>
      </c>
      <c r="E200" s="164">
        <f t="shared" si="49"/>
        <v>29.554060121803456</v>
      </c>
      <c r="F200" s="168">
        <f t="shared" si="50"/>
        <v>289.18467340404459</v>
      </c>
      <c r="G200" s="172">
        <f t="shared" si="51"/>
        <v>50.13320716381287</v>
      </c>
      <c r="H200" s="179">
        <f t="shared" si="52"/>
        <v>25.230463717043527</v>
      </c>
      <c r="I200" s="164">
        <f t="shared" si="44"/>
        <v>2.5064891853387357</v>
      </c>
      <c r="J200" s="188">
        <f t="shared" si="45"/>
        <v>19.495948532834369</v>
      </c>
      <c r="K200" s="114"/>
      <c r="L200" s="111"/>
      <c r="M200" s="111"/>
      <c r="N200" s="111"/>
      <c r="O200" s="115"/>
      <c r="P200" s="116"/>
      <c r="Q200" s="117"/>
      <c r="R200" s="82"/>
    </row>
    <row r="201" spans="1:18" s="67" customFormat="1">
      <c r="A201" s="163">
        <f t="shared" si="53"/>
        <v>45</v>
      </c>
      <c r="B201" s="152">
        <f t="shared" si="46"/>
        <v>23.230832101091192</v>
      </c>
      <c r="C201" s="145">
        <f t="shared" si="47"/>
        <v>350.27956037925168</v>
      </c>
      <c r="D201" s="153">
        <f t="shared" si="48"/>
        <v>33.01133771317857</v>
      </c>
      <c r="E201" s="164">
        <f t="shared" si="49"/>
        <v>29.979951394381878</v>
      </c>
      <c r="F201" s="168">
        <f t="shared" si="50"/>
        <v>313.06900401095913</v>
      </c>
      <c r="G201" s="172">
        <f t="shared" si="51"/>
        <v>36.729536222549939</v>
      </c>
      <c r="H201" s="179">
        <f t="shared" si="52"/>
        <v>27.64607223821206</v>
      </c>
      <c r="I201" s="164">
        <f t="shared" si="44"/>
        <v>2.2048152440893189</v>
      </c>
      <c r="J201" s="188">
        <f t="shared" si="45"/>
        <v>17.436598001862446</v>
      </c>
      <c r="K201" s="114"/>
      <c r="L201" s="111"/>
      <c r="M201" s="111"/>
      <c r="N201" s="111"/>
      <c r="O201" s="115"/>
      <c r="P201" s="116"/>
      <c r="Q201" s="117"/>
      <c r="R201" s="82"/>
    </row>
    <row r="202" spans="1:18" s="67" customFormat="1">
      <c r="A202" s="163">
        <f t="shared" si="53"/>
        <v>50</v>
      </c>
      <c r="B202" s="152">
        <f t="shared" si="46"/>
        <v>24.553801733943406</v>
      </c>
      <c r="C202" s="145">
        <f t="shared" si="47"/>
        <v>313.55002415670174</v>
      </c>
      <c r="D202" s="153">
        <f t="shared" si="48"/>
        <v>34.94875808093078</v>
      </c>
      <c r="E202" s="164">
        <f t="shared" si="49"/>
        <v>30.078779843687929</v>
      </c>
      <c r="F202" s="168">
        <f t="shared" si="50"/>
        <v>331.5145846482713</v>
      </c>
      <c r="G202" s="172">
        <f t="shared" si="51"/>
        <v>28.041589059301316</v>
      </c>
      <c r="H202" s="179">
        <f t="shared" si="52"/>
        <v>29.792406801004816</v>
      </c>
      <c r="I202" s="164">
        <f t="shared" si="44"/>
        <v>1.9548060784098495</v>
      </c>
      <c r="J202" s="188">
        <f t="shared" si="45"/>
        <v>15.635641243521915</v>
      </c>
      <c r="K202" s="114"/>
      <c r="L202" s="111"/>
      <c r="M202" s="111"/>
      <c r="N202" s="111"/>
      <c r="O202" s="115"/>
      <c r="P202" s="116"/>
      <c r="Q202" s="117"/>
      <c r="R202" s="82"/>
    </row>
    <row r="203" spans="1:18" s="67" customFormat="1">
      <c r="A203" s="163">
        <f t="shared" si="53"/>
        <v>55</v>
      </c>
      <c r="B203" s="152">
        <f t="shared" si="46"/>
        <v>25.731357111216642</v>
      </c>
      <c r="C203" s="145">
        <f t="shared" si="47"/>
        <v>285.50843509740042</v>
      </c>
      <c r="D203" s="153">
        <f t="shared" si="48"/>
        <v>36.514270334409645</v>
      </c>
      <c r="E203" s="164">
        <f t="shared" si="49"/>
        <v>29.897445169365728</v>
      </c>
      <c r="F203" s="168">
        <f t="shared" si="50"/>
        <v>344.92209729182821</v>
      </c>
      <c r="G203" s="172">
        <f t="shared" si="51"/>
        <v>22.115955130274642</v>
      </c>
      <c r="H203" s="179">
        <f t="shared" si="52"/>
        <v>31.627987257024213</v>
      </c>
      <c r="I203" s="164">
        <f t="shared" si="44"/>
        <v>1.737555525390071</v>
      </c>
      <c r="J203" s="188">
        <f t="shared" si="45"/>
        <v>14.007394721520717</v>
      </c>
      <c r="K203" s="114"/>
      <c r="L203" s="111"/>
      <c r="M203" s="111"/>
      <c r="N203" s="111"/>
      <c r="O203" s="115"/>
      <c r="P203" s="116"/>
      <c r="Q203" s="117"/>
      <c r="R203" s="82"/>
    </row>
    <row r="204" spans="1:18" s="67" customFormat="1">
      <c r="A204" s="163">
        <f t="shared" si="53"/>
        <v>60</v>
      </c>
      <c r="B204" s="152">
        <f t="shared" si="46"/>
        <v>26.789862111400492</v>
      </c>
      <c r="C204" s="145">
        <f t="shared" si="47"/>
        <v>263.39247996712578</v>
      </c>
      <c r="D204" s="153">
        <f t="shared" si="48"/>
        <v>37.743320463060329</v>
      </c>
      <c r="E204" s="164">
        <f t="shared" si="49"/>
        <v>29.469547119501851</v>
      </c>
      <c r="F204" s="168">
        <f t="shared" si="50"/>
        <v>353.63585207294227</v>
      </c>
      <c r="G204" s="172">
        <f t="shared" si="51"/>
        <v>17.903317796608093</v>
      </c>
      <c r="H204" s="179">
        <f t="shared" si="52"/>
        <v>33.126695539886633</v>
      </c>
      <c r="I204" s="164">
        <f t="shared" si="44"/>
        <v>1.5430487055972151</v>
      </c>
      <c r="J204" s="188">
        <f t="shared" si="45"/>
        <v>12.507038052409774</v>
      </c>
      <c r="K204" s="114"/>
      <c r="L204" s="111"/>
      <c r="M204" s="111"/>
      <c r="N204" s="111"/>
      <c r="O204" s="115"/>
      <c r="P204" s="116"/>
      <c r="Q204" s="117"/>
      <c r="R204" s="82"/>
    </row>
    <row r="205" spans="1:18" s="67" customFormat="1">
      <c r="A205" s="163">
        <f t="shared" si="53"/>
        <v>65</v>
      </c>
      <c r="B205" s="152">
        <f t="shared" si="46"/>
        <v>27.749553664181299</v>
      </c>
      <c r="C205" s="145">
        <f t="shared" si="47"/>
        <v>245.48916217051769</v>
      </c>
      <c r="D205" s="153">
        <f t="shared" si="48"/>
        <v>38.663116830642679</v>
      </c>
      <c r="E205" s="164">
        <f t="shared" si="49"/>
        <v>28.821456793767251</v>
      </c>
      <c r="F205" s="168">
        <f t="shared" si="50"/>
        <v>357.96262836231824</v>
      </c>
      <c r="G205" s="172">
        <f t="shared" si="51"/>
        <v>0</v>
      </c>
      <c r="H205" s="179">
        <f t="shared" si="52"/>
        <v>33.268603953170455</v>
      </c>
      <c r="I205" s="164">
        <f t="shared" si="44"/>
        <v>0</v>
      </c>
      <c r="J205" s="188">
        <f t="shared" si="45"/>
        <v>0</v>
      </c>
      <c r="K205" s="114"/>
      <c r="L205" s="111"/>
      <c r="M205" s="111"/>
      <c r="N205" s="111"/>
      <c r="O205" s="115"/>
      <c r="P205" s="116"/>
      <c r="Q205" s="117"/>
      <c r="R205" s="82"/>
    </row>
    <row r="206" spans="1:18" s="67" customFormat="1">
      <c r="A206" s="163">
        <v>70</v>
      </c>
      <c r="B206" s="152">
        <f t="shared" si="46"/>
        <v>28.626116569254211</v>
      </c>
      <c r="C206" s="146">
        <f t="shared" si="47"/>
        <v>245.48916217051769</v>
      </c>
      <c r="D206" s="153">
        <f t="shared" si="48"/>
        <v>38.690102564593914</v>
      </c>
      <c r="E206" s="164">
        <f t="shared" si="49"/>
        <v>28.861703916022808</v>
      </c>
      <c r="F206" s="168">
        <f t="shared" si="50"/>
        <v>369.53338354474806</v>
      </c>
      <c r="G206" s="172">
        <f t="shared" si="51"/>
        <v>0</v>
      </c>
      <c r="H206" s="179">
        <f t="shared" si="52"/>
        <v>33.306240377352104</v>
      </c>
      <c r="I206" s="164">
        <f t="shared" si="44"/>
        <v>0</v>
      </c>
      <c r="J206" s="188">
        <f t="shared" si="45"/>
        <v>0</v>
      </c>
      <c r="K206" s="125"/>
      <c r="L206" s="82"/>
      <c r="M206" s="82"/>
      <c r="N206" s="82"/>
      <c r="O206" s="115"/>
      <c r="P206" s="82"/>
      <c r="Q206" s="127"/>
      <c r="R206" s="83"/>
    </row>
    <row r="207" spans="1:18" ht="12" customHeight="1" thickBot="1">
      <c r="A207" s="165">
        <v>75</v>
      </c>
      <c r="B207" s="156">
        <f t="shared" si="46"/>
        <v>29.431856571860372</v>
      </c>
      <c r="C207" s="146">
        <f t="shared" si="47"/>
        <v>245.48916217051769</v>
      </c>
      <c r="D207" s="153">
        <f t="shared" si="48"/>
        <v>38.494320544300166</v>
      </c>
      <c r="E207" s="164">
        <f t="shared" si="49"/>
        <v>28.570347441590304</v>
      </c>
      <c r="F207" s="169">
        <f t="shared" si="50"/>
        <v>375.87664605637605</v>
      </c>
      <c r="G207" s="185"/>
      <c r="H207" s="186"/>
      <c r="I207" s="186"/>
      <c r="J207" s="189"/>
      <c r="K207" s="134"/>
      <c r="L207" s="135"/>
      <c r="M207" s="135"/>
      <c r="N207" s="135"/>
      <c r="O207" s="190"/>
      <c r="P207" s="135"/>
      <c r="Q207" s="137"/>
      <c r="R207" s="83"/>
    </row>
    <row r="208" spans="1:18" ht="12" customHeight="1">
      <c r="A208" s="138"/>
      <c r="B208" s="109"/>
      <c r="C208" s="110"/>
      <c r="D208" s="153"/>
      <c r="E208" s="111"/>
      <c r="F208" s="170"/>
      <c r="K208" s="124"/>
      <c r="L208" s="82"/>
      <c r="M208" s="82"/>
      <c r="N208" s="82"/>
      <c r="O208" s="111"/>
      <c r="P208" s="82"/>
      <c r="Q208" s="83"/>
      <c r="R208" s="83"/>
    </row>
    <row r="209" spans="1:18" ht="12" customHeight="1">
      <c r="A209" s="138"/>
      <c r="B209" s="109"/>
      <c r="C209" s="110"/>
      <c r="D209" s="153"/>
      <c r="E209" s="111"/>
      <c r="F209" s="170"/>
      <c r="K209" s="124"/>
      <c r="L209" s="82"/>
      <c r="M209" s="82"/>
      <c r="N209" s="82"/>
      <c r="O209" s="111"/>
      <c r="P209" s="82"/>
      <c r="Q209" s="83"/>
      <c r="R209" s="83"/>
    </row>
    <row r="210" spans="1:18" ht="12" customHeight="1">
      <c r="A210" s="138"/>
      <c r="B210" s="109"/>
      <c r="C210" s="110"/>
      <c r="D210" s="153"/>
      <c r="E210" s="111"/>
      <c r="F210" s="170"/>
      <c r="K210" s="124"/>
      <c r="L210" s="82"/>
      <c r="M210" s="82"/>
      <c r="N210" s="82"/>
      <c r="O210" s="111"/>
      <c r="P210" s="82"/>
      <c r="Q210" s="83"/>
      <c r="R210" s="83"/>
    </row>
    <row r="211" spans="1:18" ht="12" customHeight="1">
      <c r="A211" s="138"/>
      <c r="B211" s="109"/>
      <c r="C211" s="110"/>
      <c r="D211" s="153"/>
      <c r="E211" s="111"/>
      <c r="F211" s="170"/>
      <c r="K211" s="124"/>
      <c r="L211" s="82"/>
      <c r="M211" s="82"/>
      <c r="N211" s="82"/>
      <c r="O211" s="111"/>
      <c r="P211" s="82"/>
      <c r="Q211" s="83"/>
      <c r="R211" s="83"/>
    </row>
    <row r="212" spans="1:18" ht="12" customHeight="1">
      <c r="A212" s="138"/>
      <c r="B212" s="109"/>
      <c r="C212" s="110"/>
      <c r="D212" s="153"/>
      <c r="E212" s="111"/>
      <c r="F212" s="170"/>
      <c r="K212" s="124"/>
      <c r="L212" s="82"/>
      <c r="M212" s="82"/>
      <c r="N212" s="82"/>
      <c r="O212" s="111"/>
      <c r="P212" s="82"/>
      <c r="Q212" s="83"/>
      <c r="R212" s="83"/>
    </row>
    <row r="213" spans="1:18" ht="13.8" thickBot="1">
      <c r="A213" s="138"/>
      <c r="B213" s="111"/>
      <c r="C213" s="110"/>
      <c r="D213" s="122"/>
      <c r="E213" s="122"/>
      <c r="F213" s="122"/>
      <c r="G213" s="139"/>
      <c r="H213" s="124"/>
      <c r="I213" s="124"/>
      <c r="J213" s="124"/>
      <c r="K213" s="62"/>
      <c r="L213" s="67"/>
      <c r="M213" s="67"/>
      <c r="N213" s="82"/>
      <c r="O213" s="82"/>
      <c r="P213" s="82"/>
      <c r="Q213" s="83"/>
      <c r="R213" s="83"/>
    </row>
    <row r="214" spans="1:18" ht="13.8" thickBot="1">
      <c r="A214" s="216" t="s">
        <v>0</v>
      </c>
      <c r="B214" s="218" t="s">
        <v>69</v>
      </c>
      <c r="C214" s="218"/>
      <c r="D214" s="218"/>
      <c r="E214" s="219"/>
      <c r="F214" s="218"/>
      <c r="G214" s="220" t="s">
        <v>70</v>
      </c>
      <c r="H214" s="221"/>
      <c r="I214" s="221"/>
      <c r="J214" s="222"/>
      <c r="K214" s="220" t="s">
        <v>71</v>
      </c>
      <c r="L214" s="221"/>
      <c r="M214" s="221"/>
      <c r="N214" s="222"/>
      <c r="O214" s="223" t="s">
        <v>6</v>
      </c>
      <c r="P214" s="225" t="s">
        <v>56</v>
      </c>
      <c r="Q214" s="226"/>
      <c r="R214" s="82"/>
    </row>
    <row r="215" spans="1:18" ht="16.2" thickBot="1">
      <c r="A215" s="217"/>
      <c r="B215" s="84" t="s">
        <v>1</v>
      </c>
      <c r="C215" s="85" t="s">
        <v>2</v>
      </c>
      <c r="D215" s="85" t="s">
        <v>3</v>
      </c>
      <c r="E215" s="86" t="s">
        <v>57</v>
      </c>
      <c r="F215" s="85" t="s">
        <v>58</v>
      </c>
      <c r="G215" s="87" t="s">
        <v>60</v>
      </c>
      <c r="H215" s="88" t="s">
        <v>3</v>
      </c>
      <c r="I215" s="88" t="s">
        <v>72</v>
      </c>
      <c r="J215" s="86" t="s">
        <v>59</v>
      </c>
      <c r="K215" s="85" t="s">
        <v>73</v>
      </c>
      <c r="L215" s="85" t="s">
        <v>74</v>
      </c>
      <c r="M215" s="85" t="s">
        <v>75</v>
      </c>
      <c r="N215" s="85" t="s">
        <v>76</v>
      </c>
      <c r="O215" s="224"/>
      <c r="P215" s="89" t="s">
        <v>61</v>
      </c>
      <c r="Q215" s="89" t="s">
        <v>62</v>
      </c>
      <c r="R215" s="90" t="s">
        <v>77</v>
      </c>
    </row>
    <row r="216" spans="1:18" ht="13.8" thickBot="1">
      <c r="A216" s="140">
        <v>15</v>
      </c>
      <c r="B216" s="93">
        <f>EXP(4.04764-8.75819/A216^0.56087)+1.19874*(1-EXP(-0.081*A216))^2.99578*($B$5-17.38)</f>
        <v>9.5085291059454633</v>
      </c>
      <c r="C216" s="141">
        <f>$B$6</f>
        <v>2200</v>
      </c>
      <c r="D216" s="142"/>
      <c r="E216" s="94"/>
      <c r="F216" s="147"/>
      <c r="G216" s="95"/>
      <c r="H216" s="94"/>
      <c r="I216" s="94"/>
      <c r="J216" s="94"/>
      <c r="K216" s="94"/>
      <c r="L216" s="142"/>
      <c r="M216" s="142"/>
      <c r="N216" s="142"/>
      <c r="O216" s="97"/>
      <c r="P216" s="148"/>
      <c r="Q216" s="160"/>
      <c r="R216" s="90"/>
    </row>
    <row r="217" spans="1:18">
      <c r="A217" s="161">
        <v>15</v>
      </c>
      <c r="B217" s="149">
        <f>EXP(4.04764-8.75819/A217^0.56087)+1.19874*(1-EXP(-0.081*A217))^2.99578*($B$5-17.38)</f>
        <v>9.5085291059454633</v>
      </c>
      <c r="C217" s="145">
        <f>IF(A217&lt;=$D$8,100^2/($B$4^2*B217^2),C216)</f>
        <v>2090.8248228660891</v>
      </c>
      <c r="D217" s="150">
        <f>(-7.5886+0.6547*B217+0.3669*A217+299.909*(1/SQRT(C217))-0.003528*A217^2)</f>
        <v>9.9052289536229896</v>
      </c>
      <c r="E217" s="162">
        <f>(PI()/4*(D217/100)^2)*C217</f>
        <v>16.111521893899372</v>
      </c>
      <c r="F217" s="167">
        <f>0.2768*E217+0.4376*E217*B217</f>
        <v>71.498621703001916</v>
      </c>
      <c r="G217" s="171">
        <f>C217-C218</f>
        <v>940.60147088805911</v>
      </c>
      <c r="H217" s="178">
        <f>6.3167+0.01803*D217^2-0.005994*G217+18.1328*(G217/C217)</f>
        <v>10.60514329777968</v>
      </c>
      <c r="I217" s="162">
        <f t="shared" ref="I217:I228" si="54">(PI()/4*(H217/100)^2)*G217</f>
        <v>8.3086146522791804</v>
      </c>
      <c r="J217" s="187">
        <f t="shared" ref="J217:J228" si="55">-0.03896*G217+0.0006721*H217^2*G217</f>
        <v>34.454662825243993</v>
      </c>
      <c r="K217" s="191">
        <f>C217-G217</f>
        <v>1150.22335197803</v>
      </c>
      <c r="L217" s="101"/>
      <c r="M217" s="101"/>
      <c r="N217" s="101"/>
      <c r="O217" s="105"/>
      <c r="P217" s="106"/>
      <c r="Q217" s="107"/>
      <c r="R217" s="82"/>
    </row>
    <row r="218" spans="1:18">
      <c r="A218" s="163">
        <f>A217+pdesb</f>
        <v>20</v>
      </c>
      <c r="B218" s="152">
        <f t="shared" ref="B218:B229" si="56">EXP(4.04764-8.75819/A218^0.56087)+1.19874*(1-EXP(-0.081*A218))^2.99578*($B$5-17.38)</f>
        <v>12.819794801507502</v>
      </c>
      <c r="C218" s="145">
        <f t="shared" ref="C218:C229" si="57">IF(A218&lt;=$D$8,100^2/($B$4^2*B218^2),C217)</f>
        <v>1150.22335197803</v>
      </c>
      <c r="D218" s="153">
        <f t="shared" ref="D218:D229" si="58">(-7.5886+0.6547*B218+0.3669*A218+299.909*(1/SQRT(C218))-0.003528*A218^2)</f>
        <v>15.574294886535185</v>
      </c>
      <c r="E218" s="164">
        <f t="shared" ref="E218:E229" si="59">(PI()/4*(D218/100)^2)*C218</f>
        <v>21.912344578448636</v>
      </c>
      <c r="F218" s="168">
        <f t="shared" ref="F218:F229" si="60">0.2768*E218+0.4376*E218*B218</f>
        <v>128.9923236435173</v>
      </c>
      <c r="G218" s="172">
        <f t="shared" ref="G218:G228" si="61">C218-C219</f>
        <v>375.70209283897009</v>
      </c>
      <c r="H218" s="179">
        <f t="shared" ref="H218:H228" si="62">6.3167+0.01803*D218^2-0.005994*G218+18.1328*(G218/C218)</f>
        <v>14.36086391915218</v>
      </c>
      <c r="I218" s="164">
        <f t="shared" si="54"/>
        <v>6.0854770583989177</v>
      </c>
      <c r="J218" s="188">
        <f t="shared" si="55"/>
        <v>37.438769397344863</v>
      </c>
      <c r="K218" s="191">
        <f t="shared" ref="K218:K228" si="63">C218-G218</f>
        <v>774.52125913905991</v>
      </c>
      <c r="L218" s="111"/>
      <c r="M218" s="111"/>
      <c r="N218" s="111"/>
      <c r="O218" s="115"/>
      <c r="P218" s="116"/>
      <c r="Q218" s="117"/>
      <c r="R218" s="82"/>
    </row>
    <row r="219" spans="1:18">
      <c r="A219" s="163">
        <f t="shared" ref="A219:A227" si="64">A218+pdesb</f>
        <v>25</v>
      </c>
      <c r="B219" s="152">
        <f t="shared" si="56"/>
        <v>15.622678395248585</v>
      </c>
      <c r="C219" s="145">
        <f t="shared" si="57"/>
        <v>774.52125913905991</v>
      </c>
      <c r="D219" s="153">
        <f t="shared" si="58"/>
        <v>20.383445811502646</v>
      </c>
      <c r="E219" s="164">
        <f t="shared" si="59"/>
        <v>25.274258931963477</v>
      </c>
      <c r="F219" s="168">
        <f t="shared" si="60"/>
        <v>179.78298333464787</v>
      </c>
      <c r="G219" s="172">
        <f t="shared" si="61"/>
        <v>190.35476698454966</v>
      </c>
      <c r="H219" s="179">
        <f t="shared" si="62"/>
        <v>17.123419717915027</v>
      </c>
      <c r="I219" s="164">
        <f t="shared" si="54"/>
        <v>4.383637590452258</v>
      </c>
      <c r="J219" s="188">
        <f t="shared" si="55"/>
        <v>30.096507004285154</v>
      </c>
      <c r="K219" s="191">
        <f t="shared" si="63"/>
        <v>584.16649215451025</v>
      </c>
      <c r="M219" s="111"/>
      <c r="N219" s="111"/>
      <c r="O219" s="115"/>
      <c r="P219" s="116"/>
      <c r="Q219" s="117"/>
      <c r="R219" s="82"/>
    </row>
    <row r="220" spans="1:18">
      <c r="A220" s="163">
        <f t="shared" si="64"/>
        <v>30</v>
      </c>
      <c r="B220" s="152">
        <f t="shared" si="56"/>
        <v>17.988868326662203</v>
      </c>
      <c r="C220" s="145">
        <f t="shared" si="57"/>
        <v>584.16649215451025</v>
      </c>
      <c r="D220" s="153">
        <f t="shared" si="58"/>
        <v>24.429066168721892</v>
      </c>
      <c r="E220" s="164">
        <f t="shared" si="59"/>
        <v>27.380429429173205</v>
      </c>
      <c r="F220" s="168">
        <f t="shared" si="60"/>
        <v>223.11569329134582</v>
      </c>
      <c r="G220" s="172">
        <f t="shared" si="61"/>
        <v>111.57481285277856</v>
      </c>
      <c r="H220" s="179">
        <f t="shared" si="62"/>
        <v>19.871185038184535</v>
      </c>
      <c r="I220" s="164">
        <f t="shared" si="54"/>
        <v>3.4602189750321761</v>
      </c>
      <c r="J220" s="188">
        <f t="shared" si="55"/>
        <v>25.263671868978673</v>
      </c>
      <c r="K220" s="191">
        <f t="shared" si="63"/>
        <v>472.59167930173169</v>
      </c>
      <c r="L220" s="111"/>
      <c r="M220" s="111"/>
      <c r="N220" s="111"/>
      <c r="O220" s="115"/>
      <c r="P220" s="116"/>
      <c r="Q220" s="117"/>
      <c r="R220" s="82"/>
    </row>
    <row r="221" spans="1:18">
      <c r="A221" s="163">
        <f t="shared" si="64"/>
        <v>35</v>
      </c>
      <c r="B221" s="152">
        <f t="shared" si="56"/>
        <v>19.99996006609496</v>
      </c>
      <c r="C221" s="145">
        <f t="shared" si="57"/>
        <v>472.59167930173169</v>
      </c>
      <c r="D221" s="153">
        <f t="shared" si="58"/>
        <v>27.820860309236064</v>
      </c>
      <c r="E221" s="164">
        <f t="shared" si="59"/>
        <v>28.728772061012613</v>
      </c>
      <c r="F221" s="168">
        <f t="shared" si="60"/>
        <v>259.3858351469712</v>
      </c>
      <c r="G221" s="172">
        <f t="shared" si="61"/>
        <v>72.178911758667141</v>
      </c>
      <c r="H221" s="179">
        <f t="shared" si="62"/>
        <v>22.608706393508037</v>
      </c>
      <c r="I221" s="164">
        <f t="shared" si="54"/>
        <v>2.8976881127880056</v>
      </c>
      <c r="J221" s="188">
        <f t="shared" si="55"/>
        <v>21.984710397367692</v>
      </c>
      <c r="K221" s="191">
        <f t="shared" si="63"/>
        <v>400.41276754306455</v>
      </c>
      <c r="L221" s="111"/>
      <c r="M221" s="111"/>
      <c r="N221" s="111"/>
      <c r="O221" s="115"/>
      <c r="P221" s="116"/>
      <c r="Q221" s="117"/>
      <c r="R221" s="82"/>
    </row>
    <row r="222" spans="1:18">
      <c r="A222" s="163">
        <f t="shared" si="64"/>
        <v>40</v>
      </c>
      <c r="B222" s="152">
        <f t="shared" si="56"/>
        <v>21.727922598897567</v>
      </c>
      <c r="C222" s="145">
        <f t="shared" si="57"/>
        <v>400.41276754306455</v>
      </c>
      <c r="D222" s="153">
        <f t="shared" si="58"/>
        <v>30.655589864537607</v>
      </c>
      <c r="E222" s="164">
        <f t="shared" si="59"/>
        <v>29.554060121803456</v>
      </c>
      <c r="F222" s="168">
        <f t="shared" si="60"/>
        <v>289.18467340404459</v>
      </c>
      <c r="G222" s="172">
        <f t="shared" si="61"/>
        <v>50.13320716381287</v>
      </c>
      <c r="H222" s="179">
        <f t="shared" si="62"/>
        <v>25.230463717043527</v>
      </c>
      <c r="I222" s="164">
        <f t="shared" si="54"/>
        <v>2.5064891853387357</v>
      </c>
      <c r="J222" s="188">
        <f t="shared" si="55"/>
        <v>19.495948532834369</v>
      </c>
      <c r="K222" s="191">
        <f t="shared" si="63"/>
        <v>350.27956037925168</v>
      </c>
      <c r="L222" s="111"/>
      <c r="M222" s="111"/>
      <c r="N222" s="111"/>
      <c r="O222" s="115"/>
      <c r="P222" s="116"/>
      <c r="Q222" s="117"/>
      <c r="R222" s="82"/>
    </row>
    <row r="223" spans="1:18">
      <c r="A223" s="163">
        <f t="shared" si="64"/>
        <v>45</v>
      </c>
      <c r="B223" s="152">
        <f t="shared" si="56"/>
        <v>23.230832101091192</v>
      </c>
      <c r="C223" s="145">
        <f t="shared" si="57"/>
        <v>350.27956037925168</v>
      </c>
      <c r="D223" s="153">
        <f t="shared" si="58"/>
        <v>33.01133771317857</v>
      </c>
      <c r="E223" s="164">
        <f t="shared" si="59"/>
        <v>29.979951394381878</v>
      </c>
      <c r="F223" s="168">
        <f t="shared" si="60"/>
        <v>313.06900401095913</v>
      </c>
      <c r="G223" s="172">
        <f t="shared" si="61"/>
        <v>36.729536222549939</v>
      </c>
      <c r="H223" s="179">
        <f t="shared" si="62"/>
        <v>27.64607223821206</v>
      </c>
      <c r="I223" s="164">
        <f t="shared" si="54"/>
        <v>2.2048152440893189</v>
      </c>
      <c r="J223" s="188">
        <f t="shared" si="55"/>
        <v>17.436598001862446</v>
      </c>
      <c r="K223" s="191">
        <f t="shared" si="63"/>
        <v>313.55002415670174</v>
      </c>
      <c r="L223" s="111"/>
      <c r="M223" s="111"/>
      <c r="N223" s="111"/>
      <c r="O223" s="115"/>
      <c r="P223" s="116"/>
      <c r="Q223" s="117"/>
      <c r="R223" s="82"/>
    </row>
    <row r="224" spans="1:18">
      <c r="A224" s="163">
        <f t="shared" si="64"/>
        <v>50</v>
      </c>
      <c r="B224" s="152">
        <f t="shared" si="56"/>
        <v>24.553801733943406</v>
      </c>
      <c r="C224" s="145">
        <f t="shared" si="57"/>
        <v>313.55002415670174</v>
      </c>
      <c r="D224" s="153">
        <f t="shared" si="58"/>
        <v>34.94875808093078</v>
      </c>
      <c r="E224" s="164">
        <f t="shared" si="59"/>
        <v>30.078779843687929</v>
      </c>
      <c r="F224" s="168">
        <f t="shared" si="60"/>
        <v>331.5145846482713</v>
      </c>
      <c r="G224" s="172">
        <f t="shared" si="61"/>
        <v>28.041589059301316</v>
      </c>
      <c r="H224" s="179">
        <f t="shared" si="62"/>
        <v>29.792406801004816</v>
      </c>
      <c r="I224" s="164">
        <f t="shared" si="54"/>
        <v>1.9548060784098495</v>
      </c>
      <c r="J224" s="188">
        <f t="shared" si="55"/>
        <v>15.635641243521915</v>
      </c>
      <c r="K224" s="191">
        <f t="shared" si="63"/>
        <v>285.50843509740042</v>
      </c>
      <c r="L224" s="111"/>
      <c r="M224" s="111"/>
      <c r="N224" s="111"/>
      <c r="O224" s="115"/>
      <c r="P224" s="116"/>
      <c r="Q224" s="117"/>
      <c r="R224" s="82"/>
    </row>
    <row r="225" spans="1:18">
      <c r="A225" s="163">
        <f t="shared" si="64"/>
        <v>55</v>
      </c>
      <c r="B225" s="152">
        <f t="shared" si="56"/>
        <v>25.731357111216642</v>
      </c>
      <c r="C225" s="145">
        <f t="shared" si="57"/>
        <v>285.50843509740042</v>
      </c>
      <c r="D225" s="153">
        <f t="shared" si="58"/>
        <v>36.514270334409645</v>
      </c>
      <c r="E225" s="164">
        <f t="shared" si="59"/>
        <v>29.897445169365728</v>
      </c>
      <c r="F225" s="168">
        <f t="shared" si="60"/>
        <v>344.92209729182821</v>
      </c>
      <c r="G225" s="172">
        <f t="shared" si="61"/>
        <v>22.115955130274642</v>
      </c>
      <c r="H225" s="179">
        <f t="shared" si="62"/>
        <v>31.627987257024213</v>
      </c>
      <c r="I225" s="164">
        <f t="shared" si="54"/>
        <v>1.737555525390071</v>
      </c>
      <c r="J225" s="188">
        <f t="shared" si="55"/>
        <v>14.007394721520717</v>
      </c>
      <c r="K225" s="191">
        <f t="shared" si="63"/>
        <v>263.39247996712578</v>
      </c>
      <c r="L225" s="111"/>
      <c r="M225" s="111"/>
      <c r="N225" s="111"/>
      <c r="O225" s="115"/>
      <c r="P225" s="116"/>
      <c r="Q225" s="117"/>
      <c r="R225" s="82"/>
    </row>
    <row r="226" spans="1:18">
      <c r="A226" s="163">
        <f t="shared" si="64"/>
        <v>60</v>
      </c>
      <c r="B226" s="152">
        <f t="shared" si="56"/>
        <v>26.789862111400492</v>
      </c>
      <c r="C226" s="145">
        <f t="shared" si="57"/>
        <v>263.39247996712578</v>
      </c>
      <c r="D226" s="153">
        <f t="shared" si="58"/>
        <v>37.743320463060329</v>
      </c>
      <c r="E226" s="164">
        <f t="shared" si="59"/>
        <v>29.469547119501851</v>
      </c>
      <c r="F226" s="168">
        <f t="shared" si="60"/>
        <v>353.63585207294227</v>
      </c>
      <c r="G226" s="172">
        <f t="shared" si="61"/>
        <v>17.903317796608093</v>
      </c>
      <c r="H226" s="179">
        <f t="shared" si="62"/>
        <v>33.126695539886633</v>
      </c>
      <c r="I226" s="164">
        <f t="shared" si="54"/>
        <v>1.5430487055972151</v>
      </c>
      <c r="J226" s="188">
        <f t="shared" si="55"/>
        <v>12.507038052409774</v>
      </c>
      <c r="K226" s="191">
        <f t="shared" si="63"/>
        <v>245.48916217051769</v>
      </c>
      <c r="L226" s="111"/>
      <c r="M226" s="111"/>
      <c r="N226" s="111"/>
      <c r="O226" s="115"/>
      <c r="P226" s="116"/>
      <c r="Q226" s="117"/>
      <c r="R226" s="82"/>
    </row>
    <row r="227" spans="1:18">
      <c r="A227" s="163">
        <f t="shared" si="64"/>
        <v>65</v>
      </c>
      <c r="B227" s="152">
        <f t="shared" si="56"/>
        <v>27.749553664181299</v>
      </c>
      <c r="C227" s="145">
        <f t="shared" si="57"/>
        <v>245.48916217051769</v>
      </c>
      <c r="D227" s="153">
        <f t="shared" si="58"/>
        <v>38.663116830642679</v>
      </c>
      <c r="E227" s="164">
        <f t="shared" si="59"/>
        <v>28.821456793767251</v>
      </c>
      <c r="F227" s="168">
        <f t="shared" si="60"/>
        <v>357.96262836231824</v>
      </c>
      <c r="G227" s="172">
        <f t="shared" si="61"/>
        <v>0</v>
      </c>
      <c r="H227" s="179">
        <f t="shared" si="62"/>
        <v>33.268603953170455</v>
      </c>
      <c r="I227" s="164">
        <f t="shared" si="54"/>
        <v>0</v>
      </c>
      <c r="J227" s="188">
        <f t="shared" si="55"/>
        <v>0</v>
      </c>
      <c r="K227" s="191">
        <f t="shared" si="63"/>
        <v>245.48916217051769</v>
      </c>
      <c r="L227" s="111"/>
      <c r="M227" s="111"/>
      <c r="N227" s="111"/>
      <c r="O227" s="115"/>
      <c r="P227" s="116"/>
      <c r="Q227" s="117"/>
      <c r="R227" s="82"/>
    </row>
    <row r="228" spans="1:18">
      <c r="A228" s="163">
        <v>70</v>
      </c>
      <c r="B228" s="152">
        <f t="shared" si="56"/>
        <v>28.626116569254211</v>
      </c>
      <c r="C228" s="146">
        <f t="shared" si="57"/>
        <v>245.48916217051769</v>
      </c>
      <c r="D228" s="153">
        <f t="shared" si="58"/>
        <v>38.690102564593914</v>
      </c>
      <c r="E228" s="164">
        <f t="shared" si="59"/>
        <v>28.861703916022808</v>
      </c>
      <c r="F228" s="168">
        <f t="shared" si="60"/>
        <v>369.53338354474806</v>
      </c>
      <c r="G228" s="172">
        <f t="shared" si="61"/>
        <v>0</v>
      </c>
      <c r="H228" s="179">
        <f t="shared" si="62"/>
        <v>33.306240377352104</v>
      </c>
      <c r="I228" s="164">
        <f t="shared" si="54"/>
        <v>0</v>
      </c>
      <c r="J228" s="188">
        <f t="shared" si="55"/>
        <v>0</v>
      </c>
      <c r="K228" s="191">
        <f t="shared" si="63"/>
        <v>245.48916217051769</v>
      </c>
      <c r="L228" s="82"/>
      <c r="M228" s="82"/>
      <c r="N228" s="82"/>
      <c r="O228" s="115"/>
      <c r="P228" s="82"/>
      <c r="Q228" s="127"/>
      <c r="R228" s="83"/>
    </row>
    <row r="229" spans="1:18" ht="13.8" thickBot="1">
      <c r="A229" s="165">
        <v>75</v>
      </c>
      <c r="B229" s="156">
        <f t="shared" si="56"/>
        <v>29.431856571860372</v>
      </c>
      <c r="C229" s="146">
        <f t="shared" si="57"/>
        <v>245.48916217051769</v>
      </c>
      <c r="D229" s="157">
        <f t="shared" si="58"/>
        <v>38.494320544300166</v>
      </c>
      <c r="E229" s="166">
        <f t="shared" si="59"/>
        <v>28.570347441590304</v>
      </c>
      <c r="F229" s="169">
        <f t="shared" si="60"/>
        <v>375.87664605637605</v>
      </c>
      <c r="G229" s="185"/>
      <c r="H229" s="186"/>
      <c r="I229" s="186"/>
      <c r="J229" s="189"/>
      <c r="K229" s="133"/>
      <c r="L229" s="135"/>
      <c r="M229" s="135"/>
      <c r="N229" s="135"/>
      <c r="O229" s="190"/>
      <c r="P229" s="135"/>
      <c r="Q229" s="137"/>
      <c r="R229" s="83"/>
    </row>
    <row r="230" spans="1:18" s="67" customFormat="1">
      <c r="A230" s="138"/>
      <c r="B230" s="109"/>
      <c r="C230" s="110"/>
      <c r="D230" s="153"/>
      <c r="E230" s="111"/>
      <c r="F230" s="170"/>
      <c r="G230" s="82"/>
      <c r="H230" s="82"/>
      <c r="I230" s="82"/>
      <c r="J230" s="82"/>
      <c r="K230" s="124"/>
      <c r="L230" s="82"/>
      <c r="M230" s="82"/>
      <c r="N230" s="82"/>
      <c r="O230" s="111"/>
      <c r="P230" s="82"/>
      <c r="Q230" s="83"/>
      <c r="R230" s="83"/>
    </row>
    <row r="231" spans="1:18" s="67" customFormat="1">
      <c r="A231" s="138"/>
      <c r="B231" s="109"/>
      <c r="C231" s="110"/>
      <c r="D231" s="153"/>
      <c r="E231" s="111"/>
      <c r="F231" s="170"/>
      <c r="G231" s="82"/>
      <c r="H231" s="82"/>
      <c r="I231" s="82"/>
      <c r="J231" s="82"/>
      <c r="K231" s="124"/>
      <c r="L231" s="82"/>
      <c r="M231" s="82"/>
      <c r="N231" s="82"/>
      <c r="O231" s="111"/>
      <c r="P231" s="82"/>
      <c r="Q231" s="83"/>
      <c r="R231" s="83"/>
    </row>
    <row r="232" spans="1:18" s="67" customFormat="1">
      <c r="A232" s="138"/>
      <c r="B232" s="109"/>
      <c r="C232" s="110"/>
      <c r="D232" s="153"/>
      <c r="E232" s="111"/>
      <c r="F232" s="170"/>
      <c r="G232" s="82"/>
      <c r="H232" s="82"/>
      <c r="I232" s="82"/>
      <c r="J232" s="82"/>
      <c r="K232" s="124"/>
      <c r="L232" s="82"/>
      <c r="M232" s="82"/>
      <c r="N232" s="82"/>
      <c r="O232" s="111"/>
      <c r="P232" s="82"/>
      <c r="Q232" s="83"/>
      <c r="R232" s="83"/>
    </row>
    <row r="233" spans="1:18" s="67" customFormat="1">
      <c r="A233" s="138"/>
      <c r="B233" s="109"/>
      <c r="C233" s="110"/>
      <c r="D233" s="153"/>
      <c r="E233" s="111"/>
      <c r="F233" s="170"/>
      <c r="G233" s="82"/>
      <c r="H233" s="82"/>
      <c r="I233" s="82"/>
      <c r="J233" s="82"/>
      <c r="K233" s="124"/>
      <c r="L233" s="82"/>
      <c r="M233" s="82"/>
      <c r="N233" s="82"/>
      <c r="O233" s="111"/>
      <c r="P233" s="82"/>
      <c r="Q233" s="83"/>
      <c r="R233" s="83"/>
    </row>
    <row r="234" spans="1:18" s="67" customFormat="1">
      <c r="A234" s="138"/>
      <c r="B234" s="109"/>
      <c r="C234" s="110"/>
      <c r="D234" s="153"/>
      <c r="E234" s="111"/>
      <c r="F234" s="170"/>
      <c r="G234" s="82"/>
      <c r="H234" s="82"/>
      <c r="I234" s="82"/>
      <c r="J234" s="82"/>
      <c r="K234" s="124"/>
      <c r="L234" s="82"/>
      <c r="M234" s="82"/>
      <c r="N234" s="82"/>
      <c r="O234" s="111"/>
      <c r="P234" s="82"/>
      <c r="Q234" s="83"/>
      <c r="R234" s="83"/>
    </row>
    <row r="235" spans="1:18" ht="13.8" thickBot="1">
      <c r="A235" s="138"/>
      <c r="B235" s="111"/>
      <c r="C235" s="110"/>
      <c r="D235" s="122"/>
      <c r="E235" s="122"/>
      <c r="F235" s="122"/>
      <c r="G235" s="139"/>
      <c r="H235" s="124"/>
      <c r="I235" s="124"/>
      <c r="J235" s="124"/>
      <c r="K235" s="62"/>
      <c r="L235" s="67"/>
      <c r="M235" s="67"/>
      <c r="N235" s="82"/>
      <c r="O235" s="82"/>
      <c r="P235" s="82"/>
      <c r="Q235" s="83"/>
      <c r="R235" s="83"/>
    </row>
    <row r="236" spans="1:18" ht="13.8" thickBot="1">
      <c r="A236" s="216" t="s">
        <v>0</v>
      </c>
      <c r="B236" s="218" t="s">
        <v>69</v>
      </c>
      <c r="C236" s="218"/>
      <c r="D236" s="218"/>
      <c r="E236" s="219"/>
      <c r="F236" s="218"/>
      <c r="G236" s="220" t="s">
        <v>70</v>
      </c>
      <c r="H236" s="221"/>
      <c r="I236" s="221"/>
      <c r="J236" s="222"/>
      <c r="K236" s="220" t="s">
        <v>71</v>
      </c>
      <c r="L236" s="221"/>
      <c r="M236" s="221"/>
      <c r="N236" s="222"/>
      <c r="O236" s="223" t="s">
        <v>6</v>
      </c>
      <c r="P236" s="225" t="s">
        <v>56</v>
      </c>
      <c r="Q236" s="226"/>
      <c r="R236" s="82"/>
    </row>
    <row r="237" spans="1:18" ht="16.2" thickBot="1">
      <c r="A237" s="217"/>
      <c r="B237" s="84" t="s">
        <v>1</v>
      </c>
      <c r="C237" s="85" t="s">
        <v>2</v>
      </c>
      <c r="D237" s="85" t="s">
        <v>3</v>
      </c>
      <c r="E237" s="86" t="s">
        <v>57</v>
      </c>
      <c r="F237" s="85" t="s">
        <v>58</v>
      </c>
      <c r="G237" s="87" t="s">
        <v>60</v>
      </c>
      <c r="H237" s="88" t="s">
        <v>3</v>
      </c>
      <c r="I237" s="88" t="s">
        <v>72</v>
      </c>
      <c r="J237" s="86" t="s">
        <v>59</v>
      </c>
      <c r="K237" s="85" t="s">
        <v>73</v>
      </c>
      <c r="L237" s="85" t="s">
        <v>74</v>
      </c>
      <c r="M237" s="85" t="s">
        <v>75</v>
      </c>
      <c r="N237" s="85" t="s">
        <v>76</v>
      </c>
      <c r="O237" s="224"/>
      <c r="P237" s="89" t="s">
        <v>61</v>
      </c>
      <c r="Q237" s="89" t="s">
        <v>62</v>
      </c>
      <c r="R237" s="90" t="s">
        <v>77</v>
      </c>
    </row>
    <row r="238" spans="1:18" ht="13.8" thickBot="1">
      <c r="A238" s="140">
        <v>15</v>
      </c>
      <c r="B238" s="93">
        <f>EXP(4.04764-8.75819/A238^0.56087)+1.19874*(1-EXP(-0.081*A238))^2.99578*($B$5-17.38)</f>
        <v>9.5085291059454633</v>
      </c>
      <c r="C238" s="141">
        <f>$B$6</f>
        <v>2200</v>
      </c>
      <c r="D238" s="142"/>
      <c r="E238" s="94"/>
      <c r="F238" s="147"/>
      <c r="G238" s="95"/>
      <c r="H238" s="94"/>
      <c r="I238" s="94"/>
      <c r="J238" s="94"/>
      <c r="K238" s="94"/>
      <c r="L238" s="94"/>
      <c r="M238" s="142"/>
      <c r="N238" s="142"/>
      <c r="O238" s="97"/>
      <c r="P238" s="148"/>
      <c r="Q238" s="160"/>
      <c r="R238" s="90"/>
    </row>
    <row r="239" spans="1:18">
      <c r="A239" s="161">
        <v>15</v>
      </c>
      <c r="B239" s="149">
        <f>EXP(4.04764-8.75819/A239^0.56087)+1.19874*(1-EXP(-0.081*A239))^2.99578*($B$5-17.38)</f>
        <v>9.5085291059454633</v>
      </c>
      <c r="C239" s="145">
        <f>IF(A239&lt;=$D$8,100^2/($B$4^2*B239^2),C238)</f>
        <v>2090.8248228660891</v>
      </c>
      <c r="D239" s="150">
        <f>(-7.5886+0.6547*B239+0.3669*A239+299.909*(1/SQRT(C239))-0.003528*A239^2)</f>
        <v>9.9052289536229896</v>
      </c>
      <c r="E239" s="162">
        <f>(PI()/4*(D239/100)^2)*C239</f>
        <v>16.111521893899372</v>
      </c>
      <c r="F239" s="167">
        <f>0.2768*E239+0.4376*E239*B239</f>
        <v>71.498621703001916</v>
      </c>
      <c r="G239" s="171">
        <f>C239-C240</f>
        <v>940.60147088805911</v>
      </c>
      <c r="H239" s="178">
        <f>6.3167+0.01803*D239^2-0.005994*G239+18.1328*(G239/C239)</f>
        <v>10.60514329777968</v>
      </c>
      <c r="I239" s="162">
        <f t="shared" ref="I239:I250" si="65">(PI()/4*(H239/100)^2)*G239</f>
        <v>8.3086146522791804</v>
      </c>
      <c r="J239" s="187">
        <f t="shared" ref="J239:J250" si="66">-0.03896*G239+0.0006721*H239^2*G239</f>
        <v>34.454662825243993</v>
      </c>
      <c r="K239" s="191">
        <f>C239-G239</f>
        <v>1150.22335197803</v>
      </c>
      <c r="L239" s="192">
        <f>E239-I239</f>
        <v>7.8029072416201917</v>
      </c>
      <c r="M239" s="101"/>
      <c r="N239" s="101"/>
      <c r="O239" s="105"/>
      <c r="P239" s="106"/>
      <c r="Q239" s="107"/>
      <c r="R239" s="82"/>
    </row>
    <row r="240" spans="1:18">
      <c r="A240" s="163">
        <f>A239+pdesb</f>
        <v>20</v>
      </c>
      <c r="B240" s="152">
        <f t="shared" ref="B240:B251" si="67">EXP(4.04764-8.75819/A240^0.56087)+1.19874*(1-EXP(-0.081*A240))^2.99578*($B$5-17.38)</f>
        <v>12.819794801507502</v>
      </c>
      <c r="C240" s="145">
        <f t="shared" ref="C240:C251" si="68">IF(A240&lt;=$D$8,100^2/($B$4^2*B240^2),C239)</f>
        <v>1150.22335197803</v>
      </c>
      <c r="D240" s="153">
        <f t="shared" ref="D240:D251" si="69">(-7.5886+0.6547*B240+0.3669*A240+299.909*(1/SQRT(C240))-0.003528*A240^2)</f>
        <v>15.574294886535185</v>
      </c>
      <c r="E240" s="164">
        <f t="shared" ref="E240:E251" si="70">(PI()/4*(D240/100)^2)*C240</f>
        <v>21.912344578448636</v>
      </c>
      <c r="F240" s="168">
        <f t="shared" ref="F240:F251" si="71">0.2768*E240+0.4376*E240*B240</f>
        <v>128.9923236435173</v>
      </c>
      <c r="G240" s="172">
        <f t="shared" ref="G240:G250" si="72">C240-C241</f>
        <v>375.70209283897009</v>
      </c>
      <c r="H240" s="179">
        <f t="shared" ref="H240:H250" si="73">6.3167+0.01803*D240^2-0.005994*G240+18.1328*(G240/C240)</f>
        <v>14.36086391915218</v>
      </c>
      <c r="I240" s="164">
        <f t="shared" si="65"/>
        <v>6.0854770583989177</v>
      </c>
      <c r="J240" s="188">
        <f t="shared" si="66"/>
        <v>37.438769397344863</v>
      </c>
      <c r="K240" s="191">
        <f t="shared" ref="K240:K250" si="74">C240-G240</f>
        <v>774.52125913905991</v>
      </c>
      <c r="L240" s="192">
        <f t="shared" ref="L240:L250" si="75">E240-I240</f>
        <v>15.826867520049717</v>
      </c>
      <c r="M240" s="111"/>
      <c r="N240" s="111"/>
      <c r="O240" s="115"/>
      <c r="P240" s="116"/>
      <c r="Q240" s="117"/>
      <c r="R240" s="82"/>
    </row>
    <row r="241" spans="1:18">
      <c r="A241" s="163">
        <f t="shared" ref="A241:A249" si="76">A240+pdesb</f>
        <v>25</v>
      </c>
      <c r="B241" s="152">
        <f t="shared" si="67"/>
        <v>15.622678395248585</v>
      </c>
      <c r="C241" s="145">
        <f t="shared" si="68"/>
        <v>774.52125913905991</v>
      </c>
      <c r="D241" s="153">
        <f t="shared" si="69"/>
        <v>20.383445811502646</v>
      </c>
      <c r="E241" s="164">
        <f t="shared" si="70"/>
        <v>25.274258931963477</v>
      </c>
      <c r="F241" s="168">
        <f t="shared" si="71"/>
        <v>179.78298333464787</v>
      </c>
      <c r="G241" s="172">
        <f t="shared" si="72"/>
        <v>190.35476698454966</v>
      </c>
      <c r="H241" s="179">
        <f t="shared" si="73"/>
        <v>17.123419717915027</v>
      </c>
      <c r="I241" s="164">
        <f t="shared" si="65"/>
        <v>4.383637590452258</v>
      </c>
      <c r="J241" s="188">
        <f t="shared" si="66"/>
        <v>30.096507004285154</v>
      </c>
      <c r="K241" s="191">
        <f t="shared" si="74"/>
        <v>584.16649215451025</v>
      </c>
      <c r="L241" s="192">
        <f t="shared" si="75"/>
        <v>20.890621341511221</v>
      </c>
      <c r="M241" s="111"/>
      <c r="N241" s="111"/>
      <c r="O241" s="115"/>
      <c r="P241" s="116"/>
      <c r="Q241" s="117"/>
      <c r="R241" s="82"/>
    </row>
    <row r="242" spans="1:18">
      <c r="A242" s="163">
        <f t="shared" si="76"/>
        <v>30</v>
      </c>
      <c r="B242" s="152">
        <f t="shared" si="67"/>
        <v>17.988868326662203</v>
      </c>
      <c r="C242" s="145">
        <f t="shared" si="68"/>
        <v>584.16649215451025</v>
      </c>
      <c r="D242" s="153">
        <f t="shared" si="69"/>
        <v>24.429066168721892</v>
      </c>
      <c r="E242" s="164">
        <f t="shared" si="70"/>
        <v>27.380429429173205</v>
      </c>
      <c r="F242" s="168">
        <f t="shared" si="71"/>
        <v>223.11569329134582</v>
      </c>
      <c r="G242" s="172">
        <f t="shared" si="72"/>
        <v>111.57481285277856</v>
      </c>
      <c r="H242" s="179">
        <f t="shared" si="73"/>
        <v>19.871185038184535</v>
      </c>
      <c r="I242" s="164">
        <f t="shared" si="65"/>
        <v>3.4602189750321761</v>
      </c>
      <c r="J242" s="188">
        <f t="shared" si="66"/>
        <v>25.263671868978673</v>
      </c>
      <c r="K242" s="191">
        <f t="shared" si="74"/>
        <v>472.59167930173169</v>
      </c>
      <c r="L242" s="192">
        <f t="shared" si="75"/>
        <v>23.920210454141028</v>
      </c>
      <c r="M242" s="111"/>
      <c r="N242" s="111"/>
      <c r="O242" s="115"/>
      <c r="P242" s="116"/>
      <c r="Q242" s="117"/>
      <c r="R242" s="82"/>
    </row>
    <row r="243" spans="1:18">
      <c r="A243" s="163">
        <f t="shared" si="76"/>
        <v>35</v>
      </c>
      <c r="B243" s="152">
        <f t="shared" si="67"/>
        <v>19.99996006609496</v>
      </c>
      <c r="C243" s="145">
        <f t="shared" si="68"/>
        <v>472.59167930173169</v>
      </c>
      <c r="D243" s="153">
        <f t="shared" si="69"/>
        <v>27.820860309236064</v>
      </c>
      <c r="E243" s="164">
        <f t="shared" si="70"/>
        <v>28.728772061012613</v>
      </c>
      <c r="F243" s="168">
        <f t="shared" si="71"/>
        <v>259.3858351469712</v>
      </c>
      <c r="G243" s="172">
        <f t="shared" si="72"/>
        <v>72.178911758667141</v>
      </c>
      <c r="H243" s="179">
        <f t="shared" si="73"/>
        <v>22.608706393508037</v>
      </c>
      <c r="I243" s="164">
        <f t="shared" si="65"/>
        <v>2.8976881127880056</v>
      </c>
      <c r="J243" s="188">
        <f t="shared" si="66"/>
        <v>21.984710397367692</v>
      </c>
      <c r="K243" s="191">
        <f t="shared" si="74"/>
        <v>400.41276754306455</v>
      </c>
      <c r="L243" s="192">
        <f t="shared" si="75"/>
        <v>25.831083948224606</v>
      </c>
      <c r="M243" s="111"/>
      <c r="N243" s="111"/>
      <c r="O243" s="115"/>
      <c r="P243" s="116"/>
      <c r="Q243" s="117"/>
      <c r="R243" s="82"/>
    </row>
    <row r="244" spans="1:18">
      <c r="A244" s="163">
        <f t="shared" si="76"/>
        <v>40</v>
      </c>
      <c r="B244" s="152">
        <f t="shared" si="67"/>
        <v>21.727922598897567</v>
      </c>
      <c r="C244" s="145">
        <f t="shared" si="68"/>
        <v>400.41276754306455</v>
      </c>
      <c r="D244" s="153">
        <f t="shared" si="69"/>
        <v>30.655589864537607</v>
      </c>
      <c r="E244" s="164">
        <f t="shared" si="70"/>
        <v>29.554060121803456</v>
      </c>
      <c r="F244" s="168">
        <f t="shared" si="71"/>
        <v>289.18467340404459</v>
      </c>
      <c r="G244" s="172">
        <f t="shared" si="72"/>
        <v>50.13320716381287</v>
      </c>
      <c r="H244" s="179">
        <f t="shared" si="73"/>
        <v>25.230463717043527</v>
      </c>
      <c r="I244" s="164">
        <f t="shared" si="65"/>
        <v>2.5064891853387357</v>
      </c>
      <c r="J244" s="188">
        <f t="shared" si="66"/>
        <v>19.495948532834369</v>
      </c>
      <c r="K244" s="191">
        <f t="shared" si="74"/>
        <v>350.27956037925168</v>
      </c>
      <c r="L244" s="192">
        <f t="shared" si="75"/>
        <v>27.047570936464719</v>
      </c>
      <c r="M244" s="111"/>
      <c r="N244" s="111"/>
      <c r="O244" s="115"/>
      <c r="P244" s="116"/>
      <c r="Q244" s="117"/>
      <c r="R244" s="82"/>
    </row>
    <row r="245" spans="1:18">
      <c r="A245" s="163">
        <f t="shared" si="76"/>
        <v>45</v>
      </c>
      <c r="B245" s="152">
        <f t="shared" si="67"/>
        <v>23.230832101091192</v>
      </c>
      <c r="C245" s="145">
        <f t="shared" si="68"/>
        <v>350.27956037925168</v>
      </c>
      <c r="D245" s="153">
        <f t="shared" si="69"/>
        <v>33.01133771317857</v>
      </c>
      <c r="E245" s="164">
        <f t="shared" si="70"/>
        <v>29.979951394381878</v>
      </c>
      <c r="F245" s="168">
        <f t="shared" si="71"/>
        <v>313.06900401095913</v>
      </c>
      <c r="G245" s="172">
        <f t="shared" si="72"/>
        <v>36.729536222549939</v>
      </c>
      <c r="H245" s="179">
        <f t="shared" si="73"/>
        <v>27.64607223821206</v>
      </c>
      <c r="I245" s="164">
        <f t="shared" si="65"/>
        <v>2.2048152440893189</v>
      </c>
      <c r="J245" s="188">
        <f t="shared" si="66"/>
        <v>17.436598001862446</v>
      </c>
      <c r="K245" s="191">
        <f t="shared" si="74"/>
        <v>313.55002415670174</v>
      </c>
      <c r="L245" s="192">
        <f t="shared" si="75"/>
        <v>27.77513615029256</v>
      </c>
      <c r="M245" s="111"/>
      <c r="N245" s="111"/>
      <c r="O245" s="115"/>
      <c r="P245" s="116"/>
      <c r="Q245" s="117"/>
      <c r="R245" s="82"/>
    </row>
    <row r="246" spans="1:18">
      <c r="A246" s="163">
        <f t="shared" si="76"/>
        <v>50</v>
      </c>
      <c r="B246" s="152">
        <f t="shared" si="67"/>
        <v>24.553801733943406</v>
      </c>
      <c r="C246" s="145">
        <f t="shared" si="68"/>
        <v>313.55002415670174</v>
      </c>
      <c r="D246" s="153">
        <f t="shared" si="69"/>
        <v>34.94875808093078</v>
      </c>
      <c r="E246" s="164">
        <f t="shared" si="70"/>
        <v>30.078779843687929</v>
      </c>
      <c r="F246" s="168">
        <f t="shared" si="71"/>
        <v>331.5145846482713</v>
      </c>
      <c r="G246" s="172">
        <f t="shared" si="72"/>
        <v>28.041589059301316</v>
      </c>
      <c r="H246" s="179">
        <f t="shared" si="73"/>
        <v>29.792406801004816</v>
      </c>
      <c r="I246" s="164">
        <f t="shared" si="65"/>
        <v>1.9548060784098495</v>
      </c>
      <c r="J246" s="188">
        <f t="shared" si="66"/>
        <v>15.635641243521915</v>
      </c>
      <c r="K246" s="191">
        <f t="shared" si="74"/>
        <v>285.50843509740042</v>
      </c>
      <c r="L246" s="192">
        <f t="shared" si="75"/>
        <v>28.12397376527808</v>
      </c>
      <c r="M246" s="111"/>
      <c r="N246" s="111"/>
      <c r="O246" s="115"/>
      <c r="P246" s="116"/>
      <c r="Q246" s="117"/>
      <c r="R246" s="82"/>
    </row>
    <row r="247" spans="1:18">
      <c r="A247" s="163">
        <f t="shared" si="76"/>
        <v>55</v>
      </c>
      <c r="B247" s="152">
        <f t="shared" si="67"/>
        <v>25.731357111216642</v>
      </c>
      <c r="C247" s="145">
        <f t="shared" si="68"/>
        <v>285.50843509740042</v>
      </c>
      <c r="D247" s="153">
        <f t="shared" si="69"/>
        <v>36.514270334409645</v>
      </c>
      <c r="E247" s="164">
        <f t="shared" si="70"/>
        <v>29.897445169365728</v>
      </c>
      <c r="F247" s="168">
        <f t="shared" si="71"/>
        <v>344.92209729182821</v>
      </c>
      <c r="G247" s="172">
        <f t="shared" si="72"/>
        <v>22.115955130274642</v>
      </c>
      <c r="H247" s="179">
        <f t="shared" si="73"/>
        <v>31.627987257024213</v>
      </c>
      <c r="I247" s="164">
        <f t="shared" si="65"/>
        <v>1.737555525390071</v>
      </c>
      <c r="J247" s="188">
        <f t="shared" si="66"/>
        <v>14.007394721520717</v>
      </c>
      <c r="K247" s="191">
        <f t="shared" si="74"/>
        <v>263.39247996712578</v>
      </c>
      <c r="L247" s="192">
        <f t="shared" si="75"/>
        <v>28.159889643975657</v>
      </c>
      <c r="M247" s="111"/>
      <c r="N247" s="111"/>
      <c r="O247" s="115"/>
      <c r="P247" s="116"/>
      <c r="Q247" s="117"/>
      <c r="R247" s="82"/>
    </row>
    <row r="248" spans="1:18">
      <c r="A248" s="163">
        <f t="shared" si="76"/>
        <v>60</v>
      </c>
      <c r="B248" s="152">
        <f t="shared" si="67"/>
        <v>26.789862111400492</v>
      </c>
      <c r="C248" s="145">
        <f t="shared" si="68"/>
        <v>263.39247996712578</v>
      </c>
      <c r="D248" s="153">
        <f t="shared" si="69"/>
        <v>37.743320463060329</v>
      </c>
      <c r="E248" s="164">
        <f t="shared" si="70"/>
        <v>29.469547119501851</v>
      </c>
      <c r="F248" s="168">
        <f t="shared" si="71"/>
        <v>353.63585207294227</v>
      </c>
      <c r="G248" s="172">
        <f t="shared" si="72"/>
        <v>17.903317796608093</v>
      </c>
      <c r="H248" s="179">
        <f t="shared" si="73"/>
        <v>33.126695539886633</v>
      </c>
      <c r="I248" s="164">
        <f t="shared" si="65"/>
        <v>1.5430487055972151</v>
      </c>
      <c r="J248" s="188">
        <f t="shared" si="66"/>
        <v>12.507038052409774</v>
      </c>
      <c r="K248" s="191">
        <f t="shared" si="74"/>
        <v>245.48916217051769</v>
      </c>
      <c r="L248" s="192">
        <f t="shared" si="75"/>
        <v>27.926498413904635</v>
      </c>
      <c r="M248" s="111"/>
      <c r="N248" s="111"/>
      <c r="O248" s="115"/>
      <c r="P248" s="116"/>
      <c r="Q248" s="117"/>
      <c r="R248" s="82"/>
    </row>
    <row r="249" spans="1:18">
      <c r="A249" s="163">
        <f t="shared" si="76"/>
        <v>65</v>
      </c>
      <c r="B249" s="152">
        <f t="shared" si="67"/>
        <v>27.749553664181299</v>
      </c>
      <c r="C249" s="145">
        <f t="shared" si="68"/>
        <v>245.48916217051769</v>
      </c>
      <c r="D249" s="153">
        <f t="shared" si="69"/>
        <v>38.663116830642679</v>
      </c>
      <c r="E249" s="164">
        <f t="shared" si="70"/>
        <v>28.821456793767251</v>
      </c>
      <c r="F249" s="168">
        <f t="shared" si="71"/>
        <v>357.96262836231824</v>
      </c>
      <c r="G249" s="172">
        <f t="shared" si="72"/>
        <v>0</v>
      </c>
      <c r="H249" s="179">
        <f t="shared" si="73"/>
        <v>33.268603953170455</v>
      </c>
      <c r="I249" s="164">
        <f t="shared" si="65"/>
        <v>0</v>
      </c>
      <c r="J249" s="188">
        <f t="shared" si="66"/>
        <v>0</v>
      </c>
      <c r="K249" s="191">
        <f t="shared" si="74"/>
        <v>245.48916217051769</v>
      </c>
      <c r="L249" s="192">
        <f t="shared" si="75"/>
        <v>28.821456793767251</v>
      </c>
      <c r="M249" s="111"/>
      <c r="N249" s="111"/>
      <c r="O249" s="115"/>
      <c r="P249" s="116"/>
      <c r="Q249" s="117"/>
      <c r="R249" s="82"/>
    </row>
    <row r="250" spans="1:18">
      <c r="A250" s="163">
        <v>70</v>
      </c>
      <c r="B250" s="152">
        <f t="shared" si="67"/>
        <v>28.626116569254211</v>
      </c>
      <c r="C250" s="146">
        <f t="shared" si="68"/>
        <v>245.48916217051769</v>
      </c>
      <c r="D250" s="153">
        <f t="shared" si="69"/>
        <v>38.690102564593914</v>
      </c>
      <c r="E250" s="164">
        <f t="shared" si="70"/>
        <v>28.861703916022808</v>
      </c>
      <c r="F250" s="168">
        <f t="shared" si="71"/>
        <v>369.53338354474806</v>
      </c>
      <c r="G250" s="172">
        <f t="shared" si="72"/>
        <v>0</v>
      </c>
      <c r="H250" s="179">
        <f t="shared" si="73"/>
        <v>33.306240377352104</v>
      </c>
      <c r="I250" s="164">
        <f t="shared" si="65"/>
        <v>0</v>
      </c>
      <c r="J250" s="188">
        <f t="shared" si="66"/>
        <v>0</v>
      </c>
      <c r="K250" s="191">
        <f t="shared" si="74"/>
        <v>245.48916217051769</v>
      </c>
      <c r="L250" s="192">
        <f t="shared" si="75"/>
        <v>28.861703916022808</v>
      </c>
      <c r="M250" s="82"/>
      <c r="N250" s="82"/>
      <c r="O250" s="115"/>
      <c r="P250" s="82"/>
      <c r="Q250" s="127"/>
      <c r="R250" s="83"/>
    </row>
    <row r="251" spans="1:18" ht="13.8" thickBot="1">
      <c r="A251" s="165">
        <v>75</v>
      </c>
      <c r="B251" s="156">
        <f t="shared" si="67"/>
        <v>29.431856571860372</v>
      </c>
      <c r="C251" s="146">
        <f t="shared" si="68"/>
        <v>245.48916217051769</v>
      </c>
      <c r="D251" s="157">
        <f t="shared" si="69"/>
        <v>38.494320544300166</v>
      </c>
      <c r="E251" s="166">
        <f t="shared" si="70"/>
        <v>28.570347441590304</v>
      </c>
      <c r="F251" s="169">
        <f t="shared" si="71"/>
        <v>375.87664605637605</v>
      </c>
      <c r="G251" s="185"/>
      <c r="H251" s="186"/>
      <c r="I251" s="186"/>
      <c r="J251" s="189"/>
      <c r="K251" s="133"/>
      <c r="L251" s="135"/>
      <c r="M251" s="135"/>
      <c r="N251" s="135"/>
      <c r="O251" s="190"/>
      <c r="P251" s="135"/>
      <c r="Q251" s="137"/>
      <c r="R251" s="83"/>
    </row>
    <row r="252" spans="1:18" ht="13.8" thickBot="1">
      <c r="A252" s="193"/>
      <c r="B252" s="194"/>
      <c r="C252" s="110"/>
    </row>
    <row r="253" spans="1:18" s="67" customFormat="1">
      <c r="A253" s="138"/>
      <c r="B253" s="109"/>
      <c r="C253" s="110"/>
    </row>
    <row r="254" spans="1:18" s="67" customFormat="1">
      <c r="A254" s="138"/>
      <c r="B254" s="109"/>
      <c r="C254" s="110"/>
    </row>
    <row r="255" spans="1:18" s="67" customFormat="1">
      <c r="A255" s="138"/>
      <c r="B255" s="109"/>
      <c r="C255" s="110"/>
    </row>
    <row r="256" spans="1:18" ht="13.8" thickBot="1"/>
    <row r="257" spans="1:18" ht="13.8" thickBot="1">
      <c r="A257" s="216" t="s">
        <v>0</v>
      </c>
      <c r="B257" s="218" t="s">
        <v>69</v>
      </c>
      <c r="C257" s="218"/>
      <c r="D257" s="218"/>
      <c r="E257" s="219"/>
      <c r="F257" s="218"/>
      <c r="G257" s="220" t="s">
        <v>70</v>
      </c>
      <c r="H257" s="221"/>
      <c r="I257" s="221"/>
      <c r="J257" s="222"/>
      <c r="K257" s="220" t="s">
        <v>71</v>
      </c>
      <c r="L257" s="221"/>
      <c r="M257" s="221"/>
      <c r="N257" s="222"/>
      <c r="O257" s="223" t="s">
        <v>6</v>
      </c>
      <c r="P257" s="225" t="s">
        <v>56</v>
      </c>
      <c r="Q257" s="226"/>
      <c r="R257" s="82"/>
    </row>
    <row r="258" spans="1:18" ht="16.2" thickBot="1">
      <c r="A258" s="217"/>
      <c r="B258" s="84" t="s">
        <v>1</v>
      </c>
      <c r="C258" s="85" t="s">
        <v>2</v>
      </c>
      <c r="D258" s="85" t="s">
        <v>3</v>
      </c>
      <c r="E258" s="86" t="s">
        <v>57</v>
      </c>
      <c r="F258" s="85" t="s">
        <v>58</v>
      </c>
      <c r="G258" s="87" t="s">
        <v>60</v>
      </c>
      <c r="H258" s="88" t="s">
        <v>3</v>
      </c>
      <c r="I258" s="88" t="s">
        <v>72</v>
      </c>
      <c r="J258" s="86" t="s">
        <v>59</v>
      </c>
      <c r="K258" s="85" t="s">
        <v>73</v>
      </c>
      <c r="L258" s="85" t="s">
        <v>74</v>
      </c>
      <c r="M258" s="85" t="s">
        <v>75</v>
      </c>
      <c r="N258" s="85" t="s">
        <v>76</v>
      </c>
      <c r="O258" s="224"/>
      <c r="P258" s="89" t="s">
        <v>61</v>
      </c>
      <c r="Q258" s="89" t="s">
        <v>62</v>
      </c>
      <c r="R258" s="90" t="s">
        <v>77</v>
      </c>
    </row>
    <row r="259" spans="1:18" ht="13.8" thickBot="1">
      <c r="A259" s="140">
        <v>15</v>
      </c>
      <c r="B259" s="93">
        <f>EXP(4.04764-8.75819/A259^0.56087)+1.19874*(1-EXP(-0.081*A259))^2.99578*($B$5-17.38)</f>
        <v>9.5085291059454633</v>
      </c>
      <c r="C259" s="141">
        <f>$B$6</f>
        <v>2200</v>
      </c>
      <c r="D259" s="142"/>
      <c r="E259" s="94"/>
      <c r="F259" s="147"/>
      <c r="G259" s="95"/>
      <c r="H259" s="94"/>
      <c r="I259" s="94"/>
      <c r="J259" s="94"/>
      <c r="K259" s="144"/>
      <c r="L259" s="142"/>
      <c r="M259" s="142"/>
      <c r="N259" s="147"/>
      <c r="O259" s="97"/>
      <c r="P259" s="148"/>
      <c r="Q259" s="160"/>
      <c r="R259" s="90"/>
    </row>
    <row r="260" spans="1:18">
      <c r="A260" s="161">
        <v>15</v>
      </c>
      <c r="B260" s="149">
        <f>EXP(4.04764-8.75819/A260^0.56087)+1.19874*(1-EXP(-0.081*A260))^2.99578*($B$5-17.38)</f>
        <v>9.5085291059454633</v>
      </c>
      <c r="C260" s="145">
        <f>IF(A260&lt;=$D$8,100^2/($B$4^2*B260^2),C259)</f>
        <v>2090.8248228660891</v>
      </c>
      <c r="D260" s="150">
        <f>(-7.5886+0.6547*B260+0.3669*A260+299.909*(1/SQRT(C260))-0.003528*A260^2)</f>
        <v>9.9052289536229896</v>
      </c>
      <c r="E260" s="162">
        <f>(PI()/4*(D260/100)^2)*C260</f>
        <v>16.111521893899372</v>
      </c>
      <c r="F260" s="167">
        <f>0.2768*E260+0.4376*E260*B260</f>
        <v>71.498621703001916</v>
      </c>
      <c r="G260" s="171">
        <f>C260-C261</f>
        <v>940.60147088805911</v>
      </c>
      <c r="H260" s="178">
        <f>6.3167+0.01803*D260^2-0.005994*G260+18.1328*(G260/C260)</f>
        <v>10.60514329777968</v>
      </c>
      <c r="I260" s="162">
        <f t="shared" ref="I260:I271" si="77">(PI()/4*(H260/100)^2)*G260</f>
        <v>8.3086146522791804</v>
      </c>
      <c r="J260" s="187">
        <f t="shared" ref="J260:J271" si="78">-0.03896*G260+0.0006721*H260^2*G260</f>
        <v>34.454662825243993</v>
      </c>
      <c r="K260" s="195">
        <f>C260-G260</f>
        <v>1150.22335197803</v>
      </c>
      <c r="L260" s="196">
        <f>E260-I260</f>
        <v>7.8029072416201917</v>
      </c>
      <c r="M260" s="197">
        <f>SQRT((L260*40000)/(K260*PI()))</f>
        <v>9.2937757935359269</v>
      </c>
      <c r="N260" s="151"/>
      <c r="O260" s="151"/>
      <c r="P260" s="106"/>
      <c r="Q260" s="107"/>
      <c r="R260" s="82"/>
    </row>
    <row r="261" spans="1:18">
      <c r="A261" s="163">
        <f>A260+pdesb</f>
        <v>20</v>
      </c>
      <c r="B261" s="152">
        <f t="shared" ref="B261:B272" si="79">EXP(4.04764-8.75819/A261^0.56087)+1.19874*(1-EXP(-0.081*A261))^2.99578*($B$5-17.38)</f>
        <v>12.819794801507502</v>
      </c>
      <c r="C261" s="145">
        <f t="shared" ref="C261:C272" si="80">IF(A261&lt;=$D$8,100^2/($B$4^2*B261^2),C260)</f>
        <v>1150.22335197803</v>
      </c>
      <c r="D261" s="153">
        <f t="shared" ref="D261:D272" si="81">(-7.5886+0.6547*B261+0.3669*A261+299.909*(1/SQRT(C261))-0.003528*A261^2)</f>
        <v>15.574294886535185</v>
      </c>
      <c r="E261" s="164">
        <f t="shared" ref="E261:E272" si="82">(PI()/4*(D261/100)^2)*C261</f>
        <v>21.912344578448636</v>
      </c>
      <c r="F261" s="168">
        <f t="shared" ref="F261:F272" si="83">0.2768*E261+0.4376*E261*B261</f>
        <v>128.9923236435173</v>
      </c>
      <c r="G261" s="172">
        <f t="shared" ref="G261:G271" si="84">C261-C262</f>
        <v>375.70209283897009</v>
      </c>
      <c r="H261" s="179">
        <f t="shared" ref="H261:H271" si="85">6.3167+0.01803*D261^2-0.005994*G261+18.1328*(G261/C261)</f>
        <v>14.36086391915218</v>
      </c>
      <c r="I261" s="164">
        <f t="shared" si="77"/>
        <v>6.0854770583989177</v>
      </c>
      <c r="J261" s="188">
        <f t="shared" si="78"/>
        <v>37.438769397344863</v>
      </c>
      <c r="K261" s="198">
        <f t="shared" ref="K261:K271" si="86">C261-G261</f>
        <v>774.52125913905991</v>
      </c>
      <c r="L261" s="192">
        <f t="shared" ref="L261:L271" si="87">E261-I261</f>
        <v>15.826867520049717</v>
      </c>
      <c r="M261" s="199">
        <f t="shared" ref="M261:M271" si="88">SQRT((L261*40000)/(K261*PI()))</f>
        <v>16.130055861910108</v>
      </c>
      <c r="N261" s="154"/>
      <c r="O261" s="154"/>
      <c r="P261" s="116"/>
      <c r="Q261" s="117"/>
      <c r="R261" s="82"/>
    </row>
    <row r="262" spans="1:18">
      <c r="A262" s="163">
        <f t="shared" ref="A262:A270" si="89">A261+pdesb</f>
        <v>25</v>
      </c>
      <c r="B262" s="152">
        <f t="shared" si="79"/>
        <v>15.622678395248585</v>
      </c>
      <c r="C262" s="145">
        <f t="shared" si="80"/>
        <v>774.52125913905991</v>
      </c>
      <c r="D262" s="153">
        <f t="shared" si="81"/>
        <v>20.383445811502646</v>
      </c>
      <c r="E262" s="164">
        <f t="shared" si="82"/>
        <v>25.274258931963477</v>
      </c>
      <c r="F262" s="168">
        <f t="shared" si="83"/>
        <v>179.78298333464787</v>
      </c>
      <c r="G262" s="172">
        <f t="shared" si="84"/>
        <v>190.35476698454966</v>
      </c>
      <c r="H262" s="179">
        <f t="shared" si="85"/>
        <v>17.123419717915027</v>
      </c>
      <c r="I262" s="164">
        <f t="shared" si="77"/>
        <v>4.383637590452258</v>
      </c>
      <c r="J262" s="188">
        <f t="shared" si="78"/>
        <v>30.096507004285154</v>
      </c>
      <c r="K262" s="198">
        <f t="shared" si="86"/>
        <v>584.16649215451025</v>
      </c>
      <c r="L262" s="192">
        <f t="shared" si="87"/>
        <v>20.890621341511221</v>
      </c>
      <c r="M262" s="199">
        <f t="shared" si="88"/>
        <v>21.338427754593251</v>
      </c>
      <c r="N262" s="154"/>
      <c r="O262" s="154"/>
      <c r="P262" s="116"/>
      <c r="Q262" s="117"/>
      <c r="R262" s="82"/>
    </row>
    <row r="263" spans="1:18">
      <c r="A263" s="163">
        <f t="shared" si="89"/>
        <v>30</v>
      </c>
      <c r="B263" s="152">
        <f t="shared" si="79"/>
        <v>17.988868326662203</v>
      </c>
      <c r="C263" s="145">
        <f t="shared" si="80"/>
        <v>584.16649215451025</v>
      </c>
      <c r="D263" s="153">
        <f t="shared" si="81"/>
        <v>24.429066168721892</v>
      </c>
      <c r="E263" s="164">
        <f t="shared" si="82"/>
        <v>27.380429429173205</v>
      </c>
      <c r="F263" s="168">
        <f t="shared" si="83"/>
        <v>223.11569329134582</v>
      </c>
      <c r="G263" s="172">
        <f t="shared" si="84"/>
        <v>111.57481285277856</v>
      </c>
      <c r="H263" s="179">
        <f t="shared" si="85"/>
        <v>19.871185038184535</v>
      </c>
      <c r="I263" s="164">
        <f t="shared" si="77"/>
        <v>3.4602189750321761</v>
      </c>
      <c r="J263" s="188">
        <f t="shared" si="78"/>
        <v>25.263671868978673</v>
      </c>
      <c r="K263" s="198">
        <f t="shared" si="86"/>
        <v>472.59167930173169</v>
      </c>
      <c r="L263" s="192">
        <f t="shared" si="87"/>
        <v>23.920210454141028</v>
      </c>
      <c r="M263" s="199">
        <f t="shared" si="88"/>
        <v>25.386014396758782</v>
      </c>
      <c r="N263" s="154"/>
      <c r="O263" s="154"/>
      <c r="P263" s="116"/>
      <c r="Q263" s="117"/>
      <c r="R263" s="82"/>
    </row>
    <row r="264" spans="1:18">
      <c r="A264" s="163">
        <f t="shared" si="89"/>
        <v>35</v>
      </c>
      <c r="B264" s="152">
        <f t="shared" si="79"/>
        <v>19.99996006609496</v>
      </c>
      <c r="C264" s="145">
        <f t="shared" si="80"/>
        <v>472.59167930173169</v>
      </c>
      <c r="D264" s="153">
        <f t="shared" si="81"/>
        <v>27.820860309236064</v>
      </c>
      <c r="E264" s="164">
        <f t="shared" si="82"/>
        <v>28.728772061012613</v>
      </c>
      <c r="F264" s="168">
        <f t="shared" si="83"/>
        <v>259.3858351469712</v>
      </c>
      <c r="G264" s="172">
        <f t="shared" si="84"/>
        <v>72.178911758667141</v>
      </c>
      <c r="H264" s="179">
        <f t="shared" si="85"/>
        <v>22.608706393508037</v>
      </c>
      <c r="I264" s="164">
        <f t="shared" si="77"/>
        <v>2.8976881127880056</v>
      </c>
      <c r="J264" s="188">
        <f t="shared" si="78"/>
        <v>21.984710397367692</v>
      </c>
      <c r="K264" s="198">
        <f t="shared" si="86"/>
        <v>400.41276754306455</v>
      </c>
      <c r="L264" s="192">
        <f t="shared" si="87"/>
        <v>25.831083948224606</v>
      </c>
      <c r="M264" s="199">
        <f t="shared" si="88"/>
        <v>28.659751224705076</v>
      </c>
      <c r="N264" s="154"/>
      <c r="O264" s="154"/>
      <c r="P264" s="116"/>
      <c r="Q264" s="117"/>
      <c r="R264" s="82"/>
    </row>
    <row r="265" spans="1:18">
      <c r="A265" s="163">
        <f t="shared" si="89"/>
        <v>40</v>
      </c>
      <c r="B265" s="152">
        <f t="shared" si="79"/>
        <v>21.727922598897567</v>
      </c>
      <c r="C265" s="145">
        <f t="shared" si="80"/>
        <v>400.41276754306455</v>
      </c>
      <c r="D265" s="153">
        <f t="shared" si="81"/>
        <v>30.655589864537607</v>
      </c>
      <c r="E265" s="164">
        <f t="shared" si="82"/>
        <v>29.554060121803456</v>
      </c>
      <c r="F265" s="168">
        <f t="shared" si="83"/>
        <v>289.18467340404459</v>
      </c>
      <c r="G265" s="172">
        <f t="shared" si="84"/>
        <v>50.13320716381287</v>
      </c>
      <c r="H265" s="179">
        <f t="shared" si="85"/>
        <v>25.230463717043527</v>
      </c>
      <c r="I265" s="164">
        <f t="shared" si="77"/>
        <v>2.5064891853387357</v>
      </c>
      <c r="J265" s="188">
        <f t="shared" si="78"/>
        <v>19.495948532834369</v>
      </c>
      <c r="K265" s="198">
        <f t="shared" si="86"/>
        <v>350.27956037925168</v>
      </c>
      <c r="L265" s="192">
        <f t="shared" si="87"/>
        <v>27.047570936464719</v>
      </c>
      <c r="M265" s="199">
        <f t="shared" si="88"/>
        <v>31.35536030076636</v>
      </c>
      <c r="N265" s="154"/>
      <c r="O265" s="154"/>
      <c r="P265" s="116"/>
      <c r="Q265" s="117"/>
      <c r="R265" s="82"/>
    </row>
    <row r="266" spans="1:18">
      <c r="A266" s="163">
        <f t="shared" si="89"/>
        <v>45</v>
      </c>
      <c r="B266" s="152">
        <f t="shared" si="79"/>
        <v>23.230832101091192</v>
      </c>
      <c r="C266" s="145">
        <f t="shared" si="80"/>
        <v>350.27956037925168</v>
      </c>
      <c r="D266" s="153">
        <f t="shared" si="81"/>
        <v>33.01133771317857</v>
      </c>
      <c r="E266" s="164">
        <f t="shared" si="82"/>
        <v>29.979951394381878</v>
      </c>
      <c r="F266" s="168">
        <f t="shared" si="83"/>
        <v>313.06900401095913</v>
      </c>
      <c r="G266" s="172">
        <f t="shared" si="84"/>
        <v>36.729536222549939</v>
      </c>
      <c r="H266" s="179">
        <f t="shared" si="85"/>
        <v>27.64607223821206</v>
      </c>
      <c r="I266" s="164">
        <f t="shared" si="77"/>
        <v>2.2048152440893189</v>
      </c>
      <c r="J266" s="188">
        <f t="shared" si="78"/>
        <v>17.436598001862446</v>
      </c>
      <c r="K266" s="198">
        <f t="shared" si="86"/>
        <v>313.55002415670174</v>
      </c>
      <c r="L266" s="192">
        <f t="shared" si="87"/>
        <v>27.77513615029256</v>
      </c>
      <c r="M266" s="199">
        <f t="shared" si="88"/>
        <v>33.583792526629992</v>
      </c>
      <c r="N266" s="154"/>
      <c r="O266" s="154"/>
      <c r="P266" s="116"/>
      <c r="Q266" s="117"/>
      <c r="R266" s="82"/>
    </row>
    <row r="267" spans="1:18">
      <c r="A267" s="163">
        <f t="shared" si="89"/>
        <v>50</v>
      </c>
      <c r="B267" s="152">
        <f t="shared" si="79"/>
        <v>24.553801733943406</v>
      </c>
      <c r="C267" s="145">
        <f t="shared" si="80"/>
        <v>313.55002415670174</v>
      </c>
      <c r="D267" s="153">
        <f t="shared" si="81"/>
        <v>34.94875808093078</v>
      </c>
      <c r="E267" s="164">
        <f t="shared" si="82"/>
        <v>30.078779843687929</v>
      </c>
      <c r="F267" s="168">
        <f t="shared" si="83"/>
        <v>331.5145846482713</v>
      </c>
      <c r="G267" s="172">
        <f t="shared" si="84"/>
        <v>28.041589059301316</v>
      </c>
      <c r="H267" s="179">
        <f t="shared" si="85"/>
        <v>29.792406801004816</v>
      </c>
      <c r="I267" s="164">
        <f t="shared" si="77"/>
        <v>1.9548060784098495</v>
      </c>
      <c r="J267" s="188">
        <f t="shared" si="78"/>
        <v>15.635641243521915</v>
      </c>
      <c r="K267" s="198">
        <f t="shared" si="86"/>
        <v>285.50843509740042</v>
      </c>
      <c r="L267" s="192">
        <f t="shared" si="87"/>
        <v>28.12397376527808</v>
      </c>
      <c r="M267" s="199">
        <f t="shared" si="88"/>
        <v>35.414729548885759</v>
      </c>
      <c r="N267" s="154"/>
      <c r="O267" s="154"/>
      <c r="P267" s="116"/>
      <c r="Q267" s="117"/>
      <c r="R267" s="82"/>
    </row>
    <row r="268" spans="1:18">
      <c r="A268" s="163">
        <f t="shared" si="89"/>
        <v>55</v>
      </c>
      <c r="B268" s="152">
        <f t="shared" si="79"/>
        <v>25.731357111216642</v>
      </c>
      <c r="C268" s="145">
        <f t="shared" si="80"/>
        <v>285.50843509740042</v>
      </c>
      <c r="D268" s="153">
        <f t="shared" si="81"/>
        <v>36.514270334409645</v>
      </c>
      <c r="E268" s="164">
        <f t="shared" si="82"/>
        <v>29.897445169365728</v>
      </c>
      <c r="F268" s="168">
        <f t="shared" si="83"/>
        <v>344.92209729182821</v>
      </c>
      <c r="G268" s="172">
        <f t="shared" si="84"/>
        <v>22.115955130274642</v>
      </c>
      <c r="H268" s="179">
        <f t="shared" si="85"/>
        <v>31.627987257024213</v>
      </c>
      <c r="I268" s="164">
        <f t="shared" si="77"/>
        <v>1.737555525390071</v>
      </c>
      <c r="J268" s="188">
        <f t="shared" si="78"/>
        <v>14.007394721520717</v>
      </c>
      <c r="K268" s="198">
        <f t="shared" si="86"/>
        <v>263.39247996712578</v>
      </c>
      <c r="L268" s="192">
        <f t="shared" si="87"/>
        <v>28.159889643975657</v>
      </c>
      <c r="M268" s="199">
        <f t="shared" si="88"/>
        <v>36.895113259941077</v>
      </c>
      <c r="N268" s="154"/>
      <c r="O268" s="154"/>
      <c r="P268" s="116"/>
      <c r="Q268" s="117"/>
      <c r="R268" s="82"/>
    </row>
    <row r="269" spans="1:18">
      <c r="A269" s="163">
        <f t="shared" si="89"/>
        <v>60</v>
      </c>
      <c r="B269" s="152">
        <f t="shared" si="79"/>
        <v>26.789862111400492</v>
      </c>
      <c r="C269" s="145">
        <f t="shared" si="80"/>
        <v>263.39247996712578</v>
      </c>
      <c r="D269" s="153">
        <f t="shared" si="81"/>
        <v>37.743320463060329</v>
      </c>
      <c r="E269" s="164">
        <f t="shared" si="82"/>
        <v>29.469547119501851</v>
      </c>
      <c r="F269" s="168">
        <f t="shared" si="83"/>
        <v>353.63585207294227</v>
      </c>
      <c r="G269" s="172">
        <f t="shared" si="84"/>
        <v>17.903317796608093</v>
      </c>
      <c r="H269" s="179">
        <f t="shared" si="85"/>
        <v>33.126695539886633</v>
      </c>
      <c r="I269" s="164">
        <f t="shared" si="77"/>
        <v>1.5430487055972151</v>
      </c>
      <c r="J269" s="188">
        <f t="shared" si="78"/>
        <v>12.507038052409774</v>
      </c>
      <c r="K269" s="198">
        <f t="shared" si="86"/>
        <v>245.48916217051769</v>
      </c>
      <c r="L269" s="192">
        <f t="shared" si="87"/>
        <v>27.926498413904635</v>
      </c>
      <c r="M269" s="199">
        <f t="shared" si="88"/>
        <v>38.058103236233258</v>
      </c>
      <c r="N269" s="154"/>
      <c r="O269" s="154"/>
      <c r="P269" s="116"/>
      <c r="Q269" s="117"/>
      <c r="R269" s="82"/>
    </row>
    <row r="270" spans="1:18">
      <c r="A270" s="163">
        <f t="shared" si="89"/>
        <v>65</v>
      </c>
      <c r="B270" s="152">
        <f t="shared" si="79"/>
        <v>27.749553664181299</v>
      </c>
      <c r="C270" s="145">
        <f t="shared" si="80"/>
        <v>245.48916217051769</v>
      </c>
      <c r="D270" s="153">
        <f t="shared" si="81"/>
        <v>38.663116830642679</v>
      </c>
      <c r="E270" s="164">
        <f t="shared" si="82"/>
        <v>28.821456793767251</v>
      </c>
      <c r="F270" s="168">
        <f t="shared" si="83"/>
        <v>357.96262836231824</v>
      </c>
      <c r="G270" s="172">
        <f t="shared" si="84"/>
        <v>0</v>
      </c>
      <c r="H270" s="179">
        <f t="shared" si="85"/>
        <v>33.268603953170455</v>
      </c>
      <c r="I270" s="164">
        <f t="shared" si="77"/>
        <v>0</v>
      </c>
      <c r="J270" s="188">
        <f t="shared" si="78"/>
        <v>0</v>
      </c>
      <c r="K270" s="198">
        <f t="shared" si="86"/>
        <v>245.48916217051769</v>
      </c>
      <c r="L270" s="192">
        <f t="shared" si="87"/>
        <v>28.821456793767251</v>
      </c>
      <c r="M270" s="199">
        <f t="shared" si="88"/>
        <v>38.663116830642679</v>
      </c>
      <c r="N270" s="154"/>
      <c r="O270" s="154"/>
      <c r="P270" s="116"/>
      <c r="Q270" s="117"/>
      <c r="R270" s="82"/>
    </row>
    <row r="271" spans="1:18">
      <c r="A271" s="163">
        <v>70</v>
      </c>
      <c r="B271" s="152">
        <f t="shared" si="79"/>
        <v>28.626116569254211</v>
      </c>
      <c r="C271" s="146">
        <f t="shared" si="80"/>
        <v>245.48916217051769</v>
      </c>
      <c r="D271" s="153">
        <f t="shared" si="81"/>
        <v>38.690102564593914</v>
      </c>
      <c r="E271" s="164">
        <f t="shared" si="82"/>
        <v>28.861703916022808</v>
      </c>
      <c r="F271" s="168">
        <f t="shared" si="83"/>
        <v>369.53338354474806</v>
      </c>
      <c r="G271" s="172">
        <f t="shared" si="84"/>
        <v>0</v>
      </c>
      <c r="H271" s="179">
        <f t="shared" si="85"/>
        <v>33.306240377352104</v>
      </c>
      <c r="I271" s="164">
        <f t="shared" si="77"/>
        <v>0</v>
      </c>
      <c r="J271" s="188">
        <f t="shared" si="78"/>
        <v>0</v>
      </c>
      <c r="K271" s="198">
        <f t="shared" si="86"/>
        <v>245.48916217051769</v>
      </c>
      <c r="L271" s="192">
        <f t="shared" si="87"/>
        <v>28.861703916022808</v>
      </c>
      <c r="M271" s="199">
        <f t="shared" si="88"/>
        <v>38.690102564593914</v>
      </c>
      <c r="N271" s="154"/>
      <c r="O271" s="154"/>
      <c r="P271" s="82"/>
      <c r="Q271" s="127"/>
      <c r="R271" s="83"/>
    </row>
    <row r="272" spans="1:18" ht="13.8" thickBot="1">
      <c r="A272" s="165">
        <v>75</v>
      </c>
      <c r="B272" s="156">
        <f t="shared" si="79"/>
        <v>29.431856571860372</v>
      </c>
      <c r="C272" s="146">
        <f t="shared" si="80"/>
        <v>245.48916217051769</v>
      </c>
      <c r="D272" s="157">
        <f t="shared" si="81"/>
        <v>38.494320544300166</v>
      </c>
      <c r="E272" s="166">
        <f t="shared" si="82"/>
        <v>28.570347441590304</v>
      </c>
      <c r="F272" s="169">
        <f t="shared" si="83"/>
        <v>375.87664605637605</v>
      </c>
      <c r="G272" s="185"/>
      <c r="H272" s="186"/>
      <c r="I272" s="186"/>
      <c r="J272" s="189"/>
      <c r="K272" s="134"/>
      <c r="L272" s="135"/>
      <c r="M272" s="135"/>
      <c r="N272" s="200"/>
      <c r="O272" s="201"/>
      <c r="P272" s="135"/>
      <c r="Q272" s="137"/>
      <c r="R272" s="83"/>
    </row>
    <row r="273" spans="1:18" s="67" customFormat="1" ht="13.8" thickBot="1">
      <c r="A273" s="193"/>
      <c r="B273" s="194"/>
      <c r="C273" s="110"/>
    </row>
    <row r="274" spans="1:18" s="67" customFormat="1">
      <c r="A274" s="138"/>
      <c r="B274" s="109"/>
      <c r="C274" s="110"/>
    </row>
    <row r="275" spans="1:18" s="67" customFormat="1">
      <c r="A275" s="138"/>
      <c r="B275" s="109"/>
      <c r="C275" s="110"/>
    </row>
    <row r="276" spans="1:18" s="67" customFormat="1">
      <c r="A276" s="138"/>
      <c r="B276" s="109"/>
      <c r="C276" s="110"/>
    </row>
    <row r="277" spans="1:18">
      <c r="A277" s="138"/>
      <c r="B277" s="109"/>
      <c r="C277" s="110"/>
      <c r="D277" s="111"/>
      <c r="E277" s="111"/>
      <c r="F277" s="111"/>
      <c r="G277" s="110"/>
      <c r="H277" s="113"/>
      <c r="I277" s="111"/>
      <c r="J277" s="111"/>
      <c r="K277" s="183"/>
      <c r="L277" s="111"/>
      <c r="M277" s="111"/>
      <c r="N277" s="111"/>
      <c r="O277" s="111"/>
      <c r="P277" s="116"/>
      <c r="Q277" s="116"/>
      <c r="R277" s="82"/>
    </row>
    <row r="278" spans="1:18" ht="13.8" thickBot="1">
      <c r="A278" s="138"/>
      <c r="B278" s="109"/>
      <c r="C278" s="110"/>
      <c r="D278" s="111"/>
      <c r="E278" s="111"/>
      <c r="F278" s="111"/>
      <c r="G278" s="110"/>
      <c r="H278" s="113"/>
      <c r="I278" s="111"/>
      <c r="J278" s="111"/>
      <c r="K278" s="183"/>
      <c r="L278" s="111"/>
      <c r="M278" s="111"/>
      <c r="N278" s="111"/>
      <c r="O278" s="111"/>
      <c r="P278" s="116"/>
      <c r="Q278" s="116"/>
      <c r="R278" s="82"/>
    </row>
    <row r="279" spans="1:18" ht="13.8" thickBot="1">
      <c r="A279" s="216" t="s">
        <v>0</v>
      </c>
      <c r="B279" s="218" t="s">
        <v>69</v>
      </c>
      <c r="C279" s="218"/>
      <c r="D279" s="218"/>
      <c r="E279" s="219"/>
      <c r="F279" s="218"/>
      <c r="G279" s="220" t="s">
        <v>70</v>
      </c>
      <c r="H279" s="221"/>
      <c r="I279" s="221"/>
      <c r="J279" s="222"/>
      <c r="K279" s="220" t="s">
        <v>71</v>
      </c>
      <c r="L279" s="221"/>
      <c r="M279" s="221"/>
      <c r="N279" s="222"/>
      <c r="O279" s="223" t="s">
        <v>6</v>
      </c>
      <c r="P279" s="225" t="s">
        <v>56</v>
      </c>
      <c r="Q279" s="226"/>
      <c r="R279" s="82"/>
    </row>
    <row r="280" spans="1:18" ht="16.2" thickBot="1">
      <c r="A280" s="217"/>
      <c r="B280" s="84" t="s">
        <v>1</v>
      </c>
      <c r="C280" s="85" t="s">
        <v>2</v>
      </c>
      <c r="D280" s="85" t="s">
        <v>3</v>
      </c>
      <c r="E280" s="86" t="s">
        <v>57</v>
      </c>
      <c r="F280" s="85" t="s">
        <v>58</v>
      </c>
      <c r="G280" s="87" t="s">
        <v>60</v>
      </c>
      <c r="H280" s="88" t="s">
        <v>3</v>
      </c>
      <c r="I280" s="88" t="s">
        <v>72</v>
      </c>
      <c r="J280" s="86" t="s">
        <v>59</v>
      </c>
      <c r="K280" s="85" t="s">
        <v>73</v>
      </c>
      <c r="L280" s="85" t="s">
        <v>74</v>
      </c>
      <c r="M280" s="85" t="s">
        <v>75</v>
      </c>
      <c r="N280" s="85" t="s">
        <v>76</v>
      </c>
      <c r="O280" s="224"/>
      <c r="P280" s="89" t="s">
        <v>61</v>
      </c>
      <c r="Q280" s="89" t="s">
        <v>62</v>
      </c>
      <c r="R280" s="90" t="s">
        <v>77</v>
      </c>
    </row>
    <row r="281" spans="1:18" ht="13.8" thickBot="1">
      <c r="A281" s="140">
        <v>15</v>
      </c>
      <c r="B281" s="93">
        <f>EXP(4.04764-8.75819/A281^0.56087)+1.19874*(1-EXP(-0.081*A281))^2.99578*($B$5-17.38)</f>
        <v>9.5085291059454633</v>
      </c>
      <c r="C281" s="141">
        <f>$B$6</f>
        <v>2200</v>
      </c>
      <c r="D281" s="142"/>
      <c r="E281" s="94"/>
      <c r="F281" s="147"/>
      <c r="G281" s="95"/>
      <c r="H281" s="94"/>
      <c r="I281" s="94"/>
      <c r="J281" s="94"/>
      <c r="K281" s="144"/>
      <c r="L281" s="142"/>
      <c r="M281" s="142"/>
      <c r="N281" s="147"/>
      <c r="O281" s="97"/>
      <c r="P281" s="148"/>
      <c r="Q281" s="160"/>
      <c r="R281" s="90"/>
    </row>
    <row r="282" spans="1:18">
      <c r="A282" s="161">
        <v>15</v>
      </c>
      <c r="B282" s="149">
        <f>EXP(4.04764-8.75819/A282^0.56087)+1.19874*(1-EXP(-0.081*A282))^2.99578*($B$5-17.38)</f>
        <v>9.5085291059454633</v>
      </c>
      <c r="C282" s="145">
        <f>IF(A282&lt;=$D$8,100^2/($B$4^2*B282^2),C281)</f>
        <v>2090.8248228660891</v>
      </c>
      <c r="D282" s="150">
        <f>(-7.5886+0.6547*B282+0.3669*A282+299.909*(1/SQRT(C282))-0.003528*A282^2)</f>
        <v>9.9052289536229896</v>
      </c>
      <c r="E282" s="162">
        <f>(PI()/4*(D282/100)^2)*C282</f>
        <v>16.111521893899372</v>
      </c>
      <c r="F282" s="167">
        <f>0.2768*E282+0.4376*E282*B282</f>
        <v>71.498621703001916</v>
      </c>
      <c r="G282" s="171">
        <f>C282-C283</f>
        <v>940.60147088805911</v>
      </c>
      <c r="H282" s="178">
        <f>6.3167+0.01803*D282^2-0.005994*G282+18.1328*(G282/C282)</f>
        <v>10.60514329777968</v>
      </c>
      <c r="I282" s="162">
        <f t="shared" ref="I282:I293" si="90">(PI()/4*(H282/100)^2)*G282</f>
        <v>8.3086146522791804</v>
      </c>
      <c r="J282" s="187">
        <f t="shared" ref="J282:J293" si="91">-0.03896*G282+0.0006721*H282^2*G282</f>
        <v>34.454662825243993</v>
      </c>
      <c r="K282" s="195">
        <f>C282-G282</f>
        <v>1150.22335197803</v>
      </c>
      <c r="L282" s="196">
        <f>E282-I282</f>
        <v>7.8029072416201917</v>
      </c>
      <c r="M282" s="197">
        <f>SQRT((L282*40000)/(K282*PI()))</f>
        <v>9.2937757935359269</v>
      </c>
      <c r="N282" s="202">
        <f>F282-J282</f>
        <v>37.043958877757923</v>
      </c>
      <c r="O282" s="151"/>
      <c r="P282" s="106"/>
      <c r="Q282" s="107"/>
      <c r="R282" s="82"/>
    </row>
    <row r="283" spans="1:18">
      <c r="A283" s="163">
        <f>A282+pdesb</f>
        <v>20</v>
      </c>
      <c r="B283" s="152">
        <f t="shared" ref="B283:B294" si="92">EXP(4.04764-8.75819/A283^0.56087)+1.19874*(1-EXP(-0.081*A283))^2.99578*($B$5-17.38)</f>
        <v>12.819794801507502</v>
      </c>
      <c r="C283" s="145">
        <f t="shared" ref="C283:C294" si="93">IF(A283&lt;=$D$8,100^2/($B$4^2*B283^2),C282)</f>
        <v>1150.22335197803</v>
      </c>
      <c r="D283" s="153">
        <f t="shared" ref="D283:D294" si="94">(-7.5886+0.6547*B283+0.3669*A283+299.909*(1/SQRT(C283))-0.003528*A283^2)</f>
        <v>15.574294886535185</v>
      </c>
      <c r="E283" s="164">
        <f t="shared" ref="E283:E294" si="95">(PI()/4*(D283/100)^2)*C283</f>
        <v>21.912344578448636</v>
      </c>
      <c r="F283" s="168">
        <f t="shared" ref="F283:F294" si="96">0.2768*E283+0.4376*E283*B283</f>
        <v>128.9923236435173</v>
      </c>
      <c r="G283" s="172">
        <f t="shared" ref="G283:G293" si="97">C283-C284</f>
        <v>375.70209283897009</v>
      </c>
      <c r="H283" s="179">
        <f t="shared" ref="H283:H293" si="98">6.3167+0.01803*D283^2-0.005994*G283+18.1328*(G283/C283)</f>
        <v>14.36086391915218</v>
      </c>
      <c r="I283" s="164">
        <f t="shared" si="90"/>
        <v>6.0854770583989177</v>
      </c>
      <c r="J283" s="188">
        <f t="shared" si="91"/>
        <v>37.438769397344863</v>
      </c>
      <c r="K283" s="198">
        <f t="shared" ref="K283:K293" si="99">C283-G283</f>
        <v>774.52125913905991</v>
      </c>
      <c r="L283" s="192">
        <f t="shared" ref="L283:L293" si="100">E283-I283</f>
        <v>15.826867520049717</v>
      </c>
      <c r="M283" s="199">
        <f t="shared" ref="M283:M293" si="101">SQRT((L283*40000)/(K283*PI()))</f>
        <v>16.130055861910108</v>
      </c>
      <c r="N283" s="203">
        <f t="shared" ref="N283:N293" si="102">F283-J283</f>
        <v>91.553554246172439</v>
      </c>
      <c r="O283" s="154"/>
      <c r="P283" s="116"/>
      <c r="Q283" s="117"/>
      <c r="R283" s="82"/>
    </row>
    <row r="284" spans="1:18">
      <c r="A284" s="163">
        <f t="shared" ref="A284:A292" si="103">A283+pdesb</f>
        <v>25</v>
      </c>
      <c r="B284" s="152">
        <f t="shared" si="92"/>
        <v>15.622678395248585</v>
      </c>
      <c r="C284" s="145">
        <f t="shared" si="93"/>
        <v>774.52125913905991</v>
      </c>
      <c r="D284" s="153">
        <f t="shared" si="94"/>
        <v>20.383445811502646</v>
      </c>
      <c r="E284" s="164">
        <f t="shared" si="95"/>
        <v>25.274258931963477</v>
      </c>
      <c r="F284" s="168">
        <f t="shared" si="96"/>
        <v>179.78298333464787</v>
      </c>
      <c r="G284" s="172">
        <f t="shared" si="97"/>
        <v>190.35476698454966</v>
      </c>
      <c r="H284" s="179">
        <f t="shared" si="98"/>
        <v>17.123419717915027</v>
      </c>
      <c r="I284" s="164">
        <f t="shared" si="90"/>
        <v>4.383637590452258</v>
      </c>
      <c r="J284" s="188">
        <f t="shared" si="91"/>
        <v>30.096507004285154</v>
      </c>
      <c r="K284" s="198">
        <f t="shared" si="99"/>
        <v>584.16649215451025</v>
      </c>
      <c r="L284" s="192">
        <f t="shared" si="100"/>
        <v>20.890621341511221</v>
      </c>
      <c r="M284" s="199">
        <f t="shared" si="101"/>
        <v>21.338427754593251</v>
      </c>
      <c r="N284" s="203">
        <f t="shared" si="102"/>
        <v>149.68647633036272</v>
      </c>
      <c r="O284" s="154"/>
      <c r="P284" s="116"/>
      <c r="Q284" s="117"/>
      <c r="R284" s="82"/>
    </row>
    <row r="285" spans="1:18">
      <c r="A285" s="163">
        <f t="shared" si="103"/>
        <v>30</v>
      </c>
      <c r="B285" s="152">
        <f t="shared" si="92"/>
        <v>17.988868326662203</v>
      </c>
      <c r="C285" s="145">
        <f t="shared" si="93"/>
        <v>584.16649215451025</v>
      </c>
      <c r="D285" s="153">
        <f t="shared" si="94"/>
        <v>24.429066168721892</v>
      </c>
      <c r="E285" s="164">
        <f t="shared" si="95"/>
        <v>27.380429429173205</v>
      </c>
      <c r="F285" s="168">
        <f t="shared" si="96"/>
        <v>223.11569329134582</v>
      </c>
      <c r="G285" s="172">
        <f t="shared" si="97"/>
        <v>111.57481285277856</v>
      </c>
      <c r="H285" s="179">
        <f t="shared" si="98"/>
        <v>19.871185038184535</v>
      </c>
      <c r="I285" s="164">
        <f t="shared" si="90"/>
        <v>3.4602189750321761</v>
      </c>
      <c r="J285" s="188">
        <f t="shared" si="91"/>
        <v>25.263671868978673</v>
      </c>
      <c r="K285" s="198">
        <f t="shared" si="99"/>
        <v>472.59167930173169</v>
      </c>
      <c r="L285" s="192">
        <f t="shared" si="100"/>
        <v>23.920210454141028</v>
      </c>
      <c r="M285" s="199">
        <f t="shared" si="101"/>
        <v>25.386014396758782</v>
      </c>
      <c r="N285" s="203">
        <f t="shared" si="102"/>
        <v>197.85202142236716</v>
      </c>
      <c r="O285" s="154"/>
      <c r="P285" s="116"/>
      <c r="Q285" s="117"/>
      <c r="R285" s="82"/>
    </row>
    <row r="286" spans="1:18">
      <c r="A286" s="163">
        <f t="shared" si="103"/>
        <v>35</v>
      </c>
      <c r="B286" s="152">
        <f t="shared" si="92"/>
        <v>19.99996006609496</v>
      </c>
      <c r="C286" s="145">
        <f t="shared" si="93"/>
        <v>472.59167930173169</v>
      </c>
      <c r="D286" s="153">
        <f t="shared" si="94"/>
        <v>27.820860309236064</v>
      </c>
      <c r="E286" s="164">
        <f t="shared" si="95"/>
        <v>28.728772061012613</v>
      </c>
      <c r="F286" s="168">
        <f t="shared" si="96"/>
        <v>259.3858351469712</v>
      </c>
      <c r="G286" s="172">
        <f t="shared" si="97"/>
        <v>72.178911758667141</v>
      </c>
      <c r="H286" s="179">
        <f t="shared" si="98"/>
        <v>22.608706393508037</v>
      </c>
      <c r="I286" s="164">
        <f t="shared" si="90"/>
        <v>2.8976881127880056</v>
      </c>
      <c r="J286" s="188">
        <f t="shared" si="91"/>
        <v>21.984710397367692</v>
      </c>
      <c r="K286" s="198">
        <f t="shared" si="99"/>
        <v>400.41276754306455</v>
      </c>
      <c r="L286" s="192">
        <f t="shared" si="100"/>
        <v>25.831083948224606</v>
      </c>
      <c r="M286" s="199">
        <f t="shared" si="101"/>
        <v>28.659751224705076</v>
      </c>
      <c r="N286" s="203">
        <f t="shared" si="102"/>
        <v>237.40112474960353</v>
      </c>
      <c r="O286" s="154"/>
      <c r="P286" s="116"/>
      <c r="Q286" s="117"/>
      <c r="R286" s="82"/>
    </row>
    <row r="287" spans="1:18">
      <c r="A287" s="163">
        <f t="shared" si="103"/>
        <v>40</v>
      </c>
      <c r="B287" s="152">
        <f t="shared" si="92"/>
        <v>21.727922598897567</v>
      </c>
      <c r="C287" s="145">
        <f t="shared" si="93"/>
        <v>400.41276754306455</v>
      </c>
      <c r="D287" s="153">
        <f t="shared" si="94"/>
        <v>30.655589864537607</v>
      </c>
      <c r="E287" s="164">
        <f t="shared" si="95"/>
        <v>29.554060121803456</v>
      </c>
      <c r="F287" s="168">
        <f t="shared" si="96"/>
        <v>289.18467340404459</v>
      </c>
      <c r="G287" s="172">
        <f t="shared" si="97"/>
        <v>50.13320716381287</v>
      </c>
      <c r="H287" s="179">
        <f t="shared" si="98"/>
        <v>25.230463717043527</v>
      </c>
      <c r="I287" s="164">
        <f t="shared" si="90"/>
        <v>2.5064891853387357</v>
      </c>
      <c r="J287" s="188">
        <f t="shared" si="91"/>
        <v>19.495948532834369</v>
      </c>
      <c r="K287" s="198">
        <f t="shared" si="99"/>
        <v>350.27956037925168</v>
      </c>
      <c r="L287" s="192">
        <f t="shared" si="100"/>
        <v>27.047570936464719</v>
      </c>
      <c r="M287" s="199">
        <f t="shared" si="101"/>
        <v>31.35536030076636</v>
      </c>
      <c r="N287" s="203">
        <f t="shared" si="102"/>
        <v>269.68872487121024</v>
      </c>
      <c r="O287" s="154"/>
      <c r="P287" s="116"/>
      <c r="Q287" s="117"/>
      <c r="R287" s="82"/>
    </row>
    <row r="288" spans="1:18">
      <c r="A288" s="163">
        <f t="shared" si="103"/>
        <v>45</v>
      </c>
      <c r="B288" s="152">
        <f t="shared" si="92"/>
        <v>23.230832101091192</v>
      </c>
      <c r="C288" s="145">
        <f t="shared" si="93"/>
        <v>350.27956037925168</v>
      </c>
      <c r="D288" s="153">
        <f t="shared" si="94"/>
        <v>33.01133771317857</v>
      </c>
      <c r="E288" s="164">
        <f t="shared" si="95"/>
        <v>29.979951394381878</v>
      </c>
      <c r="F288" s="168">
        <f t="shared" si="96"/>
        <v>313.06900401095913</v>
      </c>
      <c r="G288" s="172">
        <f t="shared" si="97"/>
        <v>36.729536222549939</v>
      </c>
      <c r="H288" s="179">
        <f t="shared" si="98"/>
        <v>27.64607223821206</v>
      </c>
      <c r="I288" s="164">
        <f t="shared" si="90"/>
        <v>2.2048152440893189</v>
      </c>
      <c r="J288" s="188">
        <f t="shared" si="91"/>
        <v>17.436598001862446</v>
      </c>
      <c r="K288" s="198">
        <f t="shared" si="99"/>
        <v>313.55002415670174</v>
      </c>
      <c r="L288" s="192">
        <f t="shared" si="100"/>
        <v>27.77513615029256</v>
      </c>
      <c r="M288" s="199">
        <f t="shared" si="101"/>
        <v>33.583792526629992</v>
      </c>
      <c r="N288" s="203">
        <f t="shared" si="102"/>
        <v>295.63240600909671</v>
      </c>
      <c r="O288" s="154"/>
      <c r="P288" s="116"/>
      <c r="Q288" s="117"/>
      <c r="R288" s="82"/>
    </row>
    <row r="289" spans="1:18">
      <c r="A289" s="163">
        <f t="shared" si="103"/>
        <v>50</v>
      </c>
      <c r="B289" s="152">
        <f t="shared" si="92"/>
        <v>24.553801733943406</v>
      </c>
      <c r="C289" s="145">
        <f t="shared" si="93"/>
        <v>313.55002415670174</v>
      </c>
      <c r="D289" s="153">
        <f t="shared" si="94"/>
        <v>34.94875808093078</v>
      </c>
      <c r="E289" s="164">
        <f t="shared" si="95"/>
        <v>30.078779843687929</v>
      </c>
      <c r="F289" s="168">
        <f t="shared" si="96"/>
        <v>331.5145846482713</v>
      </c>
      <c r="G289" s="172">
        <f t="shared" si="97"/>
        <v>28.041589059301316</v>
      </c>
      <c r="H289" s="179">
        <f t="shared" si="98"/>
        <v>29.792406801004816</v>
      </c>
      <c r="I289" s="164">
        <f t="shared" si="90"/>
        <v>1.9548060784098495</v>
      </c>
      <c r="J289" s="188">
        <f t="shared" si="91"/>
        <v>15.635641243521915</v>
      </c>
      <c r="K289" s="198">
        <f t="shared" si="99"/>
        <v>285.50843509740042</v>
      </c>
      <c r="L289" s="192">
        <f t="shared" si="100"/>
        <v>28.12397376527808</v>
      </c>
      <c r="M289" s="199">
        <f t="shared" si="101"/>
        <v>35.414729548885759</v>
      </c>
      <c r="N289" s="203">
        <f t="shared" si="102"/>
        <v>315.87894340474941</v>
      </c>
      <c r="O289" s="154"/>
      <c r="P289" s="116"/>
      <c r="Q289" s="117"/>
      <c r="R289" s="82"/>
    </row>
    <row r="290" spans="1:18">
      <c r="A290" s="163">
        <f t="shared" si="103"/>
        <v>55</v>
      </c>
      <c r="B290" s="152">
        <f t="shared" si="92"/>
        <v>25.731357111216642</v>
      </c>
      <c r="C290" s="145">
        <f t="shared" si="93"/>
        <v>285.50843509740042</v>
      </c>
      <c r="D290" s="153">
        <f t="shared" si="94"/>
        <v>36.514270334409645</v>
      </c>
      <c r="E290" s="164">
        <f t="shared" si="95"/>
        <v>29.897445169365728</v>
      </c>
      <c r="F290" s="168">
        <f t="shared" si="96"/>
        <v>344.92209729182821</v>
      </c>
      <c r="G290" s="172">
        <f t="shared" si="97"/>
        <v>22.115955130274642</v>
      </c>
      <c r="H290" s="179">
        <f t="shared" si="98"/>
        <v>31.627987257024213</v>
      </c>
      <c r="I290" s="164">
        <f t="shared" si="90"/>
        <v>1.737555525390071</v>
      </c>
      <c r="J290" s="188">
        <f t="shared" si="91"/>
        <v>14.007394721520717</v>
      </c>
      <c r="K290" s="198">
        <f t="shared" si="99"/>
        <v>263.39247996712578</v>
      </c>
      <c r="L290" s="192">
        <f t="shared" si="100"/>
        <v>28.159889643975657</v>
      </c>
      <c r="M290" s="199">
        <f t="shared" si="101"/>
        <v>36.895113259941077</v>
      </c>
      <c r="N290" s="203">
        <f t="shared" si="102"/>
        <v>330.9147025703075</v>
      </c>
      <c r="O290" s="154"/>
      <c r="P290" s="116"/>
      <c r="Q290" s="117"/>
      <c r="R290" s="82"/>
    </row>
    <row r="291" spans="1:18">
      <c r="A291" s="163">
        <f t="shared" si="103"/>
        <v>60</v>
      </c>
      <c r="B291" s="152">
        <f t="shared" si="92"/>
        <v>26.789862111400492</v>
      </c>
      <c r="C291" s="145">
        <f t="shared" si="93"/>
        <v>263.39247996712578</v>
      </c>
      <c r="D291" s="153">
        <f t="shared" si="94"/>
        <v>37.743320463060329</v>
      </c>
      <c r="E291" s="164">
        <f t="shared" si="95"/>
        <v>29.469547119501851</v>
      </c>
      <c r="F291" s="168">
        <f t="shared" si="96"/>
        <v>353.63585207294227</v>
      </c>
      <c r="G291" s="172">
        <f t="shared" si="97"/>
        <v>17.903317796608093</v>
      </c>
      <c r="H291" s="179">
        <f t="shared" si="98"/>
        <v>33.126695539886633</v>
      </c>
      <c r="I291" s="164">
        <f t="shared" si="90"/>
        <v>1.5430487055972151</v>
      </c>
      <c r="J291" s="188">
        <f t="shared" si="91"/>
        <v>12.507038052409774</v>
      </c>
      <c r="K291" s="198">
        <f t="shared" si="99"/>
        <v>245.48916217051769</v>
      </c>
      <c r="L291" s="192">
        <f t="shared" si="100"/>
        <v>27.926498413904635</v>
      </c>
      <c r="M291" s="199">
        <f t="shared" si="101"/>
        <v>38.058103236233258</v>
      </c>
      <c r="N291" s="203">
        <f t="shared" si="102"/>
        <v>341.1288140205325</v>
      </c>
      <c r="O291" s="154"/>
      <c r="P291" s="116"/>
      <c r="Q291" s="117"/>
      <c r="R291" s="82"/>
    </row>
    <row r="292" spans="1:18">
      <c r="A292" s="163">
        <f t="shared" si="103"/>
        <v>65</v>
      </c>
      <c r="B292" s="152">
        <f t="shared" si="92"/>
        <v>27.749553664181299</v>
      </c>
      <c r="C292" s="145">
        <f t="shared" si="93"/>
        <v>245.48916217051769</v>
      </c>
      <c r="D292" s="153">
        <f t="shared" si="94"/>
        <v>38.663116830642679</v>
      </c>
      <c r="E292" s="164">
        <f t="shared" si="95"/>
        <v>28.821456793767251</v>
      </c>
      <c r="F292" s="168">
        <f t="shared" si="96"/>
        <v>357.96262836231824</v>
      </c>
      <c r="G292" s="172">
        <f t="shared" si="97"/>
        <v>0</v>
      </c>
      <c r="H292" s="179">
        <f t="shared" si="98"/>
        <v>33.268603953170455</v>
      </c>
      <c r="I292" s="164">
        <f t="shared" si="90"/>
        <v>0</v>
      </c>
      <c r="J292" s="188">
        <f t="shared" si="91"/>
        <v>0</v>
      </c>
      <c r="K292" s="198">
        <f t="shared" si="99"/>
        <v>245.48916217051769</v>
      </c>
      <c r="L292" s="192">
        <f t="shared" si="100"/>
        <v>28.821456793767251</v>
      </c>
      <c r="M292" s="199">
        <f t="shared" si="101"/>
        <v>38.663116830642679</v>
      </c>
      <c r="N292" s="203">
        <f t="shared" si="102"/>
        <v>357.96262836231824</v>
      </c>
      <c r="O292" s="154"/>
      <c r="P292" s="116"/>
      <c r="Q292" s="117"/>
      <c r="R292" s="82"/>
    </row>
    <row r="293" spans="1:18">
      <c r="A293" s="163">
        <v>70</v>
      </c>
      <c r="B293" s="152">
        <f t="shared" si="92"/>
        <v>28.626116569254211</v>
      </c>
      <c r="C293" s="146">
        <f t="shared" si="93"/>
        <v>245.48916217051769</v>
      </c>
      <c r="D293" s="153">
        <f t="shared" si="94"/>
        <v>38.690102564593914</v>
      </c>
      <c r="E293" s="164">
        <f t="shared" si="95"/>
        <v>28.861703916022808</v>
      </c>
      <c r="F293" s="168">
        <f t="shared" si="96"/>
        <v>369.53338354474806</v>
      </c>
      <c r="G293" s="172">
        <f t="shared" si="97"/>
        <v>0</v>
      </c>
      <c r="H293" s="179">
        <f t="shared" si="98"/>
        <v>33.306240377352104</v>
      </c>
      <c r="I293" s="164">
        <f t="shared" si="90"/>
        <v>0</v>
      </c>
      <c r="J293" s="188">
        <f t="shared" si="91"/>
        <v>0</v>
      </c>
      <c r="K293" s="198">
        <f t="shared" si="99"/>
        <v>245.48916217051769</v>
      </c>
      <c r="L293" s="192">
        <f t="shared" si="100"/>
        <v>28.861703916022808</v>
      </c>
      <c r="M293" s="199">
        <f t="shared" si="101"/>
        <v>38.690102564593914</v>
      </c>
      <c r="N293" s="203">
        <f t="shared" si="102"/>
        <v>369.53338354474806</v>
      </c>
      <c r="O293" s="154"/>
      <c r="P293" s="82"/>
      <c r="Q293" s="127"/>
      <c r="R293" s="83"/>
    </row>
    <row r="294" spans="1:18" ht="13.8" thickBot="1">
      <c r="A294" s="165">
        <v>75</v>
      </c>
      <c r="B294" s="156">
        <f t="shared" si="92"/>
        <v>29.431856571860372</v>
      </c>
      <c r="C294" s="146">
        <f t="shared" si="93"/>
        <v>245.48916217051769</v>
      </c>
      <c r="D294" s="157">
        <f t="shared" si="94"/>
        <v>38.494320544300166</v>
      </c>
      <c r="E294" s="166">
        <f t="shared" si="95"/>
        <v>28.570347441590304</v>
      </c>
      <c r="F294" s="169">
        <f t="shared" si="96"/>
        <v>375.87664605637605</v>
      </c>
      <c r="G294" s="185"/>
      <c r="H294" s="186"/>
      <c r="I294" s="186"/>
      <c r="J294" s="189"/>
      <c r="K294" s="134"/>
      <c r="L294" s="135"/>
      <c r="M294" s="135"/>
      <c r="N294" s="200"/>
      <c r="O294" s="201"/>
      <c r="P294" s="135"/>
      <c r="Q294" s="137"/>
      <c r="R294" s="83"/>
    </row>
    <row r="295" spans="1:18" s="67" customFormat="1" ht="13.8" thickBot="1">
      <c r="A295" s="138"/>
      <c r="B295" s="109"/>
      <c r="C295" s="110"/>
      <c r="D295" s="153"/>
      <c r="E295" s="111"/>
      <c r="F295" s="170"/>
      <c r="G295" s="82"/>
      <c r="H295" s="82"/>
      <c r="I295" s="82"/>
      <c r="J295" s="82"/>
      <c r="K295" s="124"/>
      <c r="L295" s="82"/>
      <c r="M295" s="82"/>
      <c r="N295" s="82"/>
      <c r="O295" s="111"/>
      <c r="P295" s="82"/>
      <c r="Q295" s="83"/>
      <c r="R295" s="83"/>
    </row>
    <row r="296" spans="1:18" ht="13.8" thickBot="1">
      <c r="A296" s="216" t="s">
        <v>0</v>
      </c>
      <c r="B296" s="218" t="s">
        <v>69</v>
      </c>
      <c r="C296" s="218"/>
      <c r="D296" s="218"/>
      <c r="E296" s="219"/>
      <c r="F296" s="218"/>
      <c r="G296" s="220" t="s">
        <v>70</v>
      </c>
      <c r="H296" s="221"/>
      <c r="I296" s="221"/>
      <c r="J296" s="222"/>
      <c r="K296" s="220" t="s">
        <v>71</v>
      </c>
      <c r="L296" s="221"/>
      <c r="M296" s="221"/>
      <c r="N296" s="222"/>
      <c r="O296" s="223" t="s">
        <v>6</v>
      </c>
      <c r="P296" s="225" t="s">
        <v>56</v>
      </c>
      <c r="Q296" s="226"/>
      <c r="R296" s="82"/>
    </row>
    <row r="297" spans="1:18" ht="16.2" thickBot="1">
      <c r="A297" s="217"/>
      <c r="B297" s="84" t="s">
        <v>1</v>
      </c>
      <c r="C297" s="85" t="s">
        <v>2</v>
      </c>
      <c r="D297" s="85" t="s">
        <v>3</v>
      </c>
      <c r="E297" s="86" t="s">
        <v>57</v>
      </c>
      <c r="F297" s="85" t="s">
        <v>58</v>
      </c>
      <c r="G297" s="87" t="s">
        <v>60</v>
      </c>
      <c r="H297" s="88" t="s">
        <v>3</v>
      </c>
      <c r="I297" s="88" t="s">
        <v>72</v>
      </c>
      <c r="J297" s="86" t="s">
        <v>59</v>
      </c>
      <c r="K297" s="85" t="s">
        <v>73</v>
      </c>
      <c r="L297" s="85" t="s">
        <v>74</v>
      </c>
      <c r="M297" s="85" t="s">
        <v>75</v>
      </c>
      <c r="N297" s="85" t="s">
        <v>76</v>
      </c>
      <c r="O297" s="224"/>
      <c r="P297" s="89" t="s">
        <v>61</v>
      </c>
      <c r="Q297" s="89" t="s">
        <v>62</v>
      </c>
      <c r="R297" s="90" t="s">
        <v>77</v>
      </c>
    </row>
    <row r="298" spans="1:18" ht="13.8" thickBot="1">
      <c r="A298" s="140">
        <v>15</v>
      </c>
      <c r="B298" s="93">
        <f>EXP(4.04764-8.75819/A298^0.56087)+1.19874*(1-EXP(-0.081*A298))^2.99578*($B$5-17.38)</f>
        <v>9.5085291059454633</v>
      </c>
      <c r="C298" s="141">
        <f>$B$6</f>
        <v>2200</v>
      </c>
      <c r="D298" s="142"/>
      <c r="E298" s="94"/>
      <c r="F298" s="147"/>
      <c r="G298" s="95"/>
      <c r="H298" s="94"/>
      <c r="I298" s="94"/>
      <c r="J298" s="94"/>
      <c r="K298" s="144"/>
      <c r="L298" s="142"/>
      <c r="M298" s="142"/>
      <c r="N298" s="147"/>
      <c r="O298" s="97"/>
      <c r="P298" s="143"/>
      <c r="Q298" s="160"/>
      <c r="R298" s="90"/>
    </row>
    <row r="299" spans="1:18">
      <c r="A299" s="161">
        <v>15</v>
      </c>
      <c r="B299" s="149">
        <f>EXP(4.04764-8.75819/A299^0.56087)+1.19874*(1-EXP(-0.081*A299))^2.99578*($B$5-17.38)</f>
        <v>9.5085291059454633</v>
      </c>
      <c r="C299" s="145">
        <f>IF(A299&lt;=$D$8,100^2/($B$4^2*B299^2),C298)</f>
        <v>2090.8248228660891</v>
      </c>
      <c r="D299" s="150">
        <f>(-7.5886+0.6547*B299+0.3669*A299+299.909*(1/SQRT(C299))-0.003528*A299^2)</f>
        <v>9.9052289536229896</v>
      </c>
      <c r="E299" s="162">
        <f>(PI()/4*(D299/100)^2)*C299</f>
        <v>16.111521893899372</v>
      </c>
      <c r="F299" s="167">
        <f>0.2768*E299+0.4376*E299*B299</f>
        <v>71.498621703001916</v>
      </c>
      <c r="G299" s="171">
        <f>C299-C300</f>
        <v>940.60147088805911</v>
      </c>
      <c r="H299" s="178">
        <f>6.3167+0.01803*D299^2-0.005994*G299+18.1328*(G299/C299)</f>
        <v>10.60514329777968</v>
      </c>
      <c r="I299" s="162">
        <f t="shared" ref="I299:I310" si="104">(PI()/4*(H299/100)^2)*G299</f>
        <v>8.3086146522791804</v>
      </c>
      <c r="J299" s="187">
        <f t="shared" ref="J299:J310" si="105">-0.03896*G299+0.0006721*H299^2*G299</f>
        <v>34.454662825243993</v>
      </c>
      <c r="K299" s="195">
        <f>C299-G299</f>
        <v>1150.22335197803</v>
      </c>
      <c r="L299" s="196">
        <f>E299-I299</f>
        <v>7.8029072416201917</v>
      </c>
      <c r="M299" s="197">
        <f>SQRT((L299*40000)/(K299*PI()))</f>
        <v>9.2937757935359269</v>
      </c>
      <c r="N299" s="202">
        <f>F299-J299</f>
        <v>37.043958877757923</v>
      </c>
      <c r="O299" s="105">
        <f>F299</f>
        <v>71.498621703001916</v>
      </c>
      <c r="P299" s="204">
        <f>O299/A299</f>
        <v>4.7665747802001279</v>
      </c>
      <c r="Q299" s="107">
        <f>(O300-O299)/(A300-A299)</f>
        <v>18.389672953151873</v>
      </c>
      <c r="R299" s="82"/>
    </row>
    <row r="300" spans="1:18">
      <c r="A300" s="163">
        <f>A299+pdesb</f>
        <v>20</v>
      </c>
      <c r="B300" s="152">
        <f t="shared" ref="B300:B311" si="106">EXP(4.04764-8.75819/A300^0.56087)+1.19874*(1-EXP(-0.081*A300))^2.99578*($B$5-17.38)</f>
        <v>12.819794801507502</v>
      </c>
      <c r="C300" s="145">
        <f t="shared" ref="C300:C311" si="107">IF(A300&lt;=$D$8,100^2/($B$4^2*B300^2),C299)</f>
        <v>1150.22335197803</v>
      </c>
      <c r="D300" s="153">
        <f t="shared" ref="D300:D311" si="108">(-7.5886+0.6547*B300+0.3669*A300+299.909*(1/SQRT(C300))-0.003528*A300^2)</f>
        <v>15.574294886535185</v>
      </c>
      <c r="E300" s="164">
        <f t="shared" ref="E300:E311" si="109">(PI()/4*(D300/100)^2)*C300</f>
        <v>21.912344578448636</v>
      </c>
      <c r="F300" s="168">
        <f t="shared" ref="F300:F311" si="110">0.2768*E300+0.4376*E300*B300</f>
        <v>128.9923236435173</v>
      </c>
      <c r="G300" s="172">
        <f t="shared" ref="G300:G310" si="111">C300-C301</f>
        <v>375.70209283897009</v>
      </c>
      <c r="H300" s="179">
        <f t="shared" ref="H300:H310" si="112">6.3167+0.01803*D300^2-0.005994*G300+18.1328*(G300/C300)</f>
        <v>14.36086391915218</v>
      </c>
      <c r="I300" s="164">
        <f t="shared" si="104"/>
        <v>6.0854770583989177</v>
      </c>
      <c r="J300" s="188">
        <f t="shared" si="105"/>
        <v>37.438769397344863</v>
      </c>
      <c r="K300" s="198">
        <f t="shared" ref="K300:K310" si="113">C300-G300</f>
        <v>774.52125913905991</v>
      </c>
      <c r="L300" s="192">
        <f t="shared" ref="L300:L310" si="114">E300-I300</f>
        <v>15.826867520049717</v>
      </c>
      <c r="M300" s="199">
        <f t="shared" ref="M300:M310" si="115">SQRT((L300*40000)/(K300*PI()))</f>
        <v>16.130055861910108</v>
      </c>
      <c r="N300" s="203">
        <f t="shared" ref="N300:N310" si="116">F300-J300</f>
        <v>91.553554246172439</v>
      </c>
      <c r="O300" s="115">
        <f>F300+J299</f>
        <v>163.44698646876128</v>
      </c>
      <c r="P300" s="205">
        <f t="shared" ref="P300:P310" si="117">O300/A300</f>
        <v>8.1723493234380644</v>
      </c>
      <c r="Q300" s="117">
        <f t="shared" ref="Q300:Q309" si="118">(O301-O300)/(A301-A300)</f>
        <v>17.645885817695092</v>
      </c>
      <c r="R300" s="82"/>
    </row>
    <row r="301" spans="1:18">
      <c r="A301" s="163">
        <f t="shared" ref="A301:A309" si="119">A300+pdesb</f>
        <v>25</v>
      </c>
      <c r="B301" s="152">
        <f t="shared" si="106"/>
        <v>15.622678395248585</v>
      </c>
      <c r="C301" s="145">
        <f t="shared" si="107"/>
        <v>774.52125913905991</v>
      </c>
      <c r="D301" s="153">
        <f t="shared" si="108"/>
        <v>20.383445811502646</v>
      </c>
      <c r="E301" s="164">
        <f t="shared" si="109"/>
        <v>25.274258931963477</v>
      </c>
      <c r="F301" s="168">
        <f t="shared" si="110"/>
        <v>179.78298333464787</v>
      </c>
      <c r="G301" s="172">
        <f t="shared" si="111"/>
        <v>190.35476698454966</v>
      </c>
      <c r="H301" s="179">
        <f t="shared" si="112"/>
        <v>17.123419717915027</v>
      </c>
      <c r="I301" s="164">
        <f t="shared" si="104"/>
        <v>4.383637590452258</v>
      </c>
      <c r="J301" s="188">
        <f t="shared" si="105"/>
        <v>30.096507004285154</v>
      </c>
      <c r="K301" s="198">
        <f t="shared" si="113"/>
        <v>584.16649215451025</v>
      </c>
      <c r="L301" s="192">
        <f t="shared" si="114"/>
        <v>20.890621341511221</v>
      </c>
      <c r="M301" s="199">
        <f t="shared" si="115"/>
        <v>21.338427754593251</v>
      </c>
      <c r="N301" s="203">
        <f t="shared" si="116"/>
        <v>149.68647633036272</v>
      </c>
      <c r="O301" s="115">
        <f>F301+SUM(J$299:J300)</f>
        <v>251.67641555723674</v>
      </c>
      <c r="P301" s="205">
        <f t="shared" si="117"/>
        <v>10.067056622289469</v>
      </c>
      <c r="Q301" s="117">
        <f t="shared" si="118"/>
        <v>14.685843392196626</v>
      </c>
      <c r="R301" s="82"/>
    </row>
    <row r="302" spans="1:18">
      <c r="A302" s="163">
        <f t="shared" si="119"/>
        <v>30</v>
      </c>
      <c r="B302" s="152">
        <f t="shared" si="106"/>
        <v>17.988868326662203</v>
      </c>
      <c r="C302" s="145">
        <f t="shared" si="107"/>
        <v>584.16649215451025</v>
      </c>
      <c r="D302" s="153">
        <f t="shared" si="108"/>
        <v>24.429066168721892</v>
      </c>
      <c r="E302" s="164">
        <f t="shared" si="109"/>
        <v>27.380429429173205</v>
      </c>
      <c r="F302" s="168">
        <f t="shared" si="110"/>
        <v>223.11569329134582</v>
      </c>
      <c r="G302" s="172">
        <f t="shared" si="111"/>
        <v>111.57481285277856</v>
      </c>
      <c r="H302" s="179">
        <f t="shared" si="112"/>
        <v>19.871185038184535</v>
      </c>
      <c r="I302" s="164">
        <f t="shared" si="104"/>
        <v>3.4602189750321761</v>
      </c>
      <c r="J302" s="188">
        <f t="shared" si="105"/>
        <v>25.263671868978673</v>
      </c>
      <c r="K302" s="198">
        <f t="shared" si="113"/>
        <v>472.59167930173169</v>
      </c>
      <c r="L302" s="192">
        <f t="shared" si="114"/>
        <v>23.920210454141028</v>
      </c>
      <c r="M302" s="199">
        <f t="shared" si="115"/>
        <v>25.386014396758782</v>
      </c>
      <c r="N302" s="203">
        <f t="shared" si="116"/>
        <v>197.85202142236716</v>
      </c>
      <c r="O302" s="115">
        <f>F302+SUM(J$299:J301)</f>
        <v>325.10563251821986</v>
      </c>
      <c r="P302" s="205">
        <f t="shared" si="117"/>
        <v>10.836854417273996</v>
      </c>
      <c r="Q302" s="117">
        <f t="shared" si="118"/>
        <v>12.306762744920809</v>
      </c>
      <c r="R302" s="82"/>
    </row>
    <row r="303" spans="1:18">
      <c r="A303" s="163">
        <f t="shared" si="119"/>
        <v>35</v>
      </c>
      <c r="B303" s="152">
        <f t="shared" si="106"/>
        <v>19.99996006609496</v>
      </c>
      <c r="C303" s="145">
        <f t="shared" si="107"/>
        <v>472.59167930173169</v>
      </c>
      <c r="D303" s="153">
        <f t="shared" si="108"/>
        <v>27.820860309236064</v>
      </c>
      <c r="E303" s="164">
        <f t="shared" si="109"/>
        <v>28.728772061012613</v>
      </c>
      <c r="F303" s="168">
        <f t="shared" si="110"/>
        <v>259.3858351469712</v>
      </c>
      <c r="G303" s="172">
        <f t="shared" si="111"/>
        <v>72.178911758667141</v>
      </c>
      <c r="H303" s="179">
        <f t="shared" si="112"/>
        <v>22.608706393508037</v>
      </c>
      <c r="I303" s="164">
        <f t="shared" si="104"/>
        <v>2.8976881127880056</v>
      </c>
      <c r="J303" s="188">
        <f t="shared" si="105"/>
        <v>21.984710397367692</v>
      </c>
      <c r="K303" s="198">
        <f t="shared" si="113"/>
        <v>400.41276754306455</v>
      </c>
      <c r="L303" s="192">
        <f t="shared" si="114"/>
        <v>25.831083948224606</v>
      </c>
      <c r="M303" s="199">
        <f t="shared" si="115"/>
        <v>28.659751224705076</v>
      </c>
      <c r="N303" s="203">
        <f t="shared" si="116"/>
        <v>237.40112474960353</v>
      </c>
      <c r="O303" s="115">
        <f>F303+SUM(J$299:J302)</f>
        <v>386.63944624282391</v>
      </c>
      <c r="P303" s="205">
        <f t="shared" si="117"/>
        <v>11.046841321223541</v>
      </c>
      <c r="Q303" s="117">
        <f t="shared" si="118"/>
        <v>10.356709730888213</v>
      </c>
      <c r="R303" s="82"/>
    </row>
    <row r="304" spans="1:18">
      <c r="A304" s="163">
        <f t="shared" si="119"/>
        <v>40</v>
      </c>
      <c r="B304" s="152">
        <f t="shared" si="106"/>
        <v>21.727922598897567</v>
      </c>
      <c r="C304" s="145">
        <f t="shared" si="107"/>
        <v>400.41276754306455</v>
      </c>
      <c r="D304" s="153">
        <f t="shared" si="108"/>
        <v>30.655589864537607</v>
      </c>
      <c r="E304" s="164">
        <f t="shared" si="109"/>
        <v>29.554060121803456</v>
      </c>
      <c r="F304" s="168">
        <f t="shared" si="110"/>
        <v>289.18467340404459</v>
      </c>
      <c r="G304" s="172">
        <f t="shared" si="111"/>
        <v>50.13320716381287</v>
      </c>
      <c r="H304" s="179">
        <f t="shared" si="112"/>
        <v>25.230463717043527</v>
      </c>
      <c r="I304" s="164">
        <f t="shared" si="104"/>
        <v>2.5064891853387357</v>
      </c>
      <c r="J304" s="188">
        <f t="shared" si="105"/>
        <v>19.495948532834369</v>
      </c>
      <c r="K304" s="198">
        <f t="shared" si="113"/>
        <v>350.27956037925168</v>
      </c>
      <c r="L304" s="192">
        <f t="shared" si="114"/>
        <v>27.047570936464719</v>
      </c>
      <c r="M304" s="199">
        <f t="shared" si="115"/>
        <v>31.35536030076636</v>
      </c>
      <c r="N304" s="203">
        <f t="shared" si="116"/>
        <v>269.68872487121024</v>
      </c>
      <c r="O304" s="115">
        <f>F304+SUM(J$299:J303)</f>
        <v>438.42299489726497</v>
      </c>
      <c r="P304" s="205">
        <f t="shared" si="117"/>
        <v>10.960574872431625</v>
      </c>
      <c r="Q304" s="117">
        <f t="shared" si="118"/>
        <v>8.6760558279497904</v>
      </c>
      <c r="R304" s="82"/>
    </row>
    <row r="305" spans="1:18">
      <c r="A305" s="163">
        <f t="shared" si="119"/>
        <v>45</v>
      </c>
      <c r="B305" s="152">
        <f t="shared" si="106"/>
        <v>23.230832101091192</v>
      </c>
      <c r="C305" s="145">
        <f t="shared" si="107"/>
        <v>350.27956037925168</v>
      </c>
      <c r="D305" s="153">
        <f t="shared" si="108"/>
        <v>33.01133771317857</v>
      </c>
      <c r="E305" s="164">
        <f t="shared" si="109"/>
        <v>29.979951394381878</v>
      </c>
      <c r="F305" s="168">
        <f t="shared" si="110"/>
        <v>313.06900401095913</v>
      </c>
      <c r="G305" s="172">
        <f t="shared" si="111"/>
        <v>36.729536222549939</v>
      </c>
      <c r="H305" s="179">
        <f t="shared" si="112"/>
        <v>27.64607223821206</v>
      </c>
      <c r="I305" s="164">
        <f t="shared" si="104"/>
        <v>2.2048152440893189</v>
      </c>
      <c r="J305" s="188">
        <f t="shared" si="105"/>
        <v>17.436598001862446</v>
      </c>
      <c r="K305" s="198">
        <f t="shared" si="113"/>
        <v>313.55002415670174</v>
      </c>
      <c r="L305" s="192">
        <f t="shared" si="114"/>
        <v>27.77513615029256</v>
      </c>
      <c r="M305" s="199">
        <f t="shared" si="115"/>
        <v>33.583792526629992</v>
      </c>
      <c r="N305" s="203">
        <f t="shared" si="116"/>
        <v>295.63240600909671</v>
      </c>
      <c r="O305" s="115">
        <f>F305+SUM(J$299:J304)</f>
        <v>481.80327403701392</v>
      </c>
      <c r="P305" s="205">
        <f t="shared" si="117"/>
        <v>10.706739423044754</v>
      </c>
      <c r="Q305" s="117">
        <f t="shared" si="118"/>
        <v>7.176435727834928</v>
      </c>
      <c r="R305" s="82"/>
    </row>
    <row r="306" spans="1:18">
      <c r="A306" s="163">
        <f t="shared" si="119"/>
        <v>50</v>
      </c>
      <c r="B306" s="152">
        <f t="shared" si="106"/>
        <v>24.553801733943406</v>
      </c>
      <c r="C306" s="145">
        <f t="shared" si="107"/>
        <v>313.55002415670174</v>
      </c>
      <c r="D306" s="153">
        <f t="shared" si="108"/>
        <v>34.94875808093078</v>
      </c>
      <c r="E306" s="164">
        <f t="shared" si="109"/>
        <v>30.078779843687929</v>
      </c>
      <c r="F306" s="168">
        <f t="shared" si="110"/>
        <v>331.5145846482713</v>
      </c>
      <c r="G306" s="172">
        <f t="shared" si="111"/>
        <v>28.041589059301316</v>
      </c>
      <c r="H306" s="179">
        <f t="shared" si="112"/>
        <v>29.792406801004816</v>
      </c>
      <c r="I306" s="164">
        <f t="shared" si="104"/>
        <v>1.9548060784098495</v>
      </c>
      <c r="J306" s="188">
        <f t="shared" si="105"/>
        <v>15.635641243521915</v>
      </c>
      <c r="K306" s="198">
        <f t="shared" si="113"/>
        <v>285.50843509740042</v>
      </c>
      <c r="L306" s="192">
        <f t="shared" si="114"/>
        <v>28.12397376527808</v>
      </c>
      <c r="M306" s="199">
        <f t="shared" si="115"/>
        <v>35.414729548885759</v>
      </c>
      <c r="N306" s="203">
        <f t="shared" si="116"/>
        <v>315.87894340474941</v>
      </c>
      <c r="O306" s="115">
        <f>F306+SUM(J$299:J305)</f>
        <v>517.68545267618856</v>
      </c>
      <c r="P306" s="205">
        <f t="shared" si="117"/>
        <v>10.353709053523771</v>
      </c>
      <c r="Q306" s="117">
        <f t="shared" si="118"/>
        <v>5.8086307774157602</v>
      </c>
      <c r="R306" s="82"/>
    </row>
    <row r="307" spans="1:18">
      <c r="A307" s="163">
        <f t="shared" si="119"/>
        <v>55</v>
      </c>
      <c r="B307" s="152">
        <f t="shared" si="106"/>
        <v>25.731357111216642</v>
      </c>
      <c r="C307" s="145">
        <f t="shared" si="107"/>
        <v>285.50843509740042</v>
      </c>
      <c r="D307" s="153">
        <f t="shared" si="108"/>
        <v>36.514270334409645</v>
      </c>
      <c r="E307" s="164">
        <f t="shared" si="109"/>
        <v>29.897445169365728</v>
      </c>
      <c r="F307" s="168">
        <f t="shared" si="110"/>
        <v>344.92209729182821</v>
      </c>
      <c r="G307" s="172">
        <f t="shared" si="111"/>
        <v>22.115955130274642</v>
      </c>
      <c r="H307" s="179">
        <f t="shared" si="112"/>
        <v>31.627987257024213</v>
      </c>
      <c r="I307" s="164">
        <f t="shared" si="104"/>
        <v>1.737555525390071</v>
      </c>
      <c r="J307" s="188">
        <f t="shared" si="105"/>
        <v>14.007394721520717</v>
      </c>
      <c r="K307" s="198">
        <f t="shared" si="113"/>
        <v>263.39247996712578</v>
      </c>
      <c r="L307" s="192">
        <f t="shared" si="114"/>
        <v>28.159889643975657</v>
      </c>
      <c r="M307" s="199">
        <f t="shared" si="115"/>
        <v>36.895113259941077</v>
      </c>
      <c r="N307" s="203">
        <f t="shared" si="116"/>
        <v>330.9147025703075</v>
      </c>
      <c r="O307" s="115">
        <f>F307+SUM(J$299:J306)</f>
        <v>546.72860656326736</v>
      </c>
      <c r="P307" s="205">
        <f t="shared" si="117"/>
        <v>9.9405201193321346</v>
      </c>
      <c r="Q307" s="117">
        <f t="shared" si="118"/>
        <v>4.5442299005269433</v>
      </c>
      <c r="R307" s="82"/>
    </row>
    <row r="308" spans="1:18">
      <c r="A308" s="163">
        <f t="shared" si="119"/>
        <v>60</v>
      </c>
      <c r="B308" s="152">
        <f t="shared" si="106"/>
        <v>26.789862111400492</v>
      </c>
      <c r="C308" s="145">
        <f t="shared" si="107"/>
        <v>263.39247996712578</v>
      </c>
      <c r="D308" s="153">
        <f t="shared" si="108"/>
        <v>37.743320463060329</v>
      </c>
      <c r="E308" s="164">
        <f t="shared" si="109"/>
        <v>29.469547119501851</v>
      </c>
      <c r="F308" s="168">
        <f t="shared" si="110"/>
        <v>353.63585207294227</v>
      </c>
      <c r="G308" s="172">
        <f t="shared" si="111"/>
        <v>17.903317796608093</v>
      </c>
      <c r="H308" s="179">
        <f t="shared" si="112"/>
        <v>33.126695539886633</v>
      </c>
      <c r="I308" s="164">
        <f t="shared" si="104"/>
        <v>1.5430487055972151</v>
      </c>
      <c r="J308" s="188">
        <f t="shared" si="105"/>
        <v>12.507038052409774</v>
      </c>
      <c r="K308" s="198">
        <f t="shared" si="113"/>
        <v>245.48916217051769</v>
      </c>
      <c r="L308" s="192">
        <f t="shared" si="114"/>
        <v>27.926498413904635</v>
      </c>
      <c r="M308" s="199">
        <f t="shared" si="115"/>
        <v>38.058103236233258</v>
      </c>
      <c r="N308" s="203">
        <f t="shared" si="116"/>
        <v>341.1288140205325</v>
      </c>
      <c r="O308" s="115">
        <f>F308+SUM(J$299:J307)</f>
        <v>569.44975606590208</v>
      </c>
      <c r="P308" s="205">
        <f t="shared" si="117"/>
        <v>9.4908292677650348</v>
      </c>
      <c r="Q308" s="117">
        <f t="shared" si="118"/>
        <v>3.3667628683571591</v>
      </c>
      <c r="R308" s="82"/>
    </row>
    <row r="309" spans="1:18">
      <c r="A309" s="163">
        <f t="shared" si="119"/>
        <v>65</v>
      </c>
      <c r="B309" s="152">
        <f t="shared" si="106"/>
        <v>27.749553664181299</v>
      </c>
      <c r="C309" s="145">
        <f t="shared" si="107"/>
        <v>245.48916217051769</v>
      </c>
      <c r="D309" s="153">
        <f t="shared" si="108"/>
        <v>38.663116830642679</v>
      </c>
      <c r="E309" s="164">
        <f t="shared" si="109"/>
        <v>28.821456793767251</v>
      </c>
      <c r="F309" s="168">
        <f t="shared" si="110"/>
        <v>357.96262836231824</v>
      </c>
      <c r="G309" s="172">
        <f t="shared" si="111"/>
        <v>0</v>
      </c>
      <c r="H309" s="179">
        <f t="shared" si="112"/>
        <v>33.268603953170455</v>
      </c>
      <c r="I309" s="164">
        <f t="shared" si="104"/>
        <v>0</v>
      </c>
      <c r="J309" s="188">
        <f t="shared" si="105"/>
        <v>0</v>
      </c>
      <c r="K309" s="198">
        <f t="shared" si="113"/>
        <v>245.48916217051769</v>
      </c>
      <c r="L309" s="192">
        <f t="shared" si="114"/>
        <v>28.821456793767251</v>
      </c>
      <c r="M309" s="199">
        <f t="shared" si="115"/>
        <v>38.663116830642679</v>
      </c>
      <c r="N309" s="203">
        <f t="shared" si="116"/>
        <v>357.96262836231824</v>
      </c>
      <c r="O309" s="115">
        <f>F309+SUM(J$299:J308)</f>
        <v>586.28357040768788</v>
      </c>
      <c r="P309" s="205">
        <f t="shared" si="117"/>
        <v>9.0197472370413525</v>
      </c>
      <c r="Q309" s="117">
        <f t="shared" si="118"/>
        <v>2.3141510364859643</v>
      </c>
      <c r="R309" s="82"/>
    </row>
    <row r="310" spans="1:18">
      <c r="A310" s="163">
        <v>70</v>
      </c>
      <c r="B310" s="152">
        <f t="shared" si="106"/>
        <v>28.626116569254211</v>
      </c>
      <c r="C310" s="146">
        <f t="shared" si="107"/>
        <v>245.48916217051769</v>
      </c>
      <c r="D310" s="153">
        <f t="shared" si="108"/>
        <v>38.690102564593914</v>
      </c>
      <c r="E310" s="164">
        <f t="shared" si="109"/>
        <v>28.861703916022808</v>
      </c>
      <c r="F310" s="168">
        <f t="shared" si="110"/>
        <v>369.53338354474806</v>
      </c>
      <c r="G310" s="172">
        <f t="shared" si="111"/>
        <v>0</v>
      </c>
      <c r="H310" s="179">
        <f t="shared" si="112"/>
        <v>33.306240377352104</v>
      </c>
      <c r="I310" s="164">
        <f t="shared" si="104"/>
        <v>0</v>
      </c>
      <c r="J310" s="188">
        <f t="shared" si="105"/>
        <v>0</v>
      </c>
      <c r="K310" s="198">
        <f t="shared" si="113"/>
        <v>245.48916217051769</v>
      </c>
      <c r="L310" s="192">
        <f t="shared" si="114"/>
        <v>28.861703916022808</v>
      </c>
      <c r="M310" s="199">
        <f t="shared" si="115"/>
        <v>38.690102564593914</v>
      </c>
      <c r="N310" s="203">
        <f t="shared" si="116"/>
        <v>369.53338354474806</v>
      </c>
      <c r="O310" s="115">
        <f>F310+SUM(J$299:J309)</f>
        <v>597.8543255901177</v>
      </c>
      <c r="P310" s="205">
        <f t="shared" si="117"/>
        <v>8.5407760798588246</v>
      </c>
      <c r="Q310" s="117"/>
      <c r="R310" s="83"/>
    </row>
    <row r="311" spans="1:18" ht="13.8" thickBot="1">
      <c r="A311" s="165">
        <v>75</v>
      </c>
      <c r="B311" s="156">
        <f t="shared" si="106"/>
        <v>29.431856571860372</v>
      </c>
      <c r="C311" s="146">
        <f t="shared" si="107"/>
        <v>245.48916217051769</v>
      </c>
      <c r="D311" s="157">
        <f t="shared" si="108"/>
        <v>38.494320544300166</v>
      </c>
      <c r="E311" s="166">
        <f t="shared" si="109"/>
        <v>28.570347441590304</v>
      </c>
      <c r="F311" s="169">
        <f t="shared" si="110"/>
        <v>375.87664605637605</v>
      </c>
      <c r="G311" s="185"/>
      <c r="H311" s="186"/>
      <c r="I311" s="186"/>
      <c r="J311" s="189"/>
      <c r="K311" s="134"/>
      <c r="L311" s="135"/>
      <c r="M311" s="135"/>
      <c r="N311" s="200"/>
      <c r="O311" s="190"/>
      <c r="P311" s="206"/>
      <c r="Q311" s="137"/>
      <c r="R311" s="83"/>
    </row>
  </sheetData>
  <mergeCells count="85">
    <mergeCell ref="A1:O1"/>
    <mergeCell ref="A12:A13"/>
    <mergeCell ref="B12:F12"/>
    <mergeCell ref="G12:J12"/>
    <mergeCell ref="K12:N12"/>
    <mergeCell ref="O12:O13"/>
    <mergeCell ref="P12:Q12"/>
    <mergeCell ref="A30:A31"/>
    <mergeCell ref="B30:F30"/>
    <mergeCell ref="G30:J30"/>
    <mergeCell ref="K30:N30"/>
    <mergeCell ref="O30:O31"/>
    <mergeCell ref="P30:Q30"/>
    <mergeCell ref="P71:Q71"/>
    <mergeCell ref="A51:A52"/>
    <mergeCell ref="B51:F51"/>
    <mergeCell ref="G51:J51"/>
    <mergeCell ref="K51:N51"/>
    <mergeCell ref="O51:O52"/>
    <mergeCell ref="P51:Q51"/>
    <mergeCell ref="A71:A72"/>
    <mergeCell ref="B71:F71"/>
    <mergeCell ref="G71:J71"/>
    <mergeCell ref="K71:N71"/>
    <mergeCell ref="O71:O72"/>
    <mergeCell ref="P116:Q116"/>
    <mergeCell ref="A96:A97"/>
    <mergeCell ref="B96:F96"/>
    <mergeCell ref="G96:J96"/>
    <mergeCell ref="K96:N96"/>
    <mergeCell ref="O96:O97"/>
    <mergeCell ref="P96:Q96"/>
    <mergeCell ref="A116:A117"/>
    <mergeCell ref="B116:F116"/>
    <mergeCell ref="G116:J116"/>
    <mergeCell ref="K116:N116"/>
    <mergeCell ref="O116:O117"/>
    <mergeCell ref="P162:Q162"/>
    <mergeCell ref="A142:A143"/>
    <mergeCell ref="B142:F142"/>
    <mergeCell ref="G142:J142"/>
    <mergeCell ref="K142:N142"/>
    <mergeCell ref="O142:O143"/>
    <mergeCell ref="P142:Q142"/>
    <mergeCell ref="A162:A163"/>
    <mergeCell ref="B162:F162"/>
    <mergeCell ref="G162:J162"/>
    <mergeCell ref="K162:N162"/>
    <mergeCell ref="O162:O163"/>
    <mergeCell ref="P214:Q214"/>
    <mergeCell ref="A192:A193"/>
    <mergeCell ref="B192:F192"/>
    <mergeCell ref="G192:J192"/>
    <mergeCell ref="K192:N192"/>
    <mergeCell ref="O192:O193"/>
    <mergeCell ref="P192:Q192"/>
    <mergeCell ref="A214:A215"/>
    <mergeCell ref="B214:F214"/>
    <mergeCell ref="G214:J214"/>
    <mergeCell ref="K214:N214"/>
    <mergeCell ref="O214:O215"/>
    <mergeCell ref="P257:Q257"/>
    <mergeCell ref="A236:A237"/>
    <mergeCell ref="B236:F236"/>
    <mergeCell ref="G236:J236"/>
    <mergeCell ref="K236:N236"/>
    <mergeCell ref="O236:O237"/>
    <mergeCell ref="P236:Q236"/>
    <mergeCell ref="A257:A258"/>
    <mergeCell ref="B257:F257"/>
    <mergeCell ref="G257:J257"/>
    <mergeCell ref="K257:N257"/>
    <mergeCell ref="O257:O258"/>
    <mergeCell ref="P296:Q296"/>
    <mergeCell ref="A279:A280"/>
    <mergeCell ref="B279:F279"/>
    <mergeCell ref="G279:J279"/>
    <mergeCell ref="K279:N279"/>
    <mergeCell ref="O279:O280"/>
    <mergeCell ref="P279:Q279"/>
    <mergeCell ref="A296:A297"/>
    <mergeCell ref="B296:F296"/>
    <mergeCell ref="G296:J296"/>
    <mergeCell ref="K296:N296"/>
    <mergeCell ref="O296:O297"/>
  </mergeCells>
  <pageMargins left="0" right="0" top="0" bottom="0" header="0" footer="0"/>
  <pageSetup paperSize="9" orientation="landscape" horizontalDpi="300" verticalDpi="300" r:id="rId1"/>
  <headerFooter alignWithMargins="0"/>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2</xdr:col>
                <xdr:colOff>289560</xdr:colOff>
                <xdr:row>17</xdr:row>
                <xdr:rowOff>160020</xdr:rowOff>
              </from>
              <to>
                <xdr:col>9</xdr:col>
                <xdr:colOff>464820</xdr:colOff>
                <xdr:row>21</xdr:row>
                <xdr:rowOff>144780</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from>
                <xdr:col>3</xdr:col>
                <xdr:colOff>45720</xdr:colOff>
                <xdr:row>32</xdr:row>
                <xdr:rowOff>60960</xdr:rowOff>
              </from>
              <to>
                <xdr:col>8</xdr:col>
                <xdr:colOff>266700</xdr:colOff>
                <xdr:row>35</xdr:row>
                <xdr:rowOff>91440</xdr:rowOff>
              </to>
            </anchor>
          </objectPr>
        </oleObject>
      </mc:Choice>
      <mc:Fallback>
        <oleObject progId="Equation.3" shapeId="4098" r:id="rId6"/>
      </mc:Fallback>
    </mc:AlternateContent>
    <mc:AlternateContent xmlns:mc="http://schemas.openxmlformats.org/markup-compatibility/2006">
      <mc:Choice Requires="x14">
        <oleObject progId="Equation.3" shapeId="4099" r:id="rId8">
          <objectPr defaultSize="0" autoPict="0" r:id="rId9">
            <anchor moveWithCells="1">
              <from>
                <xdr:col>5</xdr:col>
                <xdr:colOff>312420</xdr:colOff>
                <xdr:row>76</xdr:row>
                <xdr:rowOff>45720</xdr:rowOff>
              </from>
              <to>
                <xdr:col>8</xdr:col>
                <xdr:colOff>259080</xdr:colOff>
                <xdr:row>80</xdr:row>
                <xdr:rowOff>76200</xdr:rowOff>
              </to>
            </anchor>
          </objectPr>
        </oleObject>
      </mc:Choice>
      <mc:Fallback>
        <oleObject progId="Equation.3" shapeId="4099" r:id="rId8"/>
      </mc:Fallback>
    </mc:AlternateContent>
    <mc:AlternateContent xmlns:mc="http://schemas.openxmlformats.org/markup-compatibility/2006">
      <mc:Choice Requires="x14">
        <oleObject progId="Equation.3" shapeId="4100" r:id="rId10">
          <objectPr defaultSize="0" autoPict="0" r:id="rId11">
            <anchor moveWithCells="1" sizeWithCells="1">
              <from>
                <xdr:col>6</xdr:col>
                <xdr:colOff>121920</xdr:colOff>
                <xdr:row>102</xdr:row>
                <xdr:rowOff>0</xdr:rowOff>
              </from>
              <to>
                <xdr:col>10</xdr:col>
                <xdr:colOff>106680</xdr:colOff>
                <xdr:row>103</xdr:row>
                <xdr:rowOff>129540</xdr:rowOff>
              </to>
            </anchor>
          </objectPr>
        </oleObject>
      </mc:Choice>
      <mc:Fallback>
        <oleObject progId="Equation.3" shapeId="4100" r:id="rId10"/>
      </mc:Fallback>
    </mc:AlternateContent>
    <mc:AlternateContent xmlns:mc="http://schemas.openxmlformats.org/markup-compatibility/2006">
      <mc:Choice Requires="x14">
        <oleObject progId="Equation.3" shapeId="4101" r:id="rId12">
          <objectPr defaultSize="0" autoPict="0" r:id="rId13">
            <anchor moveWithCells="1" sizeWithCells="1">
              <from>
                <xdr:col>7</xdr:col>
                <xdr:colOff>83820</xdr:colOff>
                <xdr:row>121</xdr:row>
                <xdr:rowOff>0</xdr:rowOff>
              </from>
              <to>
                <xdr:col>9</xdr:col>
                <xdr:colOff>312420</xdr:colOff>
                <xdr:row>122</xdr:row>
                <xdr:rowOff>160020</xdr:rowOff>
              </to>
            </anchor>
          </objectPr>
        </oleObject>
      </mc:Choice>
      <mc:Fallback>
        <oleObject progId="Equation.3" shapeId="4101" r:id="rId12"/>
      </mc:Fallback>
    </mc:AlternateContent>
    <mc:AlternateContent xmlns:mc="http://schemas.openxmlformats.org/markup-compatibility/2006">
      <mc:Choice Requires="x14">
        <oleObject progId="Equation.3" shapeId="4102" r:id="rId14">
          <objectPr defaultSize="0" autoPict="0" r:id="rId15">
            <anchor moveWithCells="1" sizeWithCells="1">
              <from>
                <xdr:col>8</xdr:col>
                <xdr:colOff>83820</xdr:colOff>
                <xdr:row>147</xdr:row>
                <xdr:rowOff>129540</xdr:rowOff>
              </from>
              <to>
                <xdr:col>13</xdr:col>
                <xdr:colOff>548640</xdr:colOff>
                <xdr:row>150</xdr:row>
                <xdr:rowOff>22860</xdr:rowOff>
              </to>
            </anchor>
          </objectPr>
        </oleObject>
      </mc:Choice>
      <mc:Fallback>
        <oleObject progId="Equation.3" shapeId="4102" r:id="rId14"/>
      </mc:Fallback>
    </mc:AlternateContent>
    <mc:AlternateContent xmlns:mc="http://schemas.openxmlformats.org/markup-compatibility/2006">
      <mc:Choice Requires="x14">
        <oleObject progId="Equation.3" shapeId="4103" r:id="rId16">
          <objectPr defaultSize="0" autoPict="0" r:id="rId17">
            <anchor moveWithCells="1">
              <from>
                <xdr:col>9</xdr:col>
                <xdr:colOff>91440</xdr:colOff>
                <xdr:row>167</xdr:row>
                <xdr:rowOff>38100</xdr:rowOff>
              </from>
              <to>
                <xdr:col>12</xdr:col>
                <xdr:colOff>83820</xdr:colOff>
                <xdr:row>171</xdr:row>
                <xdr:rowOff>106680</xdr:rowOff>
              </to>
            </anchor>
          </objectPr>
        </oleObject>
      </mc:Choice>
      <mc:Fallback>
        <oleObject progId="Equation.3" shapeId="4103" r:id="rId16"/>
      </mc:Fallback>
    </mc:AlternateContent>
    <mc:AlternateContent xmlns:mc="http://schemas.openxmlformats.org/markup-compatibility/2006">
      <mc:Choice Requires="x14">
        <oleObject progId="Equation.3" shapeId="4104" r:id="rId18">
          <objectPr defaultSize="0" autoPict="0" r:id="rId19">
            <anchor moveWithCells="1" sizeWithCells="1">
              <from>
                <xdr:col>10</xdr:col>
                <xdr:colOff>76200</xdr:colOff>
                <xdr:row>196</xdr:row>
                <xdr:rowOff>137160</xdr:rowOff>
              </from>
              <to>
                <xdr:col>14</xdr:col>
                <xdr:colOff>251460</xdr:colOff>
                <xdr:row>198</xdr:row>
                <xdr:rowOff>99060</xdr:rowOff>
              </to>
            </anchor>
          </objectPr>
        </oleObject>
      </mc:Choice>
      <mc:Fallback>
        <oleObject progId="Equation.3" shapeId="4104" r:id="rId18"/>
      </mc:Fallback>
    </mc:AlternateContent>
    <mc:AlternateContent xmlns:mc="http://schemas.openxmlformats.org/markup-compatibility/2006">
      <mc:Choice Requires="x14">
        <oleObject progId="Equation.3" shapeId="4105" r:id="rId20">
          <objectPr defaultSize="0" r:id="rId21">
            <anchor moveWithCells="1" sizeWithCells="1">
              <from>
                <xdr:col>11</xdr:col>
                <xdr:colOff>83820</xdr:colOff>
                <xdr:row>218</xdr:row>
                <xdr:rowOff>91440</xdr:rowOff>
              </from>
              <to>
                <xdr:col>13</xdr:col>
                <xdr:colOff>30480</xdr:colOff>
                <xdr:row>219</xdr:row>
                <xdr:rowOff>160020</xdr:rowOff>
              </to>
            </anchor>
          </objectPr>
        </oleObject>
      </mc:Choice>
      <mc:Fallback>
        <oleObject progId="Equation.3" shapeId="4105" r:id="rId20"/>
      </mc:Fallback>
    </mc:AlternateContent>
    <mc:AlternateContent xmlns:mc="http://schemas.openxmlformats.org/markup-compatibility/2006">
      <mc:Choice Requires="x14">
        <oleObject progId="Equation.3" shapeId="4106" r:id="rId22">
          <objectPr defaultSize="0" autoPict="0" r:id="rId23">
            <anchor moveWithCells="1" sizeWithCells="1">
              <from>
                <xdr:col>12</xdr:col>
                <xdr:colOff>76200</xdr:colOff>
                <xdr:row>240</xdr:row>
                <xdr:rowOff>22860</xdr:rowOff>
              </from>
              <to>
                <xdr:col>14</xdr:col>
                <xdr:colOff>22860</xdr:colOff>
                <xdr:row>242</xdr:row>
                <xdr:rowOff>22860</xdr:rowOff>
              </to>
            </anchor>
          </objectPr>
        </oleObject>
      </mc:Choice>
      <mc:Fallback>
        <oleObject progId="Equation.3" shapeId="4106" r:id="rId22"/>
      </mc:Fallback>
    </mc:AlternateContent>
    <mc:AlternateContent xmlns:mc="http://schemas.openxmlformats.org/markup-compatibility/2006">
      <mc:Choice Requires="x14">
        <oleObject progId="Equation.3" shapeId="4107" r:id="rId24">
          <objectPr defaultSize="0" autoPict="0" r:id="rId25">
            <anchor moveWithCells="1" sizeWithCells="1">
              <from>
                <xdr:col>13</xdr:col>
                <xdr:colOff>68580</xdr:colOff>
                <xdr:row>263</xdr:row>
                <xdr:rowOff>30480</xdr:rowOff>
              </from>
              <to>
                <xdr:col>17</xdr:col>
                <xdr:colOff>381000</xdr:colOff>
                <xdr:row>266</xdr:row>
                <xdr:rowOff>121920</xdr:rowOff>
              </to>
            </anchor>
          </objectPr>
        </oleObject>
      </mc:Choice>
      <mc:Fallback>
        <oleObject progId="Equation.3" shapeId="4107" r:id="rId24"/>
      </mc:Fallback>
    </mc:AlternateContent>
    <mc:AlternateContent xmlns:mc="http://schemas.openxmlformats.org/markup-compatibility/2006">
      <mc:Choice Requires="x14">
        <oleObject progId="Equation.3" shapeId="4108" r:id="rId26">
          <objectPr defaultSize="0" autoPict="0" r:id="rId27">
            <anchor moveWithCells="1" sizeWithCells="1">
              <from>
                <xdr:col>14</xdr:col>
                <xdr:colOff>76200</xdr:colOff>
                <xdr:row>286</xdr:row>
                <xdr:rowOff>22860</xdr:rowOff>
              </from>
              <to>
                <xdr:col>16</xdr:col>
                <xdr:colOff>22860</xdr:colOff>
                <xdr:row>288</xdr:row>
                <xdr:rowOff>22860</xdr:rowOff>
              </to>
            </anchor>
          </objectPr>
        </oleObject>
      </mc:Choice>
      <mc:Fallback>
        <oleObject progId="Equation.3" shapeId="4108" r:id="rId2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3"/>
  <sheetViews>
    <sheetView zoomScale="112" zoomScaleNormal="112" workbookViewId="0">
      <selection sqref="A1:A2"/>
    </sheetView>
  </sheetViews>
  <sheetFormatPr defaultRowHeight="14.4"/>
  <cols>
    <col min="1" max="1" width="8.109375" customWidth="1"/>
    <col min="2" max="2" width="6.5546875" customWidth="1"/>
    <col min="3" max="16" width="8.109375" customWidth="1"/>
    <col min="17" max="17" width="1.21875" customWidth="1"/>
    <col min="18" max="18" width="8.88671875" style="43"/>
    <col min="19" max="19" width="26.109375" style="43" customWidth="1"/>
    <col min="20" max="24" width="8.88671875" style="43"/>
  </cols>
  <sheetData>
    <row r="1" spans="1:24" s="52" customFormat="1" ht="21">
      <c r="A1" s="53" t="s">
        <v>38</v>
      </c>
      <c r="B1" s="53"/>
      <c r="C1" s="53"/>
      <c r="D1" s="53"/>
      <c r="E1" s="53"/>
      <c r="F1" s="53"/>
      <c r="G1" s="53"/>
      <c r="H1" s="53"/>
      <c r="I1" s="53"/>
      <c r="J1" s="53"/>
      <c r="K1" s="53"/>
      <c r="L1" s="53"/>
      <c r="M1" s="53"/>
      <c r="N1" s="53"/>
      <c r="O1" s="53"/>
      <c r="P1" s="53"/>
      <c r="R1" s="208" t="s">
        <v>86</v>
      </c>
      <c r="S1" s="53"/>
      <c r="T1" s="53"/>
      <c r="U1" s="53"/>
      <c r="V1" s="53"/>
      <c r="W1" s="53"/>
      <c r="X1" s="53"/>
    </row>
    <row r="2" spans="1:24">
      <c r="A2" s="266" t="s">
        <v>90</v>
      </c>
      <c r="B2" s="43"/>
      <c r="C2" s="43"/>
      <c r="D2" s="43"/>
      <c r="E2" s="43"/>
      <c r="F2" s="43"/>
      <c r="G2" s="43"/>
      <c r="H2" s="43"/>
      <c r="I2" s="43"/>
      <c r="J2" s="43"/>
      <c r="K2" s="43"/>
      <c r="L2" s="43"/>
      <c r="M2" s="43"/>
      <c r="N2" s="43"/>
      <c r="O2" s="43"/>
      <c r="P2" s="43"/>
    </row>
    <row r="3" spans="1:24">
      <c r="A3" s="266"/>
      <c r="B3" s="43"/>
      <c r="C3" s="43"/>
      <c r="D3" s="43"/>
      <c r="E3" s="43"/>
      <c r="F3" s="43"/>
      <c r="G3" s="43"/>
      <c r="H3" s="43"/>
      <c r="I3" s="43"/>
      <c r="J3" s="43"/>
      <c r="K3" s="43"/>
      <c r="L3" s="43"/>
      <c r="M3" s="43"/>
      <c r="N3" s="43"/>
      <c r="O3" s="43"/>
      <c r="P3" s="43"/>
    </row>
    <row r="4" spans="1:24">
      <c r="A4" s="41" t="s">
        <v>29</v>
      </c>
      <c r="B4" s="42">
        <v>20</v>
      </c>
      <c r="C4" s="36" t="s">
        <v>1</v>
      </c>
      <c r="D4" s="48"/>
      <c r="E4" s="40" t="s">
        <v>3</v>
      </c>
      <c r="F4" s="40" t="s">
        <v>10</v>
      </c>
      <c r="G4" s="40" t="s">
        <v>19</v>
      </c>
      <c r="H4" s="49"/>
      <c r="I4" s="49"/>
      <c r="J4" s="49"/>
      <c r="K4" s="49"/>
      <c r="L4" s="49"/>
      <c r="M4" s="36" t="s">
        <v>6</v>
      </c>
      <c r="N4" s="43"/>
      <c r="O4" s="43"/>
      <c r="P4" s="43"/>
    </row>
    <row r="5" spans="1:24">
      <c r="A5" s="41" t="s">
        <v>35</v>
      </c>
      <c r="B5" s="44">
        <v>2500</v>
      </c>
      <c r="C5" s="37">
        <v>69</v>
      </c>
      <c r="D5" s="47"/>
      <c r="E5" s="38">
        <v>-4.3666999999999998</v>
      </c>
      <c r="F5" s="38">
        <v>-0.17199999999999999</v>
      </c>
      <c r="G5" s="50">
        <v>5.126E-5</v>
      </c>
      <c r="H5" s="47"/>
      <c r="I5" s="47"/>
      <c r="J5" s="47"/>
      <c r="K5" s="47"/>
      <c r="L5" s="47"/>
      <c r="M5" s="38">
        <v>7.4340999999999999</v>
      </c>
      <c r="N5" s="43"/>
      <c r="O5" s="43"/>
      <c r="P5" s="43"/>
    </row>
    <row r="6" spans="1:24">
      <c r="A6" s="41" t="s">
        <v>30</v>
      </c>
      <c r="B6" s="44">
        <v>2250</v>
      </c>
      <c r="C6" s="37">
        <v>0.45820300000000003</v>
      </c>
      <c r="D6" s="47"/>
      <c r="E6" s="38">
        <v>1.0153000000000001</v>
      </c>
      <c r="F6" s="38">
        <v>0.20330000000000001</v>
      </c>
      <c r="G6" s="38">
        <v>2.0507</v>
      </c>
      <c r="H6" s="47"/>
      <c r="I6" s="47"/>
      <c r="J6" s="47"/>
      <c r="K6" s="47"/>
      <c r="L6" s="47"/>
      <c r="M6" s="38">
        <v>9.2999999999999992E-3</v>
      </c>
      <c r="N6" s="43"/>
      <c r="O6" s="43"/>
      <c r="P6" s="43"/>
      <c r="R6" s="58" t="s">
        <v>40</v>
      </c>
    </row>
    <row r="7" spans="1:24">
      <c r="A7" s="41" t="s">
        <v>24</v>
      </c>
      <c r="B7" s="44">
        <v>20</v>
      </c>
      <c r="C7" s="47"/>
      <c r="D7" s="47"/>
      <c r="E7" s="38">
        <v>242.41569999999999</v>
      </c>
      <c r="F7" s="38">
        <v>1.417</v>
      </c>
      <c r="G7" s="38">
        <v>0.84279999999999999</v>
      </c>
      <c r="H7" s="47"/>
      <c r="I7" s="47"/>
      <c r="J7" s="47"/>
      <c r="K7" s="47"/>
      <c r="L7" s="47"/>
      <c r="M7" s="38">
        <v>15.133800000000001</v>
      </c>
      <c r="N7" s="43"/>
      <c r="O7" s="43"/>
      <c r="P7" s="43"/>
    </row>
    <row r="8" spans="1:24">
      <c r="A8" s="41" t="s">
        <v>18</v>
      </c>
      <c r="B8" s="44">
        <v>0.22</v>
      </c>
      <c r="C8" s="212" t="s">
        <v>87</v>
      </c>
      <c r="D8" s="47"/>
      <c r="E8" s="47"/>
      <c r="F8" s="47"/>
      <c r="G8" s="47"/>
      <c r="H8" s="47"/>
      <c r="I8" s="47"/>
      <c r="J8" s="47"/>
      <c r="K8" s="47"/>
      <c r="L8" s="47"/>
      <c r="M8" s="38">
        <v>0.96460000000000001</v>
      </c>
      <c r="N8" s="43"/>
      <c r="O8" s="43"/>
      <c r="P8" s="43"/>
    </row>
    <row r="9" spans="1:24" ht="15.6">
      <c r="A9" s="41" t="s">
        <v>33</v>
      </c>
      <c r="B9" s="45">
        <v>80</v>
      </c>
      <c r="C9" s="43" t="s">
        <v>39</v>
      </c>
      <c r="D9" s="44">
        <v>60</v>
      </c>
      <c r="E9" s="43"/>
      <c r="F9" s="43"/>
      <c r="G9" s="43"/>
      <c r="H9" s="43"/>
      <c r="I9" s="43"/>
      <c r="J9" s="43"/>
      <c r="K9" s="43"/>
      <c r="L9" s="43"/>
      <c r="M9" s="43"/>
      <c r="N9" s="43"/>
      <c r="O9" s="43"/>
      <c r="P9" s="43"/>
      <c r="R9" s="58" t="s">
        <v>41</v>
      </c>
    </row>
    <row r="10" spans="1:24">
      <c r="A10" s="41" t="s">
        <v>36</v>
      </c>
      <c r="B10" s="45">
        <v>5</v>
      </c>
      <c r="C10" s="55" t="s">
        <v>40</v>
      </c>
      <c r="D10" s="55" t="s">
        <v>41</v>
      </c>
      <c r="E10" s="55" t="s">
        <v>42</v>
      </c>
      <c r="F10" s="55" t="s">
        <v>43</v>
      </c>
      <c r="G10" s="55" t="s">
        <v>44</v>
      </c>
      <c r="H10" s="55" t="s">
        <v>45</v>
      </c>
      <c r="I10" s="55" t="s">
        <v>46</v>
      </c>
      <c r="J10" s="55" t="s">
        <v>47</v>
      </c>
      <c r="K10" s="55" t="s">
        <v>49</v>
      </c>
      <c r="L10" s="55" t="s">
        <v>50</v>
      </c>
      <c r="M10" s="55" t="s">
        <v>48</v>
      </c>
      <c r="N10" s="55" t="s">
        <v>51</v>
      </c>
      <c r="O10" s="55" t="s">
        <v>52</v>
      </c>
      <c r="P10" s="55" t="s">
        <v>53</v>
      </c>
    </row>
    <row r="11" spans="1:24" ht="15" customHeight="1">
      <c r="A11" s="43"/>
      <c r="B11" s="43"/>
      <c r="C11" s="228" t="s">
        <v>22</v>
      </c>
      <c r="D11" s="228"/>
      <c r="E11" s="228"/>
      <c r="F11" s="228"/>
      <c r="G11" s="228"/>
      <c r="H11" s="228"/>
      <c r="I11" s="228"/>
      <c r="J11" s="229" t="s">
        <v>11</v>
      </c>
      <c r="K11" s="229"/>
      <c r="L11" s="229"/>
      <c r="M11" s="230" t="s">
        <v>6</v>
      </c>
      <c r="N11" s="246" t="s">
        <v>23</v>
      </c>
      <c r="O11" s="246"/>
      <c r="P11" s="246"/>
      <c r="R11" s="58" t="s">
        <v>42</v>
      </c>
    </row>
    <row r="12" spans="1:24" ht="17.25" customHeight="1">
      <c r="A12" s="43"/>
      <c r="B12" s="242" t="s">
        <v>0</v>
      </c>
      <c r="C12" s="236" t="s">
        <v>12</v>
      </c>
      <c r="D12" s="236" t="s">
        <v>34</v>
      </c>
      <c r="E12" s="231" t="s">
        <v>21</v>
      </c>
      <c r="F12" s="232"/>
      <c r="G12" s="233"/>
      <c r="H12" s="234" t="s">
        <v>15</v>
      </c>
      <c r="I12" s="234" t="s">
        <v>16</v>
      </c>
      <c r="J12" s="238" t="s">
        <v>4</v>
      </c>
      <c r="K12" s="238" t="s">
        <v>5</v>
      </c>
      <c r="L12" s="240" t="s">
        <v>17</v>
      </c>
      <c r="M12" s="230"/>
      <c r="N12" s="247" t="s">
        <v>7</v>
      </c>
      <c r="O12" s="247" t="s">
        <v>8</v>
      </c>
      <c r="P12" s="247" t="s">
        <v>9</v>
      </c>
    </row>
    <row r="13" spans="1:24" s="2" customFormat="1" ht="30.6">
      <c r="A13" s="41"/>
      <c r="B13" s="243"/>
      <c r="C13" s="237"/>
      <c r="D13" s="237"/>
      <c r="E13" s="34" t="s">
        <v>14</v>
      </c>
      <c r="F13" s="34" t="s">
        <v>13</v>
      </c>
      <c r="G13" s="35" t="s">
        <v>20</v>
      </c>
      <c r="H13" s="235"/>
      <c r="I13" s="235"/>
      <c r="J13" s="239"/>
      <c r="K13" s="239"/>
      <c r="L13" s="241"/>
      <c r="M13" s="230"/>
      <c r="N13" s="248"/>
      <c r="O13" s="248"/>
      <c r="P13" s="248"/>
      <c r="R13" s="58" t="s">
        <v>43</v>
      </c>
      <c r="S13" s="41"/>
      <c r="T13" s="41"/>
      <c r="U13" s="41"/>
      <c r="V13" s="41"/>
      <c r="W13" s="41"/>
      <c r="X13" s="41"/>
    </row>
    <row r="14" spans="1:24" s="2" customFormat="1">
      <c r="A14" s="46" t="s">
        <v>31</v>
      </c>
      <c r="B14" s="39">
        <f>B4</f>
        <v>20</v>
      </c>
      <c r="C14" s="5"/>
      <c r="D14" s="11">
        <f>B6</f>
        <v>2250</v>
      </c>
      <c r="E14" s="3"/>
      <c r="F14" s="3"/>
      <c r="H14" s="3"/>
      <c r="I14" s="3"/>
      <c r="J14" s="3"/>
      <c r="K14" s="3"/>
      <c r="L14" s="215"/>
      <c r="M14" s="3"/>
      <c r="N14" s="3"/>
      <c r="O14" s="3"/>
      <c r="P14" s="3"/>
      <c r="S14" s="41"/>
      <c r="T14" s="41"/>
      <c r="U14" s="41"/>
      <c r="V14" s="41"/>
      <c r="W14" s="41"/>
      <c r="X14" s="41"/>
    </row>
    <row r="15" spans="1:24">
      <c r="A15" s="46" t="s">
        <v>32</v>
      </c>
      <c r="B15" s="9">
        <v>20</v>
      </c>
      <c r="C15" s="10">
        <f t="shared" ref="C15:C27" si="0">$C$5*(S/$C$5)^((50/B15)^$C$6)</f>
        <v>10.481759685277138</v>
      </c>
      <c r="D15" s="7">
        <f t="shared" ref="D15:D27" si="1">IF(B15&lt;=$D$9, 100^2/(Fw*C15)^2, D14)</f>
        <v>1880.5558741121929</v>
      </c>
      <c r="E15" s="6">
        <f>$E$5+$E$6*C15+$E$7*1/SQRT(D15)</f>
        <v>11.865505453406001</v>
      </c>
      <c r="F15" s="6">
        <f>$F$5+$F$6*C15*LN(E15)+$F$7*LN(E15)</f>
        <v>8.6043146121524305</v>
      </c>
      <c r="G15" s="6">
        <f>$G$5*E15^$G$6*F15^$G$7</f>
        <v>5.0187583267485528E-2</v>
      </c>
      <c r="H15" s="6">
        <f>PI()/4*(E15/100)^2*D15</f>
        <v>20.794506085127242</v>
      </c>
      <c r="I15" s="10">
        <f>G15*D15</f>
        <v>94.380554521164711</v>
      </c>
      <c r="J15" s="7">
        <f>D14-D15</f>
        <v>369.4441258878071</v>
      </c>
      <c r="K15" s="6">
        <f>M15-I15-L14</f>
        <v>-17.99856783860821</v>
      </c>
      <c r="L15" s="6">
        <f>K15</f>
        <v>-17.99856783860821</v>
      </c>
      <c r="M15" s="210">
        <f>EXP((7.4341+0.0093*S)-(15.1338+0.9646*S)*1/C15)</f>
        <v>76.381986682556501</v>
      </c>
      <c r="N15" s="6">
        <f>M15/B15</f>
        <v>3.819099334127825</v>
      </c>
      <c r="O15" s="9"/>
      <c r="P15" s="9"/>
    </row>
    <row r="16" spans="1:24">
      <c r="A16" s="46" t="s">
        <v>32</v>
      </c>
      <c r="B16" s="9">
        <f>B15+$B$10</f>
        <v>25</v>
      </c>
      <c r="C16" s="10">
        <f t="shared" si="0"/>
        <v>12.588597161106906</v>
      </c>
      <c r="D16" s="7">
        <f t="shared" si="1"/>
        <v>1303.7669448571842</v>
      </c>
      <c r="E16" s="6">
        <f t="shared" ref="E16:E26" si="2">$E$5+$E$6*C16+$E$7*1/SQRT(D16)</f>
        <v>15.128184601892878</v>
      </c>
      <c r="F16" s="6">
        <f t="shared" ref="F16:F27" si="3">$F$5+$F$6*C16*LN(E16)+$F$7*LN(E16)</f>
        <v>10.629751910002412</v>
      </c>
      <c r="G16" s="6">
        <f t="shared" ref="G16:G27" si="4">$G$5*E16^$G$6*F16^$G$7</f>
        <v>9.8700900921528903E-2</v>
      </c>
      <c r="H16" s="6">
        <f t="shared" ref="H16:H27" si="5">PI()/4*(E16/100)^2*D16</f>
        <v>23.434920145693543</v>
      </c>
      <c r="I16" s="10">
        <f>G16*D16</f>
        <v>128.68297204911337</v>
      </c>
      <c r="J16" s="7">
        <f>D15-D16</f>
        <v>576.78892925500872</v>
      </c>
      <c r="K16" s="6">
        <f>M16-I16-L15</f>
        <v>21.661475877561287</v>
      </c>
      <c r="L16" s="6">
        <f>K16+L15</f>
        <v>3.662908038953077</v>
      </c>
      <c r="M16" s="6">
        <f>EXP((7.4341+0.0093*S)-(15.1338+0.9646*S)*1/C16)</f>
        <v>132.34588008806645</v>
      </c>
      <c r="N16" s="6">
        <f>M16/B16</f>
        <v>5.2938352035226579</v>
      </c>
      <c r="O16" s="6">
        <f>(M16-M15)/(B16-B15)</f>
        <v>11.19277868110199</v>
      </c>
      <c r="P16" s="211">
        <f>(B16+B15)/2</f>
        <v>22.5</v>
      </c>
      <c r="R16" s="58" t="s">
        <v>44</v>
      </c>
    </row>
    <row r="17" spans="1:19">
      <c r="A17" s="46" t="s">
        <v>32</v>
      </c>
      <c r="B17" s="9">
        <f t="shared" ref="B17:B27" si="6">B16+$B$10</f>
        <v>30</v>
      </c>
      <c r="C17" s="10">
        <f t="shared" si="0"/>
        <v>14.427627783791582</v>
      </c>
      <c r="D17" s="7">
        <f t="shared" si="1"/>
        <v>992.5783069984999</v>
      </c>
      <c r="E17" s="6">
        <f t="shared" si="2"/>
        <v>17.976134163687622</v>
      </c>
      <c r="F17" s="6">
        <f t="shared" si="3"/>
        <v>12.395740757429095</v>
      </c>
      <c r="G17" s="6">
        <f t="shared" si="4"/>
        <v>0.16002740252427777</v>
      </c>
      <c r="H17" s="6">
        <f t="shared" si="5"/>
        <v>25.1911075597848</v>
      </c>
      <c r="I17" s="10">
        <f t="shared" ref="I17:I27" si="7">G17*D17</f>
        <v>158.83972827091509</v>
      </c>
      <c r="J17" s="7">
        <f t="shared" ref="J17:J27" si="8">D16-D17</f>
        <v>311.18863785868427</v>
      </c>
      <c r="K17" s="6">
        <f>M17-I17-L16</f>
        <v>25.038349321443746</v>
      </c>
      <c r="L17" s="6">
        <f>K17+L16</f>
        <v>28.701257360396824</v>
      </c>
      <c r="M17" s="6">
        <f t="shared" ref="M17:M27" si="9">EXP((7.4341+0.0093*S)-(15.1338+0.9646*S)*1/C17)</f>
        <v>187.54098563131191</v>
      </c>
      <c r="N17" s="6">
        <f t="shared" ref="N17:N27" si="10">M17/B17</f>
        <v>6.2513661877103974</v>
      </c>
      <c r="O17" s="6">
        <f t="shared" ref="O17:O27" si="11">(M17-M16)/(B17-B16)</f>
        <v>11.039021108649091</v>
      </c>
      <c r="P17" s="211">
        <f t="shared" ref="P17:P27" si="12">(B17+B16)/2</f>
        <v>27.5</v>
      </c>
    </row>
    <row r="18" spans="1:19">
      <c r="A18" s="46" t="s">
        <v>32</v>
      </c>
      <c r="B18" s="9">
        <f t="shared" si="6"/>
        <v>35</v>
      </c>
      <c r="C18" s="10">
        <f t="shared" si="0"/>
        <v>16.052560628026367</v>
      </c>
      <c r="D18" s="7">
        <f t="shared" si="1"/>
        <v>801.7999053489583</v>
      </c>
      <c r="E18" s="6">
        <f t="shared" si="2"/>
        <v>20.492528792793163</v>
      </c>
      <c r="F18" s="6">
        <f t="shared" si="3"/>
        <v>13.963349002197235</v>
      </c>
      <c r="G18" s="6">
        <f t="shared" si="4"/>
        <v>0.23145407601626802</v>
      </c>
      <c r="H18" s="6">
        <f t="shared" si="5"/>
        <v>26.445208164349964</v>
      </c>
      <c r="I18" s="10">
        <f t="shared" si="7"/>
        <v>185.57985624247431</v>
      </c>
      <c r="J18" s="7">
        <f t="shared" si="8"/>
        <v>190.77840164954159</v>
      </c>
      <c r="K18" s="6">
        <f t="shared" ref="K18:K27" si="13">M18-I18-L17</f>
        <v>24.496465785743851</v>
      </c>
      <c r="L18" s="6">
        <f t="shared" ref="L18:L27" si="14">K18+L17</f>
        <v>53.197723146140675</v>
      </c>
      <c r="M18" s="6">
        <f t="shared" si="9"/>
        <v>238.77757938861498</v>
      </c>
      <c r="N18" s="6">
        <f t="shared" si="10"/>
        <v>6.8222165539604278</v>
      </c>
      <c r="O18" s="6">
        <f t="shared" si="11"/>
        <v>10.247318751460615</v>
      </c>
      <c r="P18" s="211">
        <f t="shared" si="12"/>
        <v>32.5</v>
      </c>
    </row>
    <row r="19" spans="1:19" ht="16.2">
      <c r="A19" s="46" t="s">
        <v>32</v>
      </c>
      <c r="B19" s="9">
        <f t="shared" si="6"/>
        <v>40</v>
      </c>
      <c r="C19" s="10">
        <f t="shared" si="0"/>
        <v>17.503752121943602</v>
      </c>
      <c r="D19" s="7">
        <f t="shared" si="1"/>
        <v>674.36081898142515</v>
      </c>
      <c r="E19" s="6">
        <f t="shared" si="2"/>
        <v>22.739865040597717</v>
      </c>
      <c r="F19" s="6">
        <f t="shared" si="3"/>
        <v>15.372096846711377</v>
      </c>
      <c r="G19" s="6">
        <f t="shared" si="4"/>
        <v>0.31068635500491759</v>
      </c>
      <c r="H19" s="6">
        <f t="shared" si="5"/>
        <v>27.387852262074382</v>
      </c>
      <c r="I19" s="10">
        <f t="shared" si="7"/>
        <v>209.51470480747003</v>
      </c>
      <c r="J19" s="7">
        <f t="shared" si="8"/>
        <v>127.43908636753315</v>
      </c>
      <c r="K19" s="6">
        <f t="shared" si="13"/>
        <v>22.528195563414556</v>
      </c>
      <c r="L19" s="6">
        <f t="shared" si="14"/>
        <v>75.725918709555231</v>
      </c>
      <c r="M19" s="6">
        <f t="shared" si="9"/>
        <v>285.24062351702526</v>
      </c>
      <c r="N19" s="6">
        <f t="shared" si="10"/>
        <v>7.1310155879256314</v>
      </c>
      <c r="O19" s="6">
        <f t="shared" si="11"/>
        <v>9.2926088256820556</v>
      </c>
      <c r="P19" s="211">
        <f t="shared" si="12"/>
        <v>37.5</v>
      </c>
      <c r="R19" s="58" t="s">
        <v>45</v>
      </c>
      <c r="S19" s="54" t="s">
        <v>54</v>
      </c>
    </row>
    <row r="20" spans="1:19">
      <c r="A20" s="46" t="s">
        <v>32</v>
      </c>
      <c r="B20" s="9">
        <f t="shared" si="6"/>
        <v>45</v>
      </c>
      <c r="C20" s="10">
        <f t="shared" si="0"/>
        <v>18.811742929002914</v>
      </c>
      <c r="D20" s="7">
        <f t="shared" si="1"/>
        <v>583.84365899637112</v>
      </c>
      <c r="E20" s="6">
        <f t="shared" si="2"/>
        <v>24.765438622596101</v>
      </c>
      <c r="F20" s="6">
        <f t="shared" si="3"/>
        <v>16.650094131831352</v>
      </c>
      <c r="G20" s="6">
        <f t="shared" si="4"/>
        <v>0.39586639182154898</v>
      </c>
      <c r="H20" s="6">
        <f t="shared" si="5"/>
        <v>28.124091199395828</v>
      </c>
      <c r="I20" s="10">
        <f t="shared" si="7"/>
        <v>231.12408267478429</v>
      </c>
      <c r="J20" s="7">
        <f t="shared" si="8"/>
        <v>90.517159985054036</v>
      </c>
      <c r="K20" s="6">
        <f t="shared" si="13"/>
        <v>20.190328916609587</v>
      </c>
      <c r="L20" s="6">
        <f t="shared" si="14"/>
        <v>95.916247626164818</v>
      </c>
      <c r="M20" s="6">
        <f t="shared" si="9"/>
        <v>327.04033030094911</v>
      </c>
      <c r="N20" s="6">
        <f t="shared" si="10"/>
        <v>7.2675628955766465</v>
      </c>
      <c r="O20" s="6">
        <f t="shared" si="11"/>
        <v>8.3599413567847698</v>
      </c>
      <c r="P20" s="211">
        <f t="shared" si="12"/>
        <v>42.5</v>
      </c>
    </row>
    <row r="21" spans="1:19" ht="15.6">
      <c r="A21" s="46" t="s">
        <v>32</v>
      </c>
      <c r="B21" s="9">
        <f t="shared" si="6"/>
        <v>50</v>
      </c>
      <c r="C21" s="10">
        <f t="shared" si="0"/>
        <v>20</v>
      </c>
      <c r="D21" s="7">
        <f t="shared" si="1"/>
        <v>516.52892561983458</v>
      </c>
      <c r="E21" s="6">
        <f t="shared" si="2"/>
        <v>26.605590800000002</v>
      </c>
      <c r="F21" s="6">
        <f t="shared" si="3"/>
        <v>17.818388494486186</v>
      </c>
      <c r="G21" s="6">
        <f t="shared" si="4"/>
        <v>0.48551477438667334</v>
      </c>
      <c r="H21" s="6">
        <f t="shared" si="5"/>
        <v>28.716423060861885</v>
      </c>
      <c r="I21" s="10">
        <f t="shared" si="7"/>
        <v>250.78242478650478</v>
      </c>
      <c r="J21" s="7">
        <f t="shared" si="8"/>
        <v>67.314733376536537</v>
      </c>
      <c r="K21" s="6">
        <f>M21-I21-L20</f>
        <v>17.904659228184386</v>
      </c>
      <c r="L21" s="6">
        <f t="shared" si="14"/>
        <v>113.8209068543492</v>
      </c>
      <c r="M21" s="6">
        <f t="shared" si="9"/>
        <v>364.60333164085398</v>
      </c>
      <c r="N21" s="6">
        <f t="shared" si="10"/>
        <v>7.2920666328170798</v>
      </c>
      <c r="O21" s="6">
        <f t="shared" si="11"/>
        <v>7.5126002679809742</v>
      </c>
      <c r="P21" s="211">
        <f t="shared" si="12"/>
        <v>47.5</v>
      </c>
      <c r="R21" s="58" t="s">
        <v>46</v>
      </c>
      <c r="S21" s="54" t="s">
        <v>55</v>
      </c>
    </row>
    <row r="22" spans="1:19">
      <c r="A22" s="46" t="s">
        <v>32</v>
      </c>
      <c r="B22" s="9">
        <f t="shared" si="6"/>
        <v>55</v>
      </c>
      <c r="C22" s="10">
        <f t="shared" si="0"/>
        <v>21.086856222839685</v>
      </c>
      <c r="D22" s="7">
        <f t="shared" si="1"/>
        <v>464.65537423043355</v>
      </c>
      <c r="E22" s="6">
        <f t="shared" si="2"/>
        <v>28.28871214957902</v>
      </c>
      <c r="F22" s="6">
        <f t="shared" si="3"/>
        <v>18.893267342152562</v>
      </c>
      <c r="G22" s="6">
        <f t="shared" si="4"/>
        <v>0.57846001104158673</v>
      </c>
      <c r="H22" s="6">
        <f t="shared" si="5"/>
        <v>29.204326762613736</v>
      </c>
      <c r="I22" s="10">
        <f t="shared" si="7"/>
        <v>268.78455290786923</v>
      </c>
      <c r="J22" s="7">
        <f t="shared" si="8"/>
        <v>51.87355138940103</v>
      </c>
      <c r="K22" s="6">
        <f t="shared" si="13"/>
        <v>15.823225160744101</v>
      </c>
      <c r="L22" s="6">
        <f t="shared" si="14"/>
        <v>129.64413201509331</v>
      </c>
      <c r="M22" s="6">
        <f t="shared" si="9"/>
        <v>398.42868492296253</v>
      </c>
      <c r="N22" s="6">
        <f t="shared" si="10"/>
        <v>7.2441579076902283</v>
      </c>
      <c r="O22" s="6">
        <f t="shared" si="11"/>
        <v>6.7650706564217105</v>
      </c>
      <c r="P22" s="211">
        <f t="shared" si="12"/>
        <v>52.5</v>
      </c>
    </row>
    <row r="23" spans="1:19">
      <c r="A23" s="46" t="s">
        <v>32</v>
      </c>
      <c r="B23" s="9">
        <f t="shared" si="6"/>
        <v>60</v>
      </c>
      <c r="C23" s="10">
        <f t="shared" si="0"/>
        <v>22.086862554132061</v>
      </c>
      <c r="D23" s="7">
        <f t="shared" si="1"/>
        <v>423.53234339675333</v>
      </c>
      <c r="E23" s="6">
        <f t="shared" si="2"/>
        <v>29.837336494310446</v>
      </c>
      <c r="F23" s="6">
        <f t="shared" si="3"/>
        <v>19.887637379043554</v>
      </c>
      <c r="G23" s="6">
        <f t="shared" si="4"/>
        <v>0.67377509744870367</v>
      </c>
      <c r="H23" s="6">
        <f t="shared" si="5"/>
        <v>29.613965548722863</v>
      </c>
      <c r="I23" s="10">
        <f t="shared" si="7"/>
        <v>285.36554594482533</v>
      </c>
      <c r="J23" s="7">
        <f>D22-D23</f>
        <v>41.123030833680218</v>
      </c>
      <c r="K23" s="10">
        <f>M23-I23-L22</f>
        <v>13.985184655312366</v>
      </c>
      <c r="L23" s="6">
        <f t="shared" si="14"/>
        <v>143.62931667040567</v>
      </c>
      <c r="M23" s="6">
        <f>EXP((7.4341+0.0093*S)-(15.1338+0.9646*S)*1/C23)</f>
        <v>428.994862615231</v>
      </c>
      <c r="N23" s="6">
        <f t="shared" si="10"/>
        <v>7.1499143769205169</v>
      </c>
      <c r="O23" s="6">
        <f t="shared" si="11"/>
        <v>6.1132355384536936</v>
      </c>
      <c r="P23" s="211">
        <f t="shared" si="12"/>
        <v>57.5</v>
      </c>
      <c r="R23" s="58" t="s">
        <v>47</v>
      </c>
      <c r="S23" s="43" t="s">
        <v>79</v>
      </c>
    </row>
    <row r="24" spans="1:19">
      <c r="A24" s="46" t="s">
        <v>32</v>
      </c>
      <c r="B24" s="9">
        <f t="shared" si="6"/>
        <v>65</v>
      </c>
      <c r="C24" s="10">
        <f t="shared" si="0"/>
        <v>23.0117374271118</v>
      </c>
      <c r="D24" s="7">
        <f t="shared" si="1"/>
        <v>423.53234339675333</v>
      </c>
      <c r="E24" s="6">
        <f t="shared" si="2"/>
        <v>30.776361952846774</v>
      </c>
      <c r="F24" s="6">
        <f t="shared" si="3"/>
        <v>20.715003315405443</v>
      </c>
      <c r="G24" s="6">
        <f t="shared" si="4"/>
        <v>0.74307180688891794</v>
      </c>
      <c r="H24" s="6">
        <f t="shared" si="5"/>
        <v>31.507288124707291</v>
      </c>
      <c r="I24" s="10">
        <f t="shared" si="7"/>
        <v>314.71494368372316</v>
      </c>
      <c r="J24" s="7">
        <f>D23-D24</f>
        <v>0</v>
      </c>
      <c r="K24" s="209">
        <f>M24-I24-L23</f>
        <v>-1.6155717553288014</v>
      </c>
      <c r="L24" s="6">
        <f>K24+L23</f>
        <v>142.01374491507687</v>
      </c>
      <c r="M24" s="6">
        <f t="shared" si="9"/>
        <v>456.72868859880003</v>
      </c>
      <c r="N24" s="6">
        <f t="shared" si="10"/>
        <v>7.0265952092123083</v>
      </c>
      <c r="O24" s="6">
        <f t="shared" si="11"/>
        <v>5.5467651967138067</v>
      </c>
      <c r="P24" s="211">
        <f t="shared" si="12"/>
        <v>62.5</v>
      </c>
    </row>
    <row r="25" spans="1:19">
      <c r="A25" s="46" t="s">
        <v>32</v>
      </c>
      <c r="B25" s="9">
        <f t="shared" si="6"/>
        <v>70</v>
      </c>
      <c r="C25" s="10">
        <f t="shared" si="0"/>
        <v>23.871042959485663</v>
      </c>
      <c r="D25" s="7">
        <f t="shared" si="1"/>
        <v>423.53234339675333</v>
      </c>
      <c r="E25" s="6">
        <f t="shared" si="2"/>
        <v>31.648814859865961</v>
      </c>
      <c r="F25" s="6">
        <f t="shared" si="3"/>
        <v>21.488914792334128</v>
      </c>
      <c r="G25" s="6">
        <f t="shared" si="4"/>
        <v>0.81161860741316261</v>
      </c>
      <c r="H25" s="6">
        <f t="shared" si="5"/>
        <v>33.318954557886357</v>
      </c>
      <c r="I25" s="10">
        <f t="shared" si="7"/>
        <v>343.74673074210631</v>
      </c>
      <c r="J25" s="7">
        <f t="shared" si="8"/>
        <v>0</v>
      </c>
      <c r="K25" s="209">
        <f t="shared" si="13"/>
        <v>-3.7611801945191132</v>
      </c>
      <c r="L25" s="6">
        <f t="shared" si="14"/>
        <v>138.25256472055776</v>
      </c>
      <c r="M25" s="6">
        <f t="shared" si="9"/>
        <v>481.99929546266407</v>
      </c>
      <c r="N25" s="6">
        <f t="shared" si="10"/>
        <v>6.8857042208952013</v>
      </c>
      <c r="O25" s="6">
        <f t="shared" si="11"/>
        <v>5.0541213727728067</v>
      </c>
      <c r="P25" s="211">
        <f t="shared" si="12"/>
        <v>67.5</v>
      </c>
      <c r="R25" s="58" t="s">
        <v>48</v>
      </c>
    </row>
    <row r="26" spans="1:19">
      <c r="A26" s="46" t="s">
        <v>32</v>
      </c>
      <c r="B26" s="9">
        <f t="shared" si="6"/>
        <v>75</v>
      </c>
      <c r="C26" s="10">
        <f t="shared" si="0"/>
        <v>24.672674449388651</v>
      </c>
      <c r="D26" s="7">
        <f t="shared" si="1"/>
        <v>423.53234339675333</v>
      </c>
      <c r="E26" s="6">
        <f t="shared" si="2"/>
        <v>32.462711311564462</v>
      </c>
      <c r="F26" s="6">
        <f t="shared" si="3"/>
        <v>22.215274797617578</v>
      </c>
      <c r="G26" s="6">
        <f t="shared" si="4"/>
        <v>0.87929263204158437</v>
      </c>
      <c r="H26" s="6">
        <f t="shared" si="5"/>
        <v>35.054682812332693</v>
      </c>
      <c r="I26" s="10">
        <f t="shared" si="7"/>
        <v>372.40886898007136</v>
      </c>
      <c r="J26" s="7">
        <f t="shared" si="8"/>
        <v>0</v>
      </c>
      <c r="K26" s="209">
        <f t="shared" si="13"/>
        <v>-5.5397807647594277</v>
      </c>
      <c r="L26" s="6">
        <f t="shared" si="14"/>
        <v>132.71278395579833</v>
      </c>
      <c r="M26" s="6">
        <f t="shared" si="9"/>
        <v>505.12165293586969</v>
      </c>
      <c r="N26" s="6">
        <f t="shared" si="10"/>
        <v>6.7349553724782627</v>
      </c>
      <c r="O26" s="6">
        <f t="shared" si="11"/>
        <v>4.6244714946411252</v>
      </c>
      <c r="P26" s="211">
        <f t="shared" si="12"/>
        <v>72.5</v>
      </c>
    </row>
    <row r="27" spans="1:19">
      <c r="A27" s="46" t="s">
        <v>32</v>
      </c>
      <c r="B27" s="9">
        <f t="shared" si="6"/>
        <v>80</v>
      </c>
      <c r="C27" s="10">
        <f t="shared" si="0"/>
        <v>25.423220508157669</v>
      </c>
      <c r="D27" s="7">
        <f t="shared" si="1"/>
        <v>423.53234339675333</v>
      </c>
      <c r="E27" s="6">
        <f>$E$5+$E$6*C27+$E$7*1/SQRT(D27)</f>
        <v>33.224740725032646</v>
      </c>
      <c r="F27" s="6">
        <f t="shared" si="3"/>
        <v>22.899090598484158</v>
      </c>
      <c r="G27" s="6">
        <f t="shared" si="4"/>
        <v>0.94600779472163588</v>
      </c>
      <c r="H27" s="6">
        <f t="shared" si="5"/>
        <v>36.719745595549462</v>
      </c>
      <c r="I27" s="10">
        <f t="shared" si="7"/>
        <v>400.66489817004924</v>
      </c>
      <c r="J27" s="7">
        <f t="shared" si="8"/>
        <v>0</v>
      </c>
      <c r="K27" s="209">
        <f t="shared" si="13"/>
        <v>-7.0144866419042842</v>
      </c>
      <c r="L27" s="6">
        <f t="shared" si="14"/>
        <v>125.69829731389405</v>
      </c>
      <c r="M27" s="6">
        <f t="shared" si="9"/>
        <v>526.36319548394329</v>
      </c>
      <c r="N27" s="6">
        <f t="shared" si="10"/>
        <v>6.5795399435492907</v>
      </c>
      <c r="O27" s="6">
        <f t="shared" si="11"/>
        <v>4.2483085096147191</v>
      </c>
      <c r="P27" s="211">
        <f t="shared" si="12"/>
        <v>77.5</v>
      </c>
    </row>
    <row r="28" spans="1:19">
      <c r="A28" s="43"/>
      <c r="C28" s="1"/>
      <c r="R28" s="58" t="s">
        <v>49</v>
      </c>
      <c r="S28" s="43" t="s">
        <v>80</v>
      </c>
    </row>
    <row r="29" spans="1:19">
      <c r="A29" s="43"/>
      <c r="C29" s="1"/>
    </row>
    <row r="30" spans="1:19">
      <c r="A30" s="43"/>
      <c r="C30" s="1"/>
      <c r="R30" s="58" t="s">
        <v>50</v>
      </c>
      <c r="S30" s="43" t="s">
        <v>81</v>
      </c>
    </row>
    <row r="31" spans="1:19">
      <c r="A31" s="43"/>
      <c r="C31" s="1"/>
    </row>
    <row r="32" spans="1:19">
      <c r="A32" s="43"/>
      <c r="C32" s="1"/>
      <c r="R32" s="58" t="s">
        <v>51</v>
      </c>
      <c r="S32" s="43" t="s">
        <v>84</v>
      </c>
    </row>
    <row r="33" spans="1:19">
      <c r="A33" s="43"/>
      <c r="C33" s="1"/>
    </row>
    <row r="34" spans="1:19">
      <c r="A34" s="43"/>
      <c r="C34" s="1"/>
    </row>
    <row r="35" spans="1:19">
      <c r="A35" s="43"/>
      <c r="C35" s="1"/>
    </row>
    <row r="36" spans="1:19">
      <c r="A36" s="43"/>
      <c r="C36" s="1"/>
      <c r="R36" s="58" t="s">
        <v>52</v>
      </c>
      <c r="S36" s="43" t="s">
        <v>83</v>
      </c>
    </row>
    <row r="37" spans="1:19">
      <c r="A37" s="207" t="s">
        <v>78</v>
      </c>
    </row>
    <row r="38" spans="1:19" ht="15" customHeight="1">
      <c r="C38" s="244" t="s">
        <v>22</v>
      </c>
      <c r="D38" s="244"/>
      <c r="E38" s="244"/>
      <c r="F38" s="244"/>
      <c r="G38" s="244"/>
      <c r="H38" s="244"/>
      <c r="I38" s="244"/>
      <c r="J38" s="245" t="s">
        <v>11</v>
      </c>
      <c r="K38" s="245"/>
      <c r="L38" s="245"/>
      <c r="M38" s="230" t="s">
        <v>6</v>
      </c>
      <c r="N38" s="246" t="s">
        <v>23</v>
      </c>
      <c r="O38" s="246"/>
      <c r="P38" s="246"/>
      <c r="R38" s="58" t="s">
        <v>82</v>
      </c>
      <c r="S38" s="43" t="s">
        <v>85</v>
      </c>
    </row>
    <row r="39" spans="1:19" ht="14.4" customHeight="1">
      <c r="B39" s="242" t="s">
        <v>0</v>
      </c>
      <c r="C39" s="236" t="s">
        <v>12</v>
      </c>
      <c r="D39" s="236" t="s">
        <v>2</v>
      </c>
      <c r="E39" s="231" t="s">
        <v>21</v>
      </c>
      <c r="F39" s="232"/>
      <c r="G39" s="233"/>
      <c r="H39" s="234" t="s">
        <v>15</v>
      </c>
      <c r="I39" s="234" t="s">
        <v>16</v>
      </c>
      <c r="J39" s="238" t="s">
        <v>4</v>
      </c>
      <c r="K39" s="238" t="s">
        <v>5</v>
      </c>
      <c r="L39" s="240" t="s">
        <v>17</v>
      </c>
      <c r="M39" s="230"/>
      <c r="N39" s="247" t="s">
        <v>7</v>
      </c>
      <c r="O39" s="247" t="s">
        <v>8</v>
      </c>
      <c r="P39" s="247" t="s">
        <v>9</v>
      </c>
    </row>
    <row r="40" spans="1:19" ht="30.6">
      <c r="A40" s="2"/>
      <c r="B40" s="243"/>
      <c r="C40" s="237"/>
      <c r="D40" s="237"/>
      <c r="E40" s="34" t="s">
        <v>14</v>
      </c>
      <c r="F40" s="34" t="s">
        <v>13</v>
      </c>
      <c r="G40" s="35" t="s">
        <v>20</v>
      </c>
      <c r="H40" s="235"/>
      <c r="I40" s="235"/>
      <c r="J40" s="239"/>
      <c r="K40" s="239"/>
      <c r="L40" s="241"/>
      <c r="M40" s="230"/>
      <c r="N40" s="248"/>
      <c r="O40" s="248"/>
      <c r="P40" s="248"/>
    </row>
    <row r="41" spans="1:19">
      <c r="A41" s="2"/>
      <c r="B41" s="11">
        <v>20</v>
      </c>
      <c r="C41" s="10">
        <f t="shared" ref="C41:C53" si="15">$C$5*(S/$C$5)^((50/B41)^$C$6)</f>
        <v>10.481759685277138</v>
      </c>
      <c r="D41" s="23">
        <f>D14</f>
        <v>2250</v>
      </c>
      <c r="E41" s="3"/>
      <c r="F41" s="3"/>
      <c r="G41" s="2"/>
      <c r="H41" s="3"/>
      <c r="I41" s="3"/>
      <c r="J41" s="3"/>
      <c r="K41" s="3"/>
      <c r="L41" s="3"/>
      <c r="M41" s="3"/>
      <c r="N41" s="3"/>
      <c r="O41" s="3"/>
      <c r="P41" s="3"/>
    </row>
    <row r="42" spans="1:19">
      <c r="B42" s="9">
        <v>20</v>
      </c>
      <c r="C42" s="10">
        <f t="shared" si="15"/>
        <v>10.481759685277138</v>
      </c>
      <c r="D42" s="24"/>
      <c r="E42" s="15"/>
      <c r="F42" s="15"/>
      <c r="G42" s="15"/>
      <c r="H42" s="15"/>
      <c r="I42" s="16"/>
      <c r="J42" s="14"/>
      <c r="K42" s="15"/>
      <c r="L42" s="6"/>
      <c r="M42" s="8"/>
      <c r="N42" s="6"/>
      <c r="O42" s="9"/>
      <c r="P42" s="9"/>
    </row>
    <row r="43" spans="1:19">
      <c r="B43" s="9">
        <f>B42+5</f>
        <v>25</v>
      </c>
      <c r="C43" s="10">
        <f t="shared" si="15"/>
        <v>12.588597161106906</v>
      </c>
      <c r="D43" s="20"/>
      <c r="E43" s="21"/>
      <c r="F43" s="21"/>
      <c r="G43" s="21"/>
      <c r="H43" s="21"/>
      <c r="I43" s="22"/>
      <c r="J43" s="20"/>
      <c r="K43" s="21"/>
      <c r="L43" s="13"/>
      <c r="M43" s="6"/>
      <c r="N43" s="6"/>
      <c r="O43" s="6"/>
      <c r="P43" s="9"/>
    </row>
    <row r="44" spans="1:19">
      <c r="B44" s="9">
        <f t="shared" ref="B44:B54" si="16">B43+5</f>
        <v>30</v>
      </c>
      <c r="C44" s="10">
        <f t="shared" si="15"/>
        <v>14.427627783791582</v>
      </c>
      <c r="D44" s="20"/>
      <c r="E44" s="21"/>
      <c r="F44" s="21"/>
      <c r="G44" s="21"/>
      <c r="H44" s="21"/>
      <c r="I44" s="22"/>
      <c r="J44" s="20"/>
      <c r="K44" s="21"/>
      <c r="L44" s="13"/>
      <c r="M44" s="6"/>
      <c r="N44" s="6"/>
      <c r="O44" s="6"/>
      <c r="P44" s="9"/>
    </row>
    <row r="45" spans="1:19">
      <c r="B45" s="9">
        <f t="shared" si="16"/>
        <v>35</v>
      </c>
      <c r="C45" s="10">
        <f t="shared" si="15"/>
        <v>16.052560628026367</v>
      </c>
      <c r="D45" s="20"/>
      <c r="E45" s="21"/>
      <c r="F45" s="21"/>
      <c r="G45" s="21"/>
      <c r="H45" s="21"/>
      <c r="I45" s="22"/>
      <c r="J45" s="20"/>
      <c r="K45" s="21"/>
      <c r="L45" s="13"/>
      <c r="M45" s="6"/>
      <c r="N45" s="6"/>
      <c r="O45" s="6"/>
      <c r="P45" s="9"/>
    </row>
    <row r="46" spans="1:19">
      <c r="B46" s="9">
        <f t="shared" si="16"/>
        <v>40</v>
      </c>
      <c r="C46" s="10">
        <f t="shared" si="15"/>
        <v>17.503752121943602</v>
      </c>
      <c r="D46" s="20"/>
      <c r="E46" s="21"/>
      <c r="F46" s="21"/>
      <c r="G46" s="21"/>
      <c r="H46" s="21"/>
      <c r="I46" s="22"/>
      <c r="J46" s="20"/>
      <c r="K46" s="21"/>
      <c r="L46" s="13"/>
      <c r="M46" s="6"/>
      <c r="N46" s="6"/>
      <c r="O46" s="6"/>
      <c r="P46" s="9"/>
    </row>
    <row r="47" spans="1:19">
      <c r="B47" s="9">
        <f t="shared" si="16"/>
        <v>45</v>
      </c>
      <c r="C47" s="10">
        <f t="shared" si="15"/>
        <v>18.811742929002914</v>
      </c>
      <c r="D47" s="25"/>
      <c r="E47" s="18"/>
      <c r="F47" s="18"/>
      <c r="G47" s="18"/>
      <c r="H47" s="18"/>
      <c r="I47" s="19"/>
      <c r="J47" s="17"/>
      <c r="K47" s="18"/>
      <c r="L47" s="6"/>
      <c r="M47" s="6"/>
      <c r="N47" s="6"/>
      <c r="O47" s="6"/>
      <c r="P47" s="9"/>
    </row>
    <row r="48" spans="1:19">
      <c r="B48" s="9">
        <f t="shared" si="16"/>
        <v>50</v>
      </c>
      <c r="C48" s="10">
        <f t="shared" si="15"/>
        <v>20</v>
      </c>
      <c r="D48" s="26"/>
      <c r="E48" s="6"/>
      <c r="F48" s="6"/>
      <c r="G48" s="6"/>
      <c r="H48" s="6"/>
      <c r="I48" s="10"/>
      <c r="J48" s="7"/>
      <c r="K48" s="6"/>
      <c r="L48" s="6"/>
      <c r="M48" s="6"/>
      <c r="N48" s="6"/>
      <c r="O48" s="6"/>
      <c r="P48" s="9"/>
    </row>
    <row r="49" spans="2:16">
      <c r="B49" s="9">
        <f t="shared" si="16"/>
        <v>55</v>
      </c>
      <c r="C49" s="10">
        <f t="shared" si="15"/>
        <v>21.086856222839685</v>
      </c>
      <c r="D49" s="26"/>
      <c r="E49" s="6"/>
      <c r="F49" s="6"/>
      <c r="G49" s="6"/>
      <c r="H49" s="6"/>
      <c r="I49" s="10"/>
      <c r="J49" s="7"/>
      <c r="K49" s="6"/>
      <c r="L49" s="6"/>
      <c r="M49" s="6"/>
      <c r="N49" s="6"/>
      <c r="O49" s="6"/>
      <c r="P49" s="9"/>
    </row>
    <row r="50" spans="2:16">
      <c r="B50" s="9">
        <f t="shared" si="16"/>
        <v>60</v>
      </c>
      <c r="C50" s="10">
        <f t="shared" si="15"/>
        <v>22.086862554132061</v>
      </c>
      <c r="D50" s="26"/>
      <c r="E50" s="6"/>
      <c r="F50" s="6"/>
      <c r="G50" s="6"/>
      <c r="H50" s="6"/>
      <c r="I50" s="10"/>
      <c r="J50" s="7"/>
      <c r="K50" s="6"/>
      <c r="L50" s="6"/>
      <c r="M50" s="6"/>
      <c r="N50" s="6"/>
      <c r="O50" s="6"/>
      <c r="P50" s="9"/>
    </row>
    <row r="51" spans="2:16">
      <c r="B51" s="9">
        <f t="shared" si="16"/>
        <v>65</v>
      </c>
      <c r="C51" s="10">
        <f t="shared" si="15"/>
        <v>23.0117374271118</v>
      </c>
      <c r="D51" s="26"/>
      <c r="E51" s="6"/>
      <c r="F51" s="6"/>
      <c r="G51" s="6"/>
      <c r="H51" s="6"/>
      <c r="I51" s="10"/>
      <c r="J51" s="7"/>
      <c r="K51" s="6"/>
      <c r="L51" s="6"/>
      <c r="M51" s="6"/>
      <c r="N51" s="6"/>
      <c r="O51" s="6"/>
      <c r="P51" s="9"/>
    </row>
    <row r="52" spans="2:16">
      <c r="B52" s="9">
        <f t="shared" si="16"/>
        <v>70</v>
      </c>
      <c r="C52" s="10">
        <f t="shared" si="15"/>
        <v>23.871042959485663</v>
      </c>
      <c r="D52" s="26"/>
      <c r="E52" s="6"/>
      <c r="F52" s="6"/>
      <c r="G52" s="6"/>
      <c r="H52" s="6"/>
      <c r="I52" s="10"/>
      <c r="J52" s="7"/>
      <c r="K52" s="6"/>
      <c r="L52" s="6"/>
      <c r="M52" s="6"/>
      <c r="N52" s="6"/>
      <c r="O52" s="6"/>
      <c r="P52" s="9"/>
    </row>
    <row r="53" spans="2:16">
      <c r="B53" s="9">
        <f t="shared" si="16"/>
        <v>75</v>
      </c>
      <c r="C53" s="10">
        <f t="shared" si="15"/>
        <v>24.672674449388651</v>
      </c>
      <c r="D53" s="26"/>
      <c r="E53" s="6"/>
      <c r="F53" s="6"/>
      <c r="G53" s="6"/>
      <c r="H53" s="6"/>
      <c r="I53" s="10"/>
      <c r="J53" s="7"/>
      <c r="K53" s="6"/>
      <c r="L53" s="6"/>
      <c r="M53" s="6"/>
      <c r="N53" s="6"/>
      <c r="O53" s="6"/>
      <c r="P53" s="9"/>
    </row>
    <row r="54" spans="2:16">
      <c r="B54" s="9">
        <f t="shared" si="16"/>
        <v>80</v>
      </c>
      <c r="C54" s="6">
        <f t="shared" ref="C54" si="17">69*(S/69)^((50/B54)^0.458203)</f>
        <v>25.423220508157669</v>
      </c>
      <c r="D54" s="26"/>
      <c r="E54" s="6"/>
      <c r="F54" s="6"/>
      <c r="G54" s="6"/>
      <c r="H54" s="6"/>
      <c r="I54" s="10"/>
      <c r="J54" s="7"/>
      <c r="K54" s="6"/>
      <c r="L54" s="6"/>
      <c r="M54" s="6"/>
      <c r="N54" s="6"/>
      <c r="O54" s="6"/>
      <c r="P54" s="9"/>
    </row>
    <row r="56" spans="2:16" ht="15" customHeight="1">
      <c r="C56" s="244" t="s">
        <v>22</v>
      </c>
      <c r="D56" s="244"/>
      <c r="E56" s="244"/>
      <c r="F56" s="244"/>
      <c r="G56" s="244"/>
      <c r="H56" s="244"/>
      <c r="I56" s="244"/>
      <c r="J56" s="245" t="s">
        <v>11</v>
      </c>
      <c r="K56" s="245"/>
      <c r="L56" s="245"/>
      <c r="M56" s="230" t="s">
        <v>6</v>
      </c>
      <c r="N56" s="246" t="s">
        <v>23</v>
      </c>
      <c r="O56" s="246"/>
      <c r="P56" s="246"/>
    </row>
    <row r="57" spans="2:16" ht="14.4" customHeight="1">
      <c r="B57" s="242" t="s">
        <v>0</v>
      </c>
      <c r="C57" s="236" t="s">
        <v>12</v>
      </c>
      <c r="D57" s="236" t="s">
        <v>2</v>
      </c>
      <c r="E57" s="231" t="s">
        <v>21</v>
      </c>
      <c r="F57" s="232"/>
      <c r="G57" s="233"/>
      <c r="H57" s="234" t="s">
        <v>15</v>
      </c>
      <c r="I57" s="234" t="s">
        <v>16</v>
      </c>
      <c r="J57" s="238" t="s">
        <v>4</v>
      </c>
      <c r="K57" s="238" t="s">
        <v>5</v>
      </c>
      <c r="L57" s="240" t="s">
        <v>17</v>
      </c>
      <c r="M57" s="230"/>
      <c r="N57" s="247" t="s">
        <v>7</v>
      </c>
      <c r="O57" s="247" t="s">
        <v>8</v>
      </c>
      <c r="P57" s="247" t="s">
        <v>9</v>
      </c>
    </row>
    <row r="58" spans="2:16" ht="30.6">
      <c r="B58" s="243"/>
      <c r="C58" s="237"/>
      <c r="D58" s="237"/>
      <c r="E58" s="34" t="s">
        <v>14</v>
      </c>
      <c r="F58" s="34" t="s">
        <v>13</v>
      </c>
      <c r="G58" s="35" t="s">
        <v>20</v>
      </c>
      <c r="H58" s="235"/>
      <c r="I58" s="235"/>
      <c r="J58" s="239"/>
      <c r="K58" s="239"/>
      <c r="L58" s="241"/>
      <c r="M58" s="230"/>
      <c r="N58" s="248"/>
      <c r="O58" s="248"/>
      <c r="P58" s="248"/>
    </row>
    <row r="59" spans="2:16">
      <c r="B59" s="11">
        <v>20</v>
      </c>
      <c r="C59" s="5">
        <f>69*(S/69)^((50/B59)^0.458203)</f>
        <v>10.481759685277138</v>
      </c>
      <c r="D59" s="11">
        <f>D41</f>
        <v>2250</v>
      </c>
      <c r="E59" s="3"/>
      <c r="F59" s="3"/>
      <c r="G59" s="2"/>
      <c r="H59" s="3"/>
      <c r="I59" s="3"/>
      <c r="J59" s="3"/>
      <c r="K59" s="3"/>
      <c r="L59" s="3"/>
      <c r="M59" s="3"/>
      <c r="N59" s="3"/>
      <c r="O59" s="3"/>
      <c r="P59" s="3"/>
    </row>
    <row r="60" spans="2:16">
      <c r="B60" s="9">
        <v>20</v>
      </c>
      <c r="C60" s="6">
        <f t="shared" ref="C60:C72" si="18">69*(S/69)^((50/B60)^0.458203)</f>
        <v>10.481759685277138</v>
      </c>
      <c r="D60" s="7">
        <f>100^2/(Fw*C60)^2</f>
        <v>1880.5558741121929</v>
      </c>
      <c r="E60" s="6"/>
      <c r="F60" s="6"/>
      <c r="G60" s="6"/>
      <c r="H60" s="6"/>
      <c r="I60" s="8"/>
      <c r="J60" s="7"/>
      <c r="K60" s="6"/>
      <c r="L60" s="6"/>
      <c r="M60" s="8"/>
      <c r="N60" s="6"/>
      <c r="O60" s="9"/>
      <c r="P60" s="9"/>
    </row>
    <row r="61" spans="2:16">
      <c r="B61" s="9">
        <f>B60+5</f>
        <v>25</v>
      </c>
      <c r="C61" s="6">
        <f t="shared" si="18"/>
        <v>12.588597161106906</v>
      </c>
      <c r="D61" s="7">
        <f t="shared" ref="D61:D68" si="19">100^2/(Fw*C61)^2</f>
        <v>1303.7669448571842</v>
      </c>
      <c r="E61" s="15"/>
      <c r="F61" s="15"/>
      <c r="G61" s="15"/>
      <c r="H61" s="15"/>
      <c r="I61" s="28"/>
      <c r="J61" s="14"/>
      <c r="K61" s="15"/>
      <c r="L61" s="6"/>
      <c r="M61" s="6"/>
      <c r="N61" s="6"/>
      <c r="O61" s="6"/>
      <c r="P61" s="9"/>
    </row>
    <row r="62" spans="2:16">
      <c r="B62" s="9">
        <f t="shared" ref="B62:B72" si="20">B61+5</f>
        <v>30</v>
      </c>
      <c r="C62" s="6">
        <f t="shared" si="18"/>
        <v>14.427627783791582</v>
      </c>
      <c r="D62" s="27">
        <f t="shared" si="19"/>
        <v>992.5783069984999</v>
      </c>
      <c r="E62" s="21"/>
      <c r="F62" s="21"/>
      <c r="G62" s="21"/>
      <c r="H62" s="21"/>
      <c r="I62" s="22"/>
      <c r="J62" s="20"/>
      <c r="K62" s="21"/>
      <c r="L62" s="13"/>
      <c r="M62" s="6"/>
      <c r="N62" s="6"/>
      <c r="O62" s="6"/>
      <c r="P62" s="9"/>
    </row>
    <row r="63" spans="2:16">
      <c r="B63" s="9">
        <f t="shared" si="20"/>
        <v>35</v>
      </c>
      <c r="C63" s="6">
        <f t="shared" si="18"/>
        <v>16.052560628026367</v>
      </c>
      <c r="D63" s="27">
        <f t="shared" si="19"/>
        <v>801.7999053489583</v>
      </c>
      <c r="E63" s="21"/>
      <c r="F63" s="21"/>
      <c r="G63" s="21"/>
      <c r="H63" s="21"/>
      <c r="I63" s="22"/>
      <c r="J63" s="20"/>
      <c r="K63" s="21"/>
      <c r="L63" s="13"/>
      <c r="M63" s="6"/>
      <c r="N63" s="6"/>
      <c r="O63" s="6"/>
      <c r="P63" s="9"/>
    </row>
    <row r="64" spans="2:16">
      <c r="B64" s="9">
        <f t="shared" si="20"/>
        <v>40</v>
      </c>
      <c r="C64" s="6">
        <f t="shared" si="18"/>
        <v>17.503752121943602</v>
      </c>
      <c r="D64" s="27">
        <f t="shared" si="19"/>
        <v>674.36081898142515</v>
      </c>
      <c r="E64" s="21"/>
      <c r="F64" s="21"/>
      <c r="G64" s="21"/>
      <c r="H64" s="21"/>
      <c r="I64" s="22"/>
      <c r="J64" s="20"/>
      <c r="K64" s="21"/>
      <c r="L64" s="13"/>
      <c r="M64" s="6"/>
      <c r="N64" s="6"/>
      <c r="O64" s="6"/>
      <c r="P64" s="9"/>
    </row>
    <row r="65" spans="2:16">
      <c r="B65" s="9">
        <f t="shared" si="20"/>
        <v>45</v>
      </c>
      <c r="C65" s="6">
        <f t="shared" si="18"/>
        <v>18.811742929002914</v>
      </c>
      <c r="D65" s="27">
        <f t="shared" si="19"/>
        <v>583.84365899637112</v>
      </c>
      <c r="E65" s="21"/>
      <c r="F65" s="21"/>
      <c r="G65" s="21"/>
      <c r="H65" s="21"/>
      <c r="I65" s="22"/>
      <c r="J65" s="20"/>
      <c r="K65" s="21"/>
      <c r="L65" s="13"/>
      <c r="M65" s="6"/>
      <c r="N65" s="6"/>
      <c r="O65" s="6"/>
      <c r="P65" s="9"/>
    </row>
    <row r="66" spans="2:16">
      <c r="B66" s="9">
        <f t="shared" si="20"/>
        <v>50</v>
      </c>
      <c r="C66" s="6">
        <f t="shared" si="18"/>
        <v>20</v>
      </c>
      <c r="D66" s="7">
        <f t="shared" si="19"/>
        <v>516.52892561983458</v>
      </c>
      <c r="E66" s="18"/>
      <c r="F66" s="18"/>
      <c r="G66" s="18"/>
      <c r="H66" s="18"/>
      <c r="I66" s="19"/>
      <c r="J66" s="17"/>
      <c r="K66" s="18"/>
      <c r="L66" s="6"/>
      <c r="M66" s="6"/>
      <c r="N66" s="6"/>
      <c r="O66" s="6"/>
      <c r="P66" s="9"/>
    </row>
    <row r="67" spans="2:16">
      <c r="B67" s="9">
        <f t="shared" si="20"/>
        <v>55</v>
      </c>
      <c r="C67" s="6">
        <f t="shared" si="18"/>
        <v>21.086856222839685</v>
      </c>
      <c r="D67" s="7">
        <f t="shared" si="19"/>
        <v>464.65537423043355</v>
      </c>
      <c r="E67" s="6"/>
      <c r="F67" s="6"/>
      <c r="G67" s="6"/>
      <c r="H67" s="6"/>
      <c r="I67" s="10"/>
      <c r="J67" s="7"/>
      <c r="K67" s="6"/>
      <c r="L67" s="6"/>
      <c r="M67" s="6"/>
      <c r="N67" s="6"/>
      <c r="O67" s="6"/>
      <c r="P67" s="9"/>
    </row>
    <row r="68" spans="2:16">
      <c r="B68" s="9">
        <f t="shared" si="20"/>
        <v>60</v>
      </c>
      <c r="C68" s="6">
        <f t="shared" si="18"/>
        <v>22.086862554132061</v>
      </c>
      <c r="D68" s="7">
        <f t="shared" si="19"/>
        <v>423.53234339675333</v>
      </c>
      <c r="E68" s="6"/>
      <c r="F68" s="6"/>
      <c r="G68" s="6"/>
      <c r="H68" s="6"/>
      <c r="I68" s="10"/>
      <c r="J68" s="7"/>
      <c r="K68" s="6"/>
      <c r="L68" s="6"/>
      <c r="M68" s="6"/>
      <c r="N68" s="6"/>
      <c r="O68" s="6"/>
      <c r="P68" s="9"/>
    </row>
    <row r="69" spans="2:16">
      <c r="B69" s="9">
        <f t="shared" si="20"/>
        <v>65</v>
      </c>
      <c r="C69" s="6">
        <f t="shared" si="18"/>
        <v>23.0117374271118</v>
      </c>
      <c r="D69" s="7">
        <f>D68</f>
        <v>423.53234339675333</v>
      </c>
      <c r="E69" s="6"/>
      <c r="F69" s="6"/>
      <c r="G69" s="6"/>
      <c r="H69" s="6"/>
      <c r="I69" s="10"/>
      <c r="J69" s="7"/>
      <c r="K69" s="6"/>
      <c r="L69" s="6"/>
      <c r="M69" s="6"/>
      <c r="N69" s="6"/>
      <c r="O69" s="6"/>
      <c r="P69" s="9"/>
    </row>
    <row r="70" spans="2:16">
      <c r="B70" s="9">
        <f t="shared" si="20"/>
        <v>70</v>
      </c>
      <c r="C70" s="6">
        <f t="shared" si="18"/>
        <v>23.871042959485663</v>
      </c>
      <c r="D70" s="7">
        <f t="shared" ref="D70:D72" si="21">D69</f>
        <v>423.53234339675333</v>
      </c>
      <c r="E70" s="6"/>
      <c r="F70" s="6"/>
      <c r="G70" s="6"/>
      <c r="H70" s="6"/>
      <c r="I70" s="10"/>
      <c r="J70" s="7"/>
      <c r="K70" s="6"/>
      <c r="L70" s="6"/>
      <c r="M70" s="6"/>
      <c r="N70" s="6"/>
      <c r="O70" s="6"/>
      <c r="P70" s="9"/>
    </row>
    <row r="71" spans="2:16">
      <c r="B71" s="9">
        <f t="shared" si="20"/>
        <v>75</v>
      </c>
      <c r="C71" s="6">
        <f t="shared" si="18"/>
        <v>24.672674449388651</v>
      </c>
      <c r="D71" s="7">
        <f t="shared" si="21"/>
        <v>423.53234339675333</v>
      </c>
      <c r="E71" s="6"/>
      <c r="F71" s="6"/>
      <c r="G71" s="6"/>
      <c r="H71" s="6"/>
      <c r="I71" s="10"/>
      <c r="J71" s="7"/>
      <c r="K71" s="6"/>
      <c r="L71" s="6"/>
      <c r="M71" s="6"/>
      <c r="N71" s="6"/>
      <c r="O71" s="6"/>
      <c r="P71" s="9"/>
    </row>
    <row r="72" spans="2:16">
      <c r="B72" s="9">
        <f t="shared" si="20"/>
        <v>80</v>
      </c>
      <c r="C72" s="6">
        <f t="shared" si="18"/>
        <v>25.423220508157669</v>
      </c>
      <c r="D72" s="7">
        <f t="shared" si="21"/>
        <v>423.53234339675333</v>
      </c>
      <c r="E72" s="6"/>
      <c r="F72" s="6"/>
      <c r="G72" s="6"/>
      <c r="H72" s="6"/>
      <c r="I72" s="10"/>
      <c r="J72" s="7"/>
      <c r="K72" s="6"/>
      <c r="L72" s="6"/>
      <c r="M72" s="6"/>
      <c r="N72" s="6"/>
      <c r="O72" s="6"/>
      <c r="P72" s="9"/>
    </row>
    <row r="74" spans="2:16" ht="15" customHeight="1">
      <c r="C74" s="244" t="s">
        <v>22</v>
      </c>
      <c r="D74" s="244"/>
      <c r="E74" s="244"/>
      <c r="F74" s="244"/>
      <c r="G74" s="244"/>
      <c r="H74" s="244"/>
      <c r="I74" s="244"/>
      <c r="J74" s="245" t="s">
        <v>11</v>
      </c>
      <c r="K74" s="245"/>
      <c r="L74" s="245"/>
      <c r="M74" s="230" t="s">
        <v>6</v>
      </c>
      <c r="N74" s="246" t="s">
        <v>23</v>
      </c>
      <c r="O74" s="246"/>
      <c r="P74" s="246"/>
    </row>
    <row r="75" spans="2:16" ht="14.4" customHeight="1">
      <c r="B75" s="242" t="s">
        <v>0</v>
      </c>
      <c r="C75" s="236" t="s">
        <v>12</v>
      </c>
      <c r="D75" s="236" t="s">
        <v>2</v>
      </c>
      <c r="E75" s="231" t="s">
        <v>21</v>
      </c>
      <c r="F75" s="232"/>
      <c r="G75" s="233"/>
      <c r="H75" s="234" t="s">
        <v>15</v>
      </c>
      <c r="I75" s="234" t="s">
        <v>16</v>
      </c>
      <c r="J75" s="238" t="s">
        <v>4</v>
      </c>
      <c r="K75" s="238" t="s">
        <v>5</v>
      </c>
      <c r="L75" s="240" t="s">
        <v>17</v>
      </c>
      <c r="M75" s="230"/>
      <c r="N75" s="247" t="s">
        <v>7</v>
      </c>
      <c r="O75" s="247" t="s">
        <v>8</v>
      </c>
      <c r="P75" s="247" t="s">
        <v>9</v>
      </c>
    </row>
    <row r="76" spans="2:16" ht="30.6">
      <c r="B76" s="243"/>
      <c r="C76" s="237"/>
      <c r="D76" s="237"/>
      <c r="E76" s="34" t="s">
        <v>14</v>
      </c>
      <c r="F76" s="34" t="s">
        <v>13</v>
      </c>
      <c r="G76" s="35" t="s">
        <v>20</v>
      </c>
      <c r="H76" s="235"/>
      <c r="I76" s="235"/>
      <c r="J76" s="239"/>
      <c r="K76" s="239"/>
      <c r="L76" s="241"/>
      <c r="M76" s="230"/>
      <c r="N76" s="248"/>
      <c r="O76" s="248"/>
      <c r="P76" s="248"/>
    </row>
    <row r="77" spans="2:16">
      <c r="B77" s="11">
        <v>20</v>
      </c>
      <c r="C77" s="5">
        <f>69*(S/69)^((50/B77)^0.458203)</f>
        <v>10.481759685277138</v>
      </c>
      <c r="D77" s="11">
        <f>D59</f>
        <v>2250</v>
      </c>
      <c r="E77" s="3"/>
      <c r="F77" s="3"/>
      <c r="G77" s="2"/>
      <c r="H77" s="3"/>
      <c r="I77" s="3"/>
      <c r="J77" s="3"/>
      <c r="K77" s="3"/>
      <c r="L77" s="3"/>
      <c r="M77" s="3"/>
      <c r="N77" s="3"/>
      <c r="O77" s="3"/>
      <c r="P77" s="3"/>
    </row>
    <row r="78" spans="2:16">
      <c r="B78" s="9">
        <v>20</v>
      </c>
      <c r="C78" s="6">
        <f>69*(S/69)^((50/B78)^0.458203)</f>
        <v>10.481759685277138</v>
      </c>
      <c r="D78" s="7">
        <f>100^2/(Fw*C78)^2</f>
        <v>1880.5558741121929</v>
      </c>
      <c r="E78" s="6">
        <f>$E$5+$E$6*C78+$E$7*1/SQRT(D78)</f>
        <v>11.865505453406001</v>
      </c>
      <c r="F78" s="6"/>
      <c r="G78" s="6"/>
      <c r="H78" s="6"/>
      <c r="I78" s="8"/>
      <c r="J78" s="7"/>
      <c r="K78" s="6"/>
      <c r="L78" s="6"/>
      <c r="M78" s="8"/>
      <c r="N78" s="6"/>
      <c r="O78" s="9"/>
      <c r="P78" s="9"/>
    </row>
    <row r="79" spans="2:16">
      <c r="B79" s="9">
        <f>B78+5</f>
        <v>25</v>
      </c>
      <c r="C79" s="6">
        <f t="shared" ref="C79:C90" si="22">69*(S/69)^((50/B79)^0.458203)</f>
        <v>12.588597161106906</v>
      </c>
      <c r="D79" s="7">
        <f t="shared" ref="D79:D86" si="23">100^2/(Fw*C79)^2</f>
        <v>1303.7669448571842</v>
      </c>
      <c r="E79" s="6">
        <f t="shared" ref="E79:E89" si="24">$E$5+$E$6*C79+$E$7*1/SQRT(D79)</f>
        <v>15.128184601892878</v>
      </c>
      <c r="F79" s="6"/>
      <c r="G79" s="6"/>
      <c r="H79" s="6"/>
      <c r="I79" s="10"/>
      <c r="J79" s="7"/>
      <c r="K79" s="6"/>
      <c r="L79" s="6"/>
      <c r="M79" s="6"/>
      <c r="N79" s="6"/>
      <c r="O79" s="6"/>
      <c r="P79" s="9"/>
    </row>
    <row r="80" spans="2:16">
      <c r="B80" s="9">
        <f t="shared" ref="B80:B90" si="25">B79+5</f>
        <v>30</v>
      </c>
      <c r="C80" s="6">
        <f t="shared" si="22"/>
        <v>14.427627783791582</v>
      </c>
      <c r="D80" s="27">
        <f t="shared" si="23"/>
        <v>992.5783069984999</v>
      </c>
      <c r="E80" s="6">
        <f t="shared" si="24"/>
        <v>17.976134163687622</v>
      </c>
      <c r="F80" s="6"/>
      <c r="G80" s="15"/>
      <c r="H80" s="15"/>
      <c r="I80" s="28"/>
      <c r="J80" s="14"/>
      <c r="K80" s="15"/>
      <c r="L80" s="6"/>
      <c r="M80" s="6"/>
      <c r="N80" s="6"/>
      <c r="O80" s="6"/>
      <c r="P80" s="9"/>
    </row>
    <row r="81" spans="2:16">
      <c r="B81" s="9">
        <f t="shared" si="25"/>
        <v>35</v>
      </c>
      <c r="C81" s="6">
        <f t="shared" si="22"/>
        <v>16.052560628026367</v>
      </c>
      <c r="D81" s="27">
        <f t="shared" si="23"/>
        <v>801.7999053489583</v>
      </c>
      <c r="E81" s="6">
        <f t="shared" si="24"/>
        <v>20.492528792793163</v>
      </c>
      <c r="F81" s="12"/>
      <c r="G81" s="21"/>
      <c r="H81" s="21"/>
      <c r="I81" s="22"/>
      <c r="J81" s="20"/>
      <c r="K81" s="21"/>
      <c r="L81" s="13"/>
      <c r="M81" s="6"/>
      <c r="N81" s="6"/>
      <c r="O81" s="6"/>
      <c r="P81" s="9"/>
    </row>
    <row r="82" spans="2:16">
      <c r="B82" s="9">
        <f t="shared" si="25"/>
        <v>40</v>
      </c>
      <c r="C82" s="6">
        <f t="shared" si="22"/>
        <v>17.503752121943602</v>
      </c>
      <c r="D82" s="27">
        <f t="shared" si="23"/>
        <v>674.36081898142515</v>
      </c>
      <c r="E82" s="6">
        <f t="shared" si="24"/>
        <v>22.739865040597717</v>
      </c>
      <c r="F82" s="12"/>
      <c r="G82" s="21"/>
      <c r="H82" s="21"/>
      <c r="I82" s="22"/>
      <c r="J82" s="20"/>
      <c r="K82" s="21"/>
      <c r="L82" s="13"/>
      <c r="M82" s="6"/>
      <c r="N82" s="6"/>
      <c r="O82" s="6"/>
      <c r="P82" s="9"/>
    </row>
    <row r="83" spans="2:16">
      <c r="B83" s="9">
        <f t="shared" si="25"/>
        <v>45</v>
      </c>
      <c r="C83" s="6">
        <f t="shared" si="22"/>
        <v>18.811742929002914</v>
      </c>
      <c r="D83" s="27">
        <f t="shared" si="23"/>
        <v>583.84365899637112</v>
      </c>
      <c r="E83" s="6">
        <f t="shared" si="24"/>
        <v>24.765438622596101</v>
      </c>
      <c r="F83" s="12"/>
      <c r="G83" s="21"/>
      <c r="H83" s="21"/>
      <c r="I83" s="22"/>
      <c r="J83" s="20"/>
      <c r="K83" s="21"/>
      <c r="L83" s="13"/>
      <c r="M83" s="6"/>
      <c r="N83" s="6"/>
      <c r="O83" s="6"/>
      <c r="P83" s="9"/>
    </row>
    <row r="84" spans="2:16">
      <c r="B84" s="9">
        <f t="shared" si="25"/>
        <v>50</v>
      </c>
      <c r="C84" s="6">
        <f t="shared" si="22"/>
        <v>20</v>
      </c>
      <c r="D84" s="7">
        <f t="shared" si="23"/>
        <v>516.52892561983458</v>
      </c>
      <c r="E84" s="6">
        <f t="shared" si="24"/>
        <v>26.605590800000002</v>
      </c>
      <c r="F84" s="12"/>
      <c r="G84" s="21"/>
      <c r="H84" s="21"/>
      <c r="I84" s="22"/>
      <c r="J84" s="20"/>
      <c r="K84" s="21"/>
      <c r="L84" s="13"/>
      <c r="M84" s="6"/>
      <c r="N84" s="6"/>
      <c r="O84" s="6"/>
      <c r="P84" s="9"/>
    </row>
    <row r="85" spans="2:16">
      <c r="B85" s="9">
        <f t="shared" si="25"/>
        <v>55</v>
      </c>
      <c r="C85" s="6">
        <f t="shared" si="22"/>
        <v>21.086856222839685</v>
      </c>
      <c r="D85" s="7">
        <f t="shared" si="23"/>
        <v>464.65537423043355</v>
      </c>
      <c r="E85" s="6">
        <f t="shared" si="24"/>
        <v>28.28871214957902</v>
      </c>
      <c r="F85" s="6"/>
      <c r="G85" s="18"/>
      <c r="H85" s="18"/>
      <c r="I85" s="19"/>
      <c r="J85" s="17"/>
      <c r="K85" s="18"/>
      <c r="L85" s="6"/>
      <c r="M85" s="6"/>
      <c r="N85" s="6"/>
      <c r="O85" s="6"/>
      <c r="P85" s="9"/>
    </row>
    <row r="86" spans="2:16">
      <c r="B86" s="9">
        <f t="shared" si="25"/>
        <v>60</v>
      </c>
      <c r="C86" s="6">
        <f t="shared" si="22"/>
        <v>22.086862554132061</v>
      </c>
      <c r="D86" s="7">
        <f t="shared" si="23"/>
        <v>423.53234339675333</v>
      </c>
      <c r="E86" s="6">
        <f t="shared" si="24"/>
        <v>29.837336494310446</v>
      </c>
      <c r="F86" s="6"/>
      <c r="G86" s="6"/>
      <c r="H86" s="6"/>
      <c r="I86" s="10"/>
      <c r="J86" s="7"/>
      <c r="K86" s="6"/>
      <c r="L86" s="6"/>
      <c r="M86" s="6"/>
      <c r="N86" s="6"/>
      <c r="O86" s="6"/>
      <c r="P86" s="9"/>
    </row>
    <row r="87" spans="2:16">
      <c r="B87" s="9">
        <f t="shared" si="25"/>
        <v>65</v>
      </c>
      <c r="C87" s="6">
        <f t="shared" si="22"/>
        <v>23.0117374271118</v>
      </c>
      <c r="D87" s="7">
        <f>D86</f>
        <v>423.53234339675333</v>
      </c>
      <c r="E87" s="6">
        <f t="shared" si="24"/>
        <v>30.776361952846774</v>
      </c>
      <c r="F87" s="6"/>
      <c r="G87" s="6"/>
      <c r="H87" s="6"/>
      <c r="I87" s="10"/>
      <c r="J87" s="7"/>
      <c r="K87" s="6"/>
      <c r="L87" s="6"/>
      <c r="M87" s="6"/>
      <c r="N87" s="6"/>
      <c r="O87" s="6"/>
      <c r="P87" s="9"/>
    </row>
    <row r="88" spans="2:16">
      <c r="B88" s="9">
        <f t="shared" si="25"/>
        <v>70</v>
      </c>
      <c r="C88" s="6">
        <f t="shared" si="22"/>
        <v>23.871042959485663</v>
      </c>
      <c r="D88" s="7">
        <f t="shared" ref="D88:D90" si="26">D87</f>
        <v>423.53234339675333</v>
      </c>
      <c r="E88" s="6">
        <f t="shared" si="24"/>
        <v>31.648814859865961</v>
      </c>
      <c r="F88" s="6"/>
      <c r="G88" s="6"/>
      <c r="H88" s="6"/>
      <c r="I88" s="10"/>
      <c r="J88" s="7"/>
      <c r="K88" s="6"/>
      <c r="L88" s="6"/>
      <c r="M88" s="6"/>
      <c r="N88" s="6"/>
      <c r="O88" s="6"/>
      <c r="P88" s="9"/>
    </row>
    <row r="89" spans="2:16">
      <c r="B89" s="9">
        <f t="shared" si="25"/>
        <v>75</v>
      </c>
      <c r="C89" s="6">
        <f t="shared" si="22"/>
        <v>24.672674449388651</v>
      </c>
      <c r="D89" s="7">
        <f t="shared" si="26"/>
        <v>423.53234339675333</v>
      </c>
      <c r="E89" s="6">
        <f t="shared" si="24"/>
        <v>32.462711311564462</v>
      </c>
      <c r="F89" s="6"/>
      <c r="G89" s="6"/>
      <c r="H89" s="6"/>
      <c r="I89" s="10"/>
      <c r="J89" s="7"/>
      <c r="K89" s="6"/>
      <c r="L89" s="6"/>
      <c r="M89" s="6"/>
      <c r="N89" s="6"/>
      <c r="O89" s="6"/>
      <c r="P89" s="9"/>
    </row>
    <row r="90" spans="2:16">
      <c r="B90" s="9">
        <f t="shared" si="25"/>
        <v>80</v>
      </c>
      <c r="C90" s="6">
        <f t="shared" si="22"/>
        <v>25.423220508157669</v>
      </c>
      <c r="D90" s="7">
        <f t="shared" si="26"/>
        <v>423.53234339675333</v>
      </c>
      <c r="E90" s="6">
        <f>$E$5+$E$6*C90+$E$7*1/SQRT(D90)</f>
        <v>33.224740725032646</v>
      </c>
      <c r="F90" s="6"/>
      <c r="G90" s="6"/>
      <c r="H90" s="6"/>
      <c r="I90" s="10"/>
      <c r="J90" s="7"/>
      <c r="K90" s="6"/>
      <c r="L90" s="6"/>
      <c r="M90" s="6"/>
      <c r="N90" s="6"/>
      <c r="O90" s="6"/>
      <c r="P90" s="9"/>
    </row>
    <row r="92" spans="2:16" ht="15" customHeight="1">
      <c r="C92" s="244" t="s">
        <v>22</v>
      </c>
      <c r="D92" s="244"/>
      <c r="E92" s="244"/>
      <c r="F92" s="244"/>
      <c r="G92" s="244"/>
      <c r="H92" s="244"/>
      <c r="I92" s="244"/>
      <c r="J92" s="245" t="s">
        <v>11</v>
      </c>
      <c r="K92" s="245"/>
      <c r="L92" s="245"/>
      <c r="M92" s="230" t="s">
        <v>6</v>
      </c>
      <c r="N92" s="246" t="s">
        <v>23</v>
      </c>
      <c r="O92" s="246"/>
      <c r="P92" s="246"/>
    </row>
    <row r="93" spans="2:16" ht="14.4" customHeight="1">
      <c r="B93" s="242" t="s">
        <v>0</v>
      </c>
      <c r="C93" s="236" t="s">
        <v>12</v>
      </c>
      <c r="D93" s="236" t="s">
        <v>2</v>
      </c>
      <c r="E93" s="231" t="s">
        <v>21</v>
      </c>
      <c r="F93" s="232"/>
      <c r="G93" s="233"/>
      <c r="H93" s="234" t="s">
        <v>15</v>
      </c>
      <c r="I93" s="234" t="s">
        <v>16</v>
      </c>
      <c r="J93" s="238" t="s">
        <v>4</v>
      </c>
      <c r="K93" s="238" t="s">
        <v>5</v>
      </c>
      <c r="L93" s="240" t="s">
        <v>17</v>
      </c>
      <c r="M93" s="230"/>
      <c r="N93" s="247" t="s">
        <v>7</v>
      </c>
      <c r="O93" s="247" t="s">
        <v>8</v>
      </c>
      <c r="P93" s="247" t="s">
        <v>9</v>
      </c>
    </row>
    <row r="94" spans="2:16" ht="30.6">
      <c r="B94" s="243"/>
      <c r="C94" s="237"/>
      <c r="D94" s="237"/>
      <c r="E94" s="34" t="s">
        <v>14</v>
      </c>
      <c r="F94" s="34" t="s">
        <v>13</v>
      </c>
      <c r="G94" s="35" t="s">
        <v>20</v>
      </c>
      <c r="H94" s="235"/>
      <c r="I94" s="235"/>
      <c r="J94" s="239"/>
      <c r="K94" s="239"/>
      <c r="L94" s="241"/>
      <c r="M94" s="230"/>
      <c r="N94" s="248"/>
      <c r="O94" s="248"/>
      <c r="P94" s="248"/>
    </row>
    <row r="95" spans="2:16">
      <c r="B95" s="11">
        <v>20</v>
      </c>
      <c r="C95" s="5">
        <f>69*(S/69)^((50/B95)^0.458203)</f>
        <v>10.481759685277138</v>
      </c>
      <c r="D95" s="11">
        <f>D77</f>
        <v>2250</v>
      </c>
      <c r="E95" s="3"/>
      <c r="F95" s="3"/>
      <c r="G95" s="2"/>
      <c r="H95" s="3"/>
      <c r="I95" s="3"/>
      <c r="J95" s="3"/>
      <c r="K95" s="3"/>
      <c r="L95" s="3"/>
      <c r="M95" s="3"/>
      <c r="N95" s="3"/>
      <c r="O95" s="3"/>
      <c r="P95" s="3"/>
    </row>
    <row r="96" spans="2:16">
      <c r="B96" s="9">
        <v>20</v>
      </c>
      <c r="C96" s="6">
        <f t="shared" ref="C96:C108" si="27">69*(S/69)^((50/B96)^0.458203)</f>
        <v>10.481759685277138</v>
      </c>
      <c r="D96" s="7">
        <f>100^2/(Fw*C96)^2</f>
        <v>1880.5558741121929</v>
      </c>
      <c r="E96" s="6">
        <f>$E$5+$E$6*C96+$E$7*1/SQRT(D96)</f>
        <v>11.865505453406001</v>
      </c>
      <c r="F96" s="6">
        <f>$F$5+$F$6*C96*LN(E96)+$F$7*LN(E96)</f>
        <v>8.6043146121524305</v>
      </c>
      <c r="G96" s="6"/>
      <c r="H96" s="6"/>
      <c r="I96" s="8"/>
      <c r="J96" s="7"/>
      <c r="K96" s="6"/>
      <c r="L96" s="6"/>
      <c r="M96" s="8"/>
      <c r="N96" s="6"/>
      <c r="O96" s="9"/>
      <c r="P96" s="9"/>
    </row>
    <row r="97" spans="2:16">
      <c r="B97" s="9">
        <f>B96+5</f>
        <v>25</v>
      </c>
      <c r="C97" s="6">
        <f t="shared" si="27"/>
        <v>12.588597161106906</v>
      </c>
      <c r="D97" s="7">
        <f t="shared" ref="D97:D104" si="28">100^2/(Fw*C97)^2</f>
        <v>1303.7669448571842</v>
      </c>
      <c r="E97" s="6">
        <f t="shared" ref="E97:E107" si="29">$E$5+$E$6*C97+$E$7*1/SQRT(D97)</f>
        <v>15.128184601892878</v>
      </c>
      <c r="F97" s="6">
        <f t="shared" ref="F97:F108" si="30">$F$5+$F$6*C97*LN(E97)+$F$7*LN(E97)</f>
        <v>10.629751910002412</v>
      </c>
      <c r="G97" s="6"/>
      <c r="H97" s="15"/>
      <c r="I97" s="28"/>
      <c r="J97" s="14"/>
      <c r="K97" s="15"/>
      <c r="L97" s="15"/>
      <c r="M97" s="15"/>
      <c r="N97" s="6"/>
      <c r="O97" s="6"/>
      <c r="P97" s="9"/>
    </row>
    <row r="98" spans="2:16">
      <c r="B98" s="9">
        <f t="shared" ref="B98:B108" si="31">B97+5</f>
        <v>30</v>
      </c>
      <c r="C98" s="6">
        <f t="shared" si="27"/>
        <v>14.427627783791582</v>
      </c>
      <c r="D98" s="27">
        <f t="shared" si="28"/>
        <v>992.5783069984999</v>
      </c>
      <c r="E98" s="6">
        <f t="shared" si="29"/>
        <v>17.976134163687622</v>
      </c>
      <c r="F98" s="6">
        <f t="shared" si="30"/>
        <v>12.395740757429095</v>
      </c>
      <c r="G98" s="12"/>
      <c r="H98" s="21"/>
      <c r="I98" s="22"/>
      <c r="J98" s="20"/>
      <c r="K98" s="21"/>
      <c r="L98" s="21"/>
      <c r="M98" s="21"/>
      <c r="N98" s="13"/>
      <c r="O98" s="6"/>
      <c r="P98" s="9"/>
    </row>
    <row r="99" spans="2:16">
      <c r="B99" s="9">
        <f t="shared" si="31"/>
        <v>35</v>
      </c>
      <c r="C99" s="6">
        <f t="shared" si="27"/>
        <v>16.052560628026367</v>
      </c>
      <c r="D99" s="27">
        <f t="shared" si="28"/>
        <v>801.7999053489583</v>
      </c>
      <c r="E99" s="6">
        <f t="shared" si="29"/>
        <v>20.492528792793163</v>
      </c>
      <c r="F99" s="6">
        <f t="shared" si="30"/>
        <v>13.963349002197235</v>
      </c>
      <c r="G99" s="12"/>
      <c r="H99" s="21"/>
      <c r="I99" s="22"/>
      <c r="J99" s="20"/>
      <c r="K99" s="21"/>
      <c r="L99" s="21"/>
      <c r="M99" s="21"/>
      <c r="N99" s="13"/>
      <c r="O99" s="6"/>
      <c r="P99" s="9"/>
    </row>
    <row r="100" spans="2:16">
      <c r="B100" s="9">
        <f t="shared" si="31"/>
        <v>40</v>
      </c>
      <c r="C100" s="6">
        <f t="shared" si="27"/>
        <v>17.503752121943602</v>
      </c>
      <c r="D100" s="27">
        <f t="shared" si="28"/>
        <v>674.36081898142515</v>
      </c>
      <c r="E100" s="6">
        <f t="shared" si="29"/>
        <v>22.739865040597717</v>
      </c>
      <c r="F100" s="6">
        <f t="shared" si="30"/>
        <v>15.372096846711377</v>
      </c>
      <c r="G100" s="12"/>
      <c r="H100" s="21"/>
      <c r="I100" s="22"/>
      <c r="J100" s="20"/>
      <c r="K100" s="21"/>
      <c r="L100" s="21"/>
      <c r="M100" s="21"/>
      <c r="N100" s="13"/>
      <c r="O100" s="6"/>
      <c r="P100" s="9"/>
    </row>
    <row r="101" spans="2:16">
      <c r="B101" s="9">
        <f t="shared" si="31"/>
        <v>45</v>
      </c>
      <c r="C101" s="6">
        <f t="shared" si="27"/>
        <v>18.811742929002914</v>
      </c>
      <c r="D101" s="27">
        <f t="shared" si="28"/>
        <v>583.84365899637112</v>
      </c>
      <c r="E101" s="6">
        <f t="shared" si="29"/>
        <v>24.765438622596101</v>
      </c>
      <c r="F101" s="6">
        <f t="shared" si="30"/>
        <v>16.650094131831352</v>
      </c>
      <c r="G101" s="6"/>
      <c r="H101" s="18"/>
      <c r="I101" s="19"/>
      <c r="J101" s="17"/>
      <c r="K101" s="18"/>
      <c r="L101" s="18"/>
      <c r="M101" s="18"/>
      <c r="N101" s="6"/>
      <c r="O101" s="6"/>
      <c r="P101" s="9"/>
    </row>
    <row r="102" spans="2:16">
      <c r="B102" s="9">
        <f t="shared" si="31"/>
        <v>50</v>
      </c>
      <c r="C102" s="6">
        <f t="shared" si="27"/>
        <v>20</v>
      </c>
      <c r="D102" s="7">
        <f t="shared" si="28"/>
        <v>516.52892561983458</v>
      </c>
      <c r="E102" s="6">
        <f t="shared" si="29"/>
        <v>26.605590800000002</v>
      </c>
      <c r="F102" s="6">
        <f t="shared" si="30"/>
        <v>17.818388494486186</v>
      </c>
      <c r="G102" s="6"/>
      <c r="H102" s="6"/>
      <c r="I102" s="10"/>
      <c r="J102" s="7"/>
      <c r="K102" s="6"/>
      <c r="L102" s="6"/>
      <c r="M102" s="6"/>
      <c r="N102" s="6"/>
      <c r="O102" s="6"/>
      <c r="P102" s="9"/>
    </row>
    <row r="103" spans="2:16">
      <c r="B103" s="9">
        <f t="shared" si="31"/>
        <v>55</v>
      </c>
      <c r="C103" s="6">
        <f t="shared" si="27"/>
        <v>21.086856222839685</v>
      </c>
      <c r="D103" s="7">
        <f t="shared" si="28"/>
        <v>464.65537423043355</v>
      </c>
      <c r="E103" s="6">
        <f t="shared" si="29"/>
        <v>28.28871214957902</v>
      </c>
      <c r="F103" s="6">
        <f t="shared" si="30"/>
        <v>18.893267342152562</v>
      </c>
      <c r="G103" s="6"/>
      <c r="H103" s="6"/>
      <c r="I103" s="10"/>
      <c r="J103" s="7"/>
      <c r="K103" s="6"/>
      <c r="L103" s="6"/>
      <c r="M103" s="6"/>
      <c r="N103" s="6"/>
      <c r="O103" s="6"/>
      <c r="P103" s="9"/>
    </row>
    <row r="104" spans="2:16">
      <c r="B104" s="9">
        <f t="shared" si="31"/>
        <v>60</v>
      </c>
      <c r="C104" s="6">
        <f t="shared" si="27"/>
        <v>22.086862554132061</v>
      </c>
      <c r="D104" s="7">
        <f t="shared" si="28"/>
        <v>423.53234339675333</v>
      </c>
      <c r="E104" s="6">
        <f t="shared" si="29"/>
        <v>29.837336494310446</v>
      </c>
      <c r="F104" s="6">
        <f t="shared" si="30"/>
        <v>19.887637379043554</v>
      </c>
      <c r="G104" s="6"/>
      <c r="H104" s="6"/>
      <c r="I104" s="10"/>
      <c r="J104" s="7"/>
      <c r="K104" s="6"/>
      <c r="L104" s="6"/>
      <c r="M104" s="6"/>
      <c r="N104" s="6"/>
      <c r="O104" s="6"/>
      <c r="P104" s="9"/>
    </row>
    <row r="105" spans="2:16">
      <c r="B105" s="9">
        <f t="shared" si="31"/>
        <v>65</v>
      </c>
      <c r="C105" s="6">
        <f t="shared" si="27"/>
        <v>23.0117374271118</v>
      </c>
      <c r="D105" s="7">
        <f>D104</f>
        <v>423.53234339675333</v>
      </c>
      <c r="E105" s="6">
        <f t="shared" si="29"/>
        <v>30.776361952846774</v>
      </c>
      <c r="F105" s="6">
        <f t="shared" si="30"/>
        <v>20.715003315405443</v>
      </c>
      <c r="G105" s="6"/>
      <c r="H105" s="6"/>
      <c r="I105" s="10"/>
      <c r="J105" s="7"/>
      <c r="K105" s="6"/>
      <c r="L105" s="6"/>
      <c r="M105" s="6"/>
      <c r="N105" s="6"/>
      <c r="O105" s="6"/>
      <c r="P105" s="9"/>
    </row>
    <row r="106" spans="2:16">
      <c r="B106" s="9">
        <f t="shared" si="31"/>
        <v>70</v>
      </c>
      <c r="C106" s="6">
        <f t="shared" si="27"/>
        <v>23.871042959485663</v>
      </c>
      <c r="D106" s="7">
        <f t="shared" ref="D106:D108" si="32">D105</f>
        <v>423.53234339675333</v>
      </c>
      <c r="E106" s="6">
        <f t="shared" si="29"/>
        <v>31.648814859865961</v>
      </c>
      <c r="F106" s="6">
        <f t="shared" si="30"/>
        <v>21.488914792334128</v>
      </c>
      <c r="G106" s="6"/>
      <c r="H106" s="6"/>
      <c r="I106" s="10"/>
      <c r="J106" s="7"/>
      <c r="K106" s="6"/>
      <c r="L106" s="6"/>
      <c r="M106" s="6"/>
      <c r="N106" s="6"/>
      <c r="O106" s="6"/>
      <c r="P106" s="9"/>
    </row>
    <row r="107" spans="2:16">
      <c r="B107" s="9">
        <f t="shared" si="31"/>
        <v>75</v>
      </c>
      <c r="C107" s="6">
        <f t="shared" si="27"/>
        <v>24.672674449388651</v>
      </c>
      <c r="D107" s="7">
        <f t="shared" si="32"/>
        <v>423.53234339675333</v>
      </c>
      <c r="E107" s="6">
        <f t="shared" si="29"/>
        <v>32.462711311564462</v>
      </c>
      <c r="F107" s="6">
        <f t="shared" si="30"/>
        <v>22.215274797617578</v>
      </c>
      <c r="G107" s="6"/>
      <c r="H107" s="6"/>
      <c r="I107" s="10"/>
      <c r="J107" s="7"/>
      <c r="K107" s="6"/>
      <c r="L107" s="6"/>
      <c r="M107" s="6"/>
      <c r="N107" s="6"/>
      <c r="O107" s="6"/>
      <c r="P107" s="9"/>
    </row>
    <row r="108" spans="2:16">
      <c r="B108" s="9">
        <f t="shared" si="31"/>
        <v>80</v>
      </c>
      <c r="C108" s="6">
        <f t="shared" si="27"/>
        <v>25.423220508157669</v>
      </c>
      <c r="D108" s="7">
        <f t="shared" si="32"/>
        <v>423.53234339675333</v>
      </c>
      <c r="E108" s="6">
        <f>$E$5+$E$6*C108+$E$7*1/SQRT(D108)</f>
        <v>33.224740725032646</v>
      </c>
      <c r="F108" s="6">
        <f t="shared" si="30"/>
        <v>22.899090598484158</v>
      </c>
      <c r="G108" s="6"/>
      <c r="H108" s="6"/>
      <c r="I108" s="10"/>
      <c r="J108" s="7"/>
      <c r="K108" s="6"/>
      <c r="L108" s="6"/>
      <c r="M108" s="6"/>
      <c r="N108" s="6"/>
      <c r="O108" s="6"/>
      <c r="P108" s="9"/>
    </row>
    <row r="110" spans="2:16" ht="15" customHeight="1">
      <c r="C110" s="244" t="s">
        <v>22</v>
      </c>
      <c r="D110" s="244"/>
      <c r="E110" s="244"/>
      <c r="F110" s="244"/>
      <c r="G110" s="244"/>
      <c r="H110" s="244"/>
      <c r="I110" s="244"/>
      <c r="J110" s="245" t="s">
        <v>11</v>
      </c>
      <c r="K110" s="245"/>
      <c r="L110" s="245"/>
      <c r="M110" s="230" t="s">
        <v>6</v>
      </c>
      <c r="N110" s="246" t="s">
        <v>23</v>
      </c>
      <c r="O110" s="246"/>
      <c r="P110" s="246"/>
    </row>
    <row r="111" spans="2:16" ht="14.4" customHeight="1">
      <c r="B111" s="242" t="s">
        <v>0</v>
      </c>
      <c r="C111" s="236" t="s">
        <v>12</v>
      </c>
      <c r="D111" s="236" t="s">
        <v>2</v>
      </c>
      <c r="E111" s="231" t="s">
        <v>21</v>
      </c>
      <c r="F111" s="232"/>
      <c r="G111" s="233"/>
      <c r="H111" s="234" t="s">
        <v>15</v>
      </c>
      <c r="I111" s="234" t="s">
        <v>16</v>
      </c>
      <c r="J111" s="238" t="s">
        <v>4</v>
      </c>
      <c r="K111" s="238" t="s">
        <v>5</v>
      </c>
      <c r="L111" s="240" t="s">
        <v>17</v>
      </c>
      <c r="M111" s="230"/>
      <c r="N111" s="247" t="s">
        <v>7</v>
      </c>
      <c r="O111" s="247" t="s">
        <v>8</v>
      </c>
      <c r="P111" s="247" t="s">
        <v>9</v>
      </c>
    </row>
    <row r="112" spans="2:16" ht="30.6">
      <c r="B112" s="243"/>
      <c r="C112" s="237"/>
      <c r="D112" s="237"/>
      <c r="E112" s="34" t="s">
        <v>14</v>
      </c>
      <c r="F112" s="34" t="s">
        <v>13</v>
      </c>
      <c r="G112" s="35" t="s">
        <v>20</v>
      </c>
      <c r="H112" s="235"/>
      <c r="I112" s="235"/>
      <c r="J112" s="239"/>
      <c r="K112" s="239"/>
      <c r="L112" s="241"/>
      <c r="M112" s="230"/>
      <c r="N112" s="248"/>
      <c r="O112" s="248"/>
      <c r="P112" s="248"/>
    </row>
    <row r="113" spans="2:16">
      <c r="B113" s="11">
        <v>20</v>
      </c>
      <c r="C113" s="5">
        <f>69*(S/69)^((50/B113)^0.458203)</f>
        <v>10.481759685277138</v>
      </c>
      <c r="D113" s="11">
        <f>D95</f>
        <v>2250</v>
      </c>
      <c r="E113" s="3"/>
      <c r="F113" s="3"/>
      <c r="G113" s="2"/>
      <c r="H113" s="3"/>
      <c r="I113" s="3"/>
      <c r="J113" s="3"/>
      <c r="K113" s="3"/>
      <c r="L113" s="3"/>
      <c r="M113" s="3"/>
      <c r="N113" s="3"/>
      <c r="O113" s="3"/>
      <c r="P113" s="9"/>
    </row>
    <row r="114" spans="2:16">
      <c r="B114" s="9">
        <v>20</v>
      </c>
      <c r="C114" s="6">
        <f t="shared" ref="C114:C126" si="33">69*(S/69)^((50/B114)^0.458203)</f>
        <v>10.481759685277138</v>
      </c>
      <c r="D114" s="7">
        <f>100^2/(Fw*C114)^2</f>
        <v>1880.5558741121929</v>
      </c>
      <c r="E114" s="6">
        <f>$E$5+$E$6*C114+$E$7*1/SQRT(D114)</f>
        <v>11.865505453406001</v>
      </c>
      <c r="F114" s="6">
        <f>$F$5+$F$6*C114*LN(E114)+$F$7*LN(E114)</f>
        <v>8.6043146121524305</v>
      </c>
      <c r="G114" s="6">
        <f>$G$5*E114^$G$6*F114^$G$7</f>
        <v>5.0187583267485528E-2</v>
      </c>
      <c r="H114" s="6"/>
      <c r="I114" s="8"/>
      <c r="J114" s="7"/>
      <c r="K114" s="6"/>
      <c r="L114" s="6"/>
      <c r="M114" s="8"/>
      <c r="N114" s="6"/>
      <c r="O114" s="9"/>
      <c r="P114" s="9"/>
    </row>
    <row r="115" spans="2:16">
      <c r="B115" s="9">
        <f>B114+5</f>
        <v>25</v>
      </c>
      <c r="C115" s="6">
        <f t="shared" si="33"/>
        <v>12.588597161106906</v>
      </c>
      <c r="D115" s="7">
        <f t="shared" ref="D115:D122" si="34">100^2/(Fw*C115)^2</f>
        <v>1303.7669448571842</v>
      </c>
      <c r="E115" s="6">
        <f t="shared" ref="E115:E125" si="35">$E$5+$E$6*C115+$E$7*1/SQRT(D115)</f>
        <v>15.128184601892878</v>
      </c>
      <c r="F115" s="6">
        <f t="shared" ref="F115:F126" si="36">$F$5+$F$6*C115*LN(E115)+$F$7*LN(E115)</f>
        <v>10.629751910002412</v>
      </c>
      <c r="G115" s="6">
        <f t="shared" ref="G115:G126" si="37">$G$5*E115^$G$6*F115^$G$7</f>
        <v>9.8700900921528903E-2</v>
      </c>
      <c r="H115" s="6"/>
      <c r="I115" s="10"/>
      <c r="J115" s="7"/>
      <c r="K115" s="6"/>
      <c r="L115" s="6"/>
      <c r="M115" s="6"/>
      <c r="N115" s="6"/>
      <c r="O115" s="6"/>
      <c r="P115" s="9"/>
    </row>
    <row r="116" spans="2:16">
      <c r="B116" s="9">
        <f t="shared" ref="B116:B126" si="38">B115+5</f>
        <v>30</v>
      </c>
      <c r="C116" s="6">
        <f t="shared" si="33"/>
        <v>14.427627783791582</v>
      </c>
      <c r="D116" s="27">
        <f t="shared" si="34"/>
        <v>992.5783069984999</v>
      </c>
      <c r="E116" s="6">
        <f t="shared" si="35"/>
        <v>17.976134163687622</v>
      </c>
      <c r="F116" s="6">
        <f t="shared" si="36"/>
        <v>12.395740757429095</v>
      </c>
      <c r="G116" s="6">
        <f t="shared" si="37"/>
        <v>0.16002740252427777</v>
      </c>
      <c r="H116" s="6"/>
      <c r="I116" s="28"/>
      <c r="J116" s="14"/>
      <c r="K116" s="15"/>
      <c r="L116" s="15"/>
      <c r="M116" s="15"/>
      <c r="N116" s="6"/>
      <c r="O116" s="6"/>
      <c r="P116" s="9"/>
    </row>
    <row r="117" spans="2:16">
      <c r="B117" s="9">
        <f t="shared" si="38"/>
        <v>35</v>
      </c>
      <c r="C117" s="6">
        <f t="shared" si="33"/>
        <v>16.052560628026367</v>
      </c>
      <c r="D117" s="27">
        <f t="shared" si="34"/>
        <v>801.7999053489583</v>
      </c>
      <c r="E117" s="6">
        <f t="shared" si="35"/>
        <v>20.492528792793163</v>
      </c>
      <c r="F117" s="6">
        <f t="shared" si="36"/>
        <v>13.963349002197235</v>
      </c>
      <c r="G117" s="6">
        <f t="shared" si="37"/>
        <v>0.23145407601626802</v>
      </c>
      <c r="H117" s="12"/>
      <c r="I117" s="22"/>
      <c r="J117" s="20"/>
      <c r="K117" s="21"/>
      <c r="L117" s="21"/>
      <c r="M117" s="21"/>
      <c r="N117" s="13"/>
      <c r="O117" s="6"/>
      <c r="P117" s="9"/>
    </row>
    <row r="118" spans="2:16">
      <c r="B118" s="9">
        <f t="shared" si="38"/>
        <v>40</v>
      </c>
      <c r="C118" s="6">
        <f t="shared" si="33"/>
        <v>17.503752121943602</v>
      </c>
      <c r="D118" s="27">
        <f t="shared" si="34"/>
        <v>674.36081898142515</v>
      </c>
      <c r="E118" s="6">
        <f t="shared" si="35"/>
        <v>22.739865040597717</v>
      </c>
      <c r="F118" s="6">
        <f t="shared" si="36"/>
        <v>15.372096846711377</v>
      </c>
      <c r="G118" s="6">
        <f t="shared" si="37"/>
        <v>0.31068635500491759</v>
      </c>
      <c r="H118" s="12"/>
      <c r="I118" s="22"/>
      <c r="J118" s="20"/>
      <c r="K118" s="21"/>
      <c r="L118" s="21"/>
      <c r="M118" s="21"/>
      <c r="N118" s="13"/>
      <c r="O118" s="6"/>
      <c r="P118" s="9"/>
    </row>
    <row r="119" spans="2:16">
      <c r="B119" s="9">
        <f t="shared" si="38"/>
        <v>45</v>
      </c>
      <c r="C119" s="6">
        <f t="shared" si="33"/>
        <v>18.811742929002914</v>
      </c>
      <c r="D119" s="27">
        <f t="shared" si="34"/>
        <v>583.84365899637112</v>
      </c>
      <c r="E119" s="6">
        <f t="shared" si="35"/>
        <v>24.765438622596101</v>
      </c>
      <c r="F119" s="6">
        <f t="shared" si="36"/>
        <v>16.650094131831352</v>
      </c>
      <c r="G119" s="6">
        <f t="shared" si="37"/>
        <v>0.39586639182154898</v>
      </c>
      <c r="H119" s="6"/>
      <c r="I119" s="19"/>
      <c r="J119" s="17"/>
      <c r="K119" s="18"/>
      <c r="L119" s="18"/>
      <c r="M119" s="18"/>
      <c r="N119" s="6"/>
      <c r="O119" s="6"/>
      <c r="P119" s="9"/>
    </row>
    <row r="120" spans="2:16">
      <c r="B120" s="9">
        <f t="shared" si="38"/>
        <v>50</v>
      </c>
      <c r="C120" s="6">
        <f t="shared" si="33"/>
        <v>20</v>
      </c>
      <c r="D120" s="7">
        <f t="shared" si="34"/>
        <v>516.52892561983458</v>
      </c>
      <c r="E120" s="6">
        <f t="shared" si="35"/>
        <v>26.605590800000002</v>
      </c>
      <c r="F120" s="6">
        <f t="shared" si="36"/>
        <v>17.818388494486186</v>
      </c>
      <c r="G120" s="6">
        <f t="shared" si="37"/>
        <v>0.48551477438667334</v>
      </c>
      <c r="H120" s="6"/>
      <c r="I120" s="10"/>
      <c r="J120" s="7"/>
      <c r="K120" s="6"/>
      <c r="L120" s="6"/>
      <c r="M120" s="6"/>
      <c r="N120" s="6"/>
      <c r="O120" s="6"/>
      <c r="P120" s="9"/>
    </row>
    <row r="121" spans="2:16">
      <c r="B121" s="9">
        <f t="shared" si="38"/>
        <v>55</v>
      </c>
      <c r="C121" s="6">
        <f t="shared" si="33"/>
        <v>21.086856222839685</v>
      </c>
      <c r="D121" s="7">
        <f t="shared" si="34"/>
        <v>464.65537423043355</v>
      </c>
      <c r="E121" s="6">
        <f t="shared" si="35"/>
        <v>28.28871214957902</v>
      </c>
      <c r="F121" s="6">
        <f t="shared" si="36"/>
        <v>18.893267342152562</v>
      </c>
      <c r="G121" s="6">
        <f t="shared" si="37"/>
        <v>0.57846001104158673</v>
      </c>
      <c r="H121" s="6"/>
      <c r="I121" s="10"/>
      <c r="J121" s="7"/>
      <c r="K121" s="6"/>
      <c r="L121" s="6"/>
      <c r="M121" s="6"/>
      <c r="N121" s="6"/>
      <c r="O121" s="6"/>
      <c r="P121" s="9"/>
    </row>
    <row r="122" spans="2:16">
      <c r="B122" s="9">
        <f t="shared" si="38"/>
        <v>60</v>
      </c>
      <c r="C122" s="6">
        <f t="shared" si="33"/>
        <v>22.086862554132061</v>
      </c>
      <c r="D122" s="7">
        <f t="shared" si="34"/>
        <v>423.53234339675333</v>
      </c>
      <c r="E122" s="6">
        <f t="shared" si="35"/>
        <v>29.837336494310446</v>
      </c>
      <c r="F122" s="6">
        <f t="shared" si="36"/>
        <v>19.887637379043554</v>
      </c>
      <c r="G122" s="6">
        <f t="shared" si="37"/>
        <v>0.67377509744870367</v>
      </c>
      <c r="H122" s="6"/>
      <c r="I122" s="10"/>
      <c r="J122" s="7"/>
      <c r="K122" s="6"/>
      <c r="L122" s="6"/>
      <c r="M122" s="6"/>
      <c r="N122" s="6"/>
      <c r="O122" s="6"/>
      <c r="P122" s="9"/>
    </row>
    <row r="123" spans="2:16">
      <c r="B123" s="9">
        <f t="shared" si="38"/>
        <v>65</v>
      </c>
      <c r="C123" s="6">
        <f t="shared" si="33"/>
        <v>23.0117374271118</v>
      </c>
      <c r="D123" s="7">
        <f>D122</f>
        <v>423.53234339675333</v>
      </c>
      <c r="E123" s="6">
        <f t="shared" si="35"/>
        <v>30.776361952846774</v>
      </c>
      <c r="F123" s="6">
        <f t="shared" si="36"/>
        <v>20.715003315405443</v>
      </c>
      <c r="G123" s="6">
        <f t="shared" si="37"/>
        <v>0.74307180688891794</v>
      </c>
      <c r="H123" s="6"/>
      <c r="I123" s="10"/>
      <c r="J123" s="7"/>
      <c r="K123" s="6"/>
      <c r="L123" s="6"/>
      <c r="M123" s="6"/>
      <c r="N123" s="6"/>
      <c r="O123" s="6"/>
      <c r="P123" s="9"/>
    </row>
    <row r="124" spans="2:16">
      <c r="B124" s="9">
        <f t="shared" si="38"/>
        <v>70</v>
      </c>
      <c r="C124" s="6">
        <f t="shared" si="33"/>
        <v>23.871042959485663</v>
      </c>
      <c r="D124" s="7">
        <f t="shared" ref="D124:D126" si="39">D123</f>
        <v>423.53234339675333</v>
      </c>
      <c r="E124" s="6">
        <f t="shared" si="35"/>
        <v>31.648814859865961</v>
      </c>
      <c r="F124" s="6">
        <f t="shared" si="36"/>
        <v>21.488914792334128</v>
      </c>
      <c r="G124" s="6">
        <f t="shared" si="37"/>
        <v>0.81161860741316261</v>
      </c>
      <c r="H124" s="6"/>
      <c r="I124" s="10"/>
      <c r="J124" s="7"/>
      <c r="K124" s="6"/>
      <c r="L124" s="6"/>
      <c r="M124" s="6"/>
      <c r="N124" s="6"/>
      <c r="O124" s="6"/>
      <c r="P124" s="9"/>
    </row>
    <row r="125" spans="2:16">
      <c r="B125" s="9">
        <f t="shared" si="38"/>
        <v>75</v>
      </c>
      <c r="C125" s="6">
        <f t="shared" si="33"/>
        <v>24.672674449388651</v>
      </c>
      <c r="D125" s="7">
        <f t="shared" si="39"/>
        <v>423.53234339675333</v>
      </c>
      <c r="E125" s="6">
        <f t="shared" si="35"/>
        <v>32.462711311564462</v>
      </c>
      <c r="F125" s="6">
        <f t="shared" si="36"/>
        <v>22.215274797617578</v>
      </c>
      <c r="G125" s="6">
        <f t="shared" si="37"/>
        <v>0.87929263204158437</v>
      </c>
      <c r="H125" s="6"/>
      <c r="I125" s="10"/>
      <c r="J125" s="7"/>
      <c r="K125" s="6"/>
      <c r="L125" s="6"/>
      <c r="M125" s="6"/>
      <c r="N125" s="6"/>
      <c r="O125" s="6"/>
      <c r="P125" s="9"/>
    </row>
    <row r="126" spans="2:16">
      <c r="B126" s="9">
        <f t="shared" si="38"/>
        <v>80</v>
      </c>
      <c r="C126" s="6">
        <f t="shared" si="33"/>
        <v>25.423220508157669</v>
      </c>
      <c r="D126" s="7">
        <f t="shared" si="39"/>
        <v>423.53234339675333</v>
      </c>
      <c r="E126" s="6">
        <f>$E$5+$E$6*C126+$E$7*1/SQRT(D126)</f>
        <v>33.224740725032646</v>
      </c>
      <c r="F126" s="6">
        <f t="shared" si="36"/>
        <v>22.899090598484158</v>
      </c>
      <c r="G126" s="6">
        <f t="shared" si="37"/>
        <v>0.94600779472163588</v>
      </c>
      <c r="H126" s="6"/>
      <c r="I126" s="10"/>
      <c r="J126" s="7"/>
      <c r="K126" s="6"/>
      <c r="L126" s="6"/>
      <c r="M126" s="6"/>
      <c r="N126" s="6"/>
      <c r="O126" s="6"/>
      <c r="P126" s="9"/>
    </row>
    <row r="128" spans="2:16" ht="15" customHeight="1">
      <c r="C128" s="244" t="s">
        <v>22</v>
      </c>
      <c r="D128" s="244"/>
      <c r="E128" s="244"/>
      <c r="F128" s="244"/>
      <c r="G128" s="244"/>
      <c r="H128" s="244"/>
      <c r="I128" s="244"/>
      <c r="J128" s="245" t="s">
        <v>11</v>
      </c>
      <c r="K128" s="245"/>
      <c r="L128" s="245"/>
      <c r="M128" s="230" t="s">
        <v>6</v>
      </c>
      <c r="N128" s="246" t="s">
        <v>23</v>
      </c>
      <c r="O128" s="246"/>
      <c r="P128" s="246"/>
    </row>
    <row r="129" spans="2:16" ht="14.4" customHeight="1">
      <c r="B129" s="242" t="s">
        <v>0</v>
      </c>
      <c r="C129" s="236" t="s">
        <v>12</v>
      </c>
      <c r="D129" s="236" t="s">
        <v>2</v>
      </c>
      <c r="E129" s="231" t="s">
        <v>21</v>
      </c>
      <c r="F129" s="232"/>
      <c r="G129" s="233"/>
      <c r="H129" s="234" t="s">
        <v>15</v>
      </c>
      <c r="I129" s="234" t="s">
        <v>16</v>
      </c>
      <c r="J129" s="238" t="s">
        <v>4</v>
      </c>
      <c r="K129" s="238" t="s">
        <v>5</v>
      </c>
      <c r="L129" s="240" t="s">
        <v>17</v>
      </c>
      <c r="M129" s="230"/>
      <c r="N129" s="247" t="s">
        <v>7</v>
      </c>
      <c r="O129" s="247" t="s">
        <v>8</v>
      </c>
      <c r="P129" s="247" t="s">
        <v>9</v>
      </c>
    </row>
    <row r="130" spans="2:16" ht="30.6">
      <c r="B130" s="243"/>
      <c r="C130" s="237"/>
      <c r="D130" s="237"/>
      <c r="E130" s="34" t="s">
        <v>14</v>
      </c>
      <c r="F130" s="34" t="s">
        <v>13</v>
      </c>
      <c r="G130" s="35" t="s">
        <v>20</v>
      </c>
      <c r="H130" s="235"/>
      <c r="I130" s="235"/>
      <c r="J130" s="239"/>
      <c r="K130" s="239"/>
      <c r="L130" s="241"/>
      <c r="M130" s="230"/>
      <c r="N130" s="248"/>
      <c r="O130" s="248"/>
      <c r="P130" s="248"/>
    </row>
    <row r="131" spans="2:16">
      <c r="B131" s="11">
        <v>20</v>
      </c>
      <c r="C131" s="5">
        <f>69*(S/69)^((50/B131)^0.458203)</f>
        <v>10.481759685277138</v>
      </c>
      <c r="D131" s="11">
        <f>D113</f>
        <v>2250</v>
      </c>
      <c r="E131" s="3"/>
      <c r="F131" s="3"/>
      <c r="G131" s="2"/>
      <c r="H131" s="3"/>
      <c r="I131" s="3"/>
      <c r="J131" s="3"/>
      <c r="K131" s="3"/>
      <c r="L131" s="3"/>
      <c r="M131" s="3"/>
      <c r="N131" s="3"/>
      <c r="O131" s="3"/>
      <c r="P131" s="9"/>
    </row>
    <row r="132" spans="2:16">
      <c r="B132" s="9">
        <v>20</v>
      </c>
      <c r="C132" s="6">
        <f t="shared" ref="C132:C144" si="40">69*(S/69)^((50/B132)^0.458203)</f>
        <v>10.481759685277138</v>
      </c>
      <c r="D132" s="7">
        <f>100^2/(Fw*C132)^2</f>
        <v>1880.5558741121929</v>
      </c>
      <c r="E132" s="6">
        <f>$E$5+$E$6*C132+$E$7*1/SQRT(D132)</f>
        <v>11.865505453406001</v>
      </c>
      <c r="F132" s="6">
        <f>$F$5+$F$6*C132*LN(E132)+$F$7*LN(E132)</f>
        <v>8.6043146121524305</v>
      </c>
      <c r="G132" s="6">
        <f>$G$5*E132^$G$6*F132^$G$7</f>
        <v>5.0187583267485528E-2</v>
      </c>
      <c r="H132" s="6">
        <f>PI()/4*(E132/100)^2*D132</f>
        <v>20.794506085127242</v>
      </c>
      <c r="I132" s="8"/>
      <c r="J132" s="7"/>
      <c r="K132" s="6"/>
      <c r="L132" s="6"/>
      <c r="M132" s="8"/>
      <c r="N132" s="6"/>
      <c r="O132" s="9"/>
      <c r="P132" s="9"/>
    </row>
    <row r="133" spans="2:16">
      <c r="B133" s="9">
        <f>B132+5</f>
        <v>25</v>
      </c>
      <c r="C133" s="6">
        <f t="shared" si="40"/>
        <v>12.588597161106906</v>
      </c>
      <c r="D133" s="7">
        <f t="shared" ref="D133:D140" si="41">100^2/(Fw*C133)^2</f>
        <v>1303.7669448571842</v>
      </c>
      <c r="E133" s="6">
        <f t="shared" ref="E133:E143" si="42">$E$5+$E$6*C133+$E$7*1/SQRT(D133)</f>
        <v>15.128184601892878</v>
      </c>
      <c r="F133" s="6">
        <f t="shared" ref="F133:F144" si="43">$F$5+$F$6*C133*LN(E133)+$F$7*LN(E133)</f>
        <v>10.629751910002412</v>
      </c>
      <c r="G133" s="6">
        <f t="shared" ref="G133:G144" si="44">$G$5*E133^$G$6*F133^$G$7</f>
        <v>9.8700900921528903E-2</v>
      </c>
      <c r="H133" s="6">
        <f t="shared" ref="H133:H144" si="45">PI()/4*(E133/100)^2*D133</f>
        <v>23.434920145693543</v>
      </c>
      <c r="I133" s="10"/>
      <c r="J133" s="7"/>
      <c r="K133" s="6"/>
      <c r="L133" s="6"/>
      <c r="M133" s="6"/>
      <c r="N133" s="6"/>
      <c r="O133" s="6"/>
      <c r="P133" s="9"/>
    </row>
    <row r="134" spans="2:16">
      <c r="B134" s="9">
        <f t="shared" ref="B134:B144" si="46">B133+5</f>
        <v>30</v>
      </c>
      <c r="C134" s="6">
        <f t="shared" si="40"/>
        <v>14.427627783791582</v>
      </c>
      <c r="D134" s="27">
        <f t="shared" si="41"/>
        <v>992.5783069984999</v>
      </c>
      <c r="E134" s="6">
        <f t="shared" si="42"/>
        <v>17.976134163687622</v>
      </c>
      <c r="F134" s="6">
        <f t="shared" si="43"/>
        <v>12.395740757429095</v>
      </c>
      <c r="G134" s="6">
        <f t="shared" si="44"/>
        <v>0.16002740252427777</v>
      </c>
      <c r="H134" s="6">
        <f t="shared" si="45"/>
        <v>25.1911075597848</v>
      </c>
      <c r="I134" s="10"/>
      <c r="J134" s="14"/>
      <c r="K134" s="15"/>
      <c r="L134" s="15"/>
      <c r="M134" s="6"/>
      <c r="N134" s="6"/>
      <c r="O134" s="6"/>
      <c r="P134" s="9"/>
    </row>
    <row r="135" spans="2:16">
      <c r="B135" s="9">
        <f t="shared" si="46"/>
        <v>35</v>
      </c>
      <c r="C135" s="6">
        <f t="shared" si="40"/>
        <v>16.052560628026367</v>
      </c>
      <c r="D135" s="27">
        <f t="shared" si="41"/>
        <v>801.7999053489583</v>
      </c>
      <c r="E135" s="6">
        <f t="shared" si="42"/>
        <v>20.492528792793163</v>
      </c>
      <c r="F135" s="6">
        <f t="shared" si="43"/>
        <v>13.963349002197235</v>
      </c>
      <c r="G135" s="6">
        <f t="shared" si="44"/>
        <v>0.23145407601626802</v>
      </c>
      <c r="H135" s="6">
        <f t="shared" si="45"/>
        <v>26.445208164349964</v>
      </c>
      <c r="I135" s="29"/>
      <c r="J135" s="20"/>
      <c r="K135" s="21"/>
      <c r="L135" s="21"/>
      <c r="M135" s="13"/>
      <c r="N135" s="6"/>
      <c r="O135" s="6"/>
      <c r="P135" s="9"/>
    </row>
    <row r="136" spans="2:16">
      <c r="B136" s="9">
        <f t="shared" si="46"/>
        <v>40</v>
      </c>
      <c r="C136" s="6">
        <f t="shared" si="40"/>
        <v>17.503752121943602</v>
      </c>
      <c r="D136" s="27">
        <f t="shared" si="41"/>
        <v>674.36081898142515</v>
      </c>
      <c r="E136" s="6">
        <f t="shared" si="42"/>
        <v>22.739865040597717</v>
      </c>
      <c r="F136" s="6">
        <f t="shared" si="43"/>
        <v>15.372096846711377</v>
      </c>
      <c r="G136" s="6">
        <f t="shared" si="44"/>
        <v>0.31068635500491759</v>
      </c>
      <c r="H136" s="6">
        <f t="shared" si="45"/>
        <v>27.387852262074382</v>
      </c>
      <c r="I136" s="29"/>
      <c r="J136" s="20"/>
      <c r="K136" s="21"/>
      <c r="L136" s="21"/>
      <c r="M136" s="13"/>
      <c r="N136" s="6"/>
      <c r="O136" s="6"/>
      <c r="P136" s="9"/>
    </row>
    <row r="137" spans="2:16">
      <c r="B137" s="9">
        <f t="shared" si="46"/>
        <v>45</v>
      </c>
      <c r="C137" s="6">
        <f t="shared" si="40"/>
        <v>18.811742929002914</v>
      </c>
      <c r="D137" s="27">
        <f t="shared" si="41"/>
        <v>583.84365899637112</v>
      </c>
      <c r="E137" s="6">
        <f t="shared" si="42"/>
        <v>24.765438622596101</v>
      </c>
      <c r="F137" s="6">
        <f t="shared" si="43"/>
        <v>16.650094131831352</v>
      </c>
      <c r="G137" s="6">
        <f t="shared" si="44"/>
        <v>0.39586639182154898</v>
      </c>
      <c r="H137" s="6">
        <f t="shared" si="45"/>
        <v>28.124091199395828</v>
      </c>
      <c r="I137" s="10"/>
      <c r="J137" s="17"/>
      <c r="K137" s="18"/>
      <c r="L137" s="18"/>
      <c r="M137" s="6"/>
      <c r="N137" s="6"/>
      <c r="O137" s="6"/>
      <c r="P137" s="9"/>
    </row>
    <row r="138" spans="2:16">
      <c r="B138" s="9">
        <f t="shared" si="46"/>
        <v>50</v>
      </c>
      <c r="C138" s="6">
        <f t="shared" si="40"/>
        <v>20</v>
      </c>
      <c r="D138" s="7">
        <f t="shared" si="41"/>
        <v>516.52892561983458</v>
      </c>
      <c r="E138" s="6">
        <f t="shared" si="42"/>
        <v>26.605590800000002</v>
      </c>
      <c r="F138" s="6">
        <f t="shared" si="43"/>
        <v>17.818388494486186</v>
      </c>
      <c r="G138" s="6">
        <f t="shared" si="44"/>
        <v>0.48551477438667334</v>
      </c>
      <c r="H138" s="6">
        <f t="shared" si="45"/>
        <v>28.716423060861885</v>
      </c>
      <c r="I138" s="10"/>
      <c r="J138" s="7"/>
      <c r="K138" s="6"/>
      <c r="L138" s="6"/>
      <c r="M138" s="6"/>
      <c r="N138" s="6"/>
      <c r="O138" s="6"/>
      <c r="P138" s="9"/>
    </row>
    <row r="139" spans="2:16">
      <c r="B139" s="9">
        <f t="shared" si="46"/>
        <v>55</v>
      </c>
      <c r="C139" s="6">
        <f t="shared" si="40"/>
        <v>21.086856222839685</v>
      </c>
      <c r="D139" s="7">
        <f t="shared" si="41"/>
        <v>464.65537423043355</v>
      </c>
      <c r="E139" s="6">
        <f t="shared" si="42"/>
        <v>28.28871214957902</v>
      </c>
      <c r="F139" s="6">
        <f t="shared" si="43"/>
        <v>18.893267342152562</v>
      </c>
      <c r="G139" s="6">
        <f t="shared" si="44"/>
        <v>0.57846001104158673</v>
      </c>
      <c r="H139" s="6">
        <f t="shared" si="45"/>
        <v>29.204326762613736</v>
      </c>
      <c r="I139" s="10"/>
      <c r="J139" s="7"/>
      <c r="K139" s="6"/>
      <c r="L139" s="6"/>
      <c r="M139" s="6"/>
      <c r="N139" s="6"/>
      <c r="O139" s="6"/>
      <c r="P139" s="9"/>
    </row>
    <row r="140" spans="2:16">
      <c r="B140" s="9">
        <f t="shared" si="46"/>
        <v>60</v>
      </c>
      <c r="C140" s="6">
        <f t="shared" si="40"/>
        <v>22.086862554132061</v>
      </c>
      <c r="D140" s="7">
        <f t="shared" si="41"/>
        <v>423.53234339675333</v>
      </c>
      <c r="E140" s="6">
        <f t="shared" si="42"/>
        <v>29.837336494310446</v>
      </c>
      <c r="F140" s="6">
        <f t="shared" si="43"/>
        <v>19.887637379043554</v>
      </c>
      <c r="G140" s="6">
        <f t="shared" si="44"/>
        <v>0.67377509744870367</v>
      </c>
      <c r="H140" s="6">
        <f t="shared" si="45"/>
        <v>29.613965548722863</v>
      </c>
      <c r="I140" s="10"/>
      <c r="J140" s="7"/>
      <c r="K140" s="6"/>
      <c r="L140" s="6"/>
      <c r="M140" s="6"/>
      <c r="N140" s="6"/>
      <c r="O140" s="6"/>
      <c r="P140" s="9"/>
    </row>
    <row r="141" spans="2:16">
      <c r="B141" s="9">
        <f t="shared" si="46"/>
        <v>65</v>
      </c>
      <c r="C141" s="6">
        <f t="shared" si="40"/>
        <v>23.0117374271118</v>
      </c>
      <c r="D141" s="7">
        <f>D140</f>
        <v>423.53234339675333</v>
      </c>
      <c r="E141" s="6">
        <f t="shared" si="42"/>
        <v>30.776361952846774</v>
      </c>
      <c r="F141" s="6">
        <f t="shared" si="43"/>
        <v>20.715003315405443</v>
      </c>
      <c r="G141" s="6">
        <f t="shared" si="44"/>
        <v>0.74307180688891794</v>
      </c>
      <c r="H141" s="6">
        <f t="shared" si="45"/>
        <v>31.507288124707291</v>
      </c>
      <c r="I141" s="10"/>
      <c r="J141" s="7"/>
      <c r="K141" s="6"/>
      <c r="L141" s="6"/>
      <c r="M141" s="6"/>
      <c r="N141" s="6"/>
      <c r="O141" s="6"/>
      <c r="P141" s="9"/>
    </row>
    <row r="142" spans="2:16">
      <c r="B142" s="9">
        <f t="shared" si="46"/>
        <v>70</v>
      </c>
      <c r="C142" s="6">
        <f t="shared" si="40"/>
        <v>23.871042959485663</v>
      </c>
      <c r="D142" s="7">
        <f t="shared" ref="D142:D144" si="47">D141</f>
        <v>423.53234339675333</v>
      </c>
      <c r="E142" s="6">
        <f t="shared" si="42"/>
        <v>31.648814859865961</v>
      </c>
      <c r="F142" s="6">
        <f t="shared" si="43"/>
        <v>21.488914792334128</v>
      </c>
      <c r="G142" s="6">
        <f t="shared" si="44"/>
        <v>0.81161860741316261</v>
      </c>
      <c r="H142" s="6">
        <f t="shared" si="45"/>
        <v>33.318954557886357</v>
      </c>
      <c r="I142" s="10"/>
      <c r="J142" s="7"/>
      <c r="K142" s="6"/>
      <c r="L142" s="6"/>
      <c r="M142" s="6"/>
      <c r="N142" s="6"/>
      <c r="O142" s="6"/>
      <c r="P142" s="9"/>
    </row>
    <row r="143" spans="2:16">
      <c r="B143" s="9">
        <f t="shared" si="46"/>
        <v>75</v>
      </c>
      <c r="C143" s="6">
        <f t="shared" si="40"/>
        <v>24.672674449388651</v>
      </c>
      <c r="D143" s="7">
        <f t="shared" si="47"/>
        <v>423.53234339675333</v>
      </c>
      <c r="E143" s="6">
        <f t="shared" si="42"/>
        <v>32.462711311564462</v>
      </c>
      <c r="F143" s="6">
        <f t="shared" si="43"/>
        <v>22.215274797617578</v>
      </c>
      <c r="G143" s="6">
        <f t="shared" si="44"/>
        <v>0.87929263204158437</v>
      </c>
      <c r="H143" s="6">
        <f t="shared" si="45"/>
        <v>35.054682812332693</v>
      </c>
      <c r="I143" s="10"/>
      <c r="J143" s="7"/>
      <c r="K143" s="6"/>
      <c r="L143" s="6"/>
      <c r="M143" s="6"/>
      <c r="N143" s="6"/>
      <c r="O143" s="6"/>
      <c r="P143" s="9"/>
    </row>
    <row r="144" spans="2:16">
      <c r="B144" s="9">
        <f t="shared" si="46"/>
        <v>80</v>
      </c>
      <c r="C144" s="6">
        <f t="shared" si="40"/>
        <v>25.423220508157669</v>
      </c>
      <c r="D144" s="7">
        <f t="shared" si="47"/>
        <v>423.53234339675333</v>
      </c>
      <c r="E144" s="6">
        <f>$E$5+$E$6*C144+$E$7*1/SQRT(D144)</f>
        <v>33.224740725032646</v>
      </c>
      <c r="F144" s="6">
        <f t="shared" si="43"/>
        <v>22.899090598484158</v>
      </c>
      <c r="G144" s="6">
        <f t="shared" si="44"/>
        <v>0.94600779472163588</v>
      </c>
      <c r="H144" s="6">
        <f t="shared" si="45"/>
        <v>36.719745595549462</v>
      </c>
      <c r="I144" s="10"/>
      <c r="J144" s="7"/>
      <c r="K144" s="6"/>
      <c r="L144" s="6"/>
      <c r="M144" s="6"/>
      <c r="N144" s="6"/>
      <c r="O144" s="6"/>
      <c r="P144" s="9"/>
    </row>
    <row r="146" spans="2:16" ht="15" customHeight="1">
      <c r="C146" s="244" t="s">
        <v>22</v>
      </c>
      <c r="D146" s="244"/>
      <c r="E146" s="244"/>
      <c r="F146" s="244"/>
      <c r="G146" s="244"/>
      <c r="H146" s="244"/>
      <c r="I146" s="244"/>
      <c r="J146" s="245" t="s">
        <v>11</v>
      </c>
      <c r="K146" s="245"/>
      <c r="L146" s="245"/>
      <c r="M146" s="230" t="s">
        <v>6</v>
      </c>
      <c r="N146" s="246" t="s">
        <v>23</v>
      </c>
      <c r="O146" s="246"/>
      <c r="P146" s="246"/>
    </row>
    <row r="147" spans="2:16" ht="14.4" customHeight="1">
      <c r="B147" s="242" t="s">
        <v>0</v>
      </c>
      <c r="C147" s="236" t="s">
        <v>12</v>
      </c>
      <c r="D147" s="236" t="s">
        <v>2</v>
      </c>
      <c r="E147" s="231" t="s">
        <v>21</v>
      </c>
      <c r="F147" s="232"/>
      <c r="G147" s="233"/>
      <c r="H147" s="234" t="s">
        <v>15</v>
      </c>
      <c r="I147" s="234" t="s">
        <v>16</v>
      </c>
      <c r="J147" s="238" t="s">
        <v>4</v>
      </c>
      <c r="K147" s="238" t="s">
        <v>5</v>
      </c>
      <c r="L147" s="240" t="s">
        <v>17</v>
      </c>
      <c r="M147" s="230"/>
      <c r="N147" s="247" t="s">
        <v>7</v>
      </c>
      <c r="O147" s="247" t="s">
        <v>8</v>
      </c>
      <c r="P147" s="247" t="s">
        <v>9</v>
      </c>
    </row>
    <row r="148" spans="2:16" ht="30.6">
      <c r="B148" s="243"/>
      <c r="C148" s="237"/>
      <c r="D148" s="237"/>
      <c r="E148" s="34" t="s">
        <v>14</v>
      </c>
      <c r="F148" s="34" t="s">
        <v>13</v>
      </c>
      <c r="G148" s="35" t="s">
        <v>20</v>
      </c>
      <c r="H148" s="235"/>
      <c r="I148" s="235"/>
      <c r="J148" s="239"/>
      <c r="K148" s="239"/>
      <c r="L148" s="241"/>
      <c r="M148" s="230"/>
      <c r="N148" s="248"/>
      <c r="O148" s="248"/>
      <c r="P148" s="248"/>
    </row>
    <row r="149" spans="2:16">
      <c r="B149" s="11">
        <v>20</v>
      </c>
      <c r="C149" s="5">
        <f>69*(S/69)^((50/B149)^0.458203)</f>
        <v>10.481759685277138</v>
      </c>
      <c r="D149" s="11">
        <f>D131</f>
        <v>2250</v>
      </c>
      <c r="E149" s="3"/>
      <c r="F149" s="3"/>
      <c r="G149" s="2"/>
      <c r="H149" s="3"/>
      <c r="I149" s="3"/>
      <c r="J149" s="3"/>
      <c r="K149" s="3"/>
      <c r="L149" s="3"/>
      <c r="M149" s="3"/>
      <c r="N149" s="3"/>
      <c r="O149" s="3"/>
      <c r="P149" s="9"/>
    </row>
    <row r="150" spans="2:16">
      <c r="B150" s="9">
        <v>20</v>
      </c>
      <c r="C150" s="6">
        <f t="shared" ref="C150:C162" si="48">69*(S/69)^((50/B150)^0.458203)</f>
        <v>10.481759685277138</v>
      </c>
      <c r="D150" s="7">
        <f>100^2/(Fw*C150)^2</f>
        <v>1880.5558741121929</v>
      </c>
      <c r="E150" s="6">
        <f>$E$5+$E$6*C150+$E$7*1/SQRT(D150)</f>
        <v>11.865505453406001</v>
      </c>
      <c r="F150" s="6">
        <f>$F$5+$F$6*C150*LN(E150)+$F$7*LN(E150)</f>
        <v>8.6043146121524305</v>
      </c>
      <c r="G150" s="6">
        <f>$G$5*E150^$G$6*F150^$G$7</f>
        <v>5.0187583267485528E-2</v>
      </c>
      <c r="H150" s="6">
        <f t="shared" ref="H150:H162" si="49">PI()/4*(E150/100)^2*D150</f>
        <v>20.794506085127242</v>
      </c>
      <c r="I150" s="10">
        <f>G150*D150</f>
        <v>94.380554521164711</v>
      </c>
      <c r="J150" s="7"/>
      <c r="K150" s="6"/>
      <c r="L150" s="6"/>
      <c r="M150" s="8"/>
      <c r="N150" s="6"/>
      <c r="O150" s="9"/>
      <c r="P150" s="9"/>
    </row>
    <row r="151" spans="2:16">
      <c r="B151" s="9">
        <f>B150+5</f>
        <v>25</v>
      </c>
      <c r="C151" s="6">
        <f t="shared" si="48"/>
        <v>12.588597161106906</v>
      </c>
      <c r="D151" s="7">
        <f t="shared" ref="D151:D158" si="50">100^2/(Fw*C151)^2</f>
        <v>1303.7669448571842</v>
      </c>
      <c r="E151" s="6">
        <f t="shared" ref="E151:E161" si="51">$E$5+$E$6*C151+$E$7*1/SQRT(D151)</f>
        <v>15.128184601892878</v>
      </c>
      <c r="F151" s="6">
        <f t="shared" ref="F151:F162" si="52">$F$5+$F$6*C151*LN(E151)+$F$7*LN(E151)</f>
        <v>10.629751910002412</v>
      </c>
      <c r="G151" s="6">
        <f t="shared" ref="G151:G162" si="53">$G$5*E151^$G$6*F151^$G$7</f>
        <v>9.8700900921528903E-2</v>
      </c>
      <c r="H151" s="6">
        <f t="shared" si="49"/>
        <v>23.434920145693543</v>
      </c>
      <c r="I151" s="10">
        <f>G151*D151</f>
        <v>128.68297204911337</v>
      </c>
      <c r="J151" s="7"/>
      <c r="K151" s="15"/>
      <c r="L151" s="15"/>
      <c r="M151" s="6"/>
      <c r="N151" s="6"/>
      <c r="O151" s="6"/>
      <c r="P151" s="9"/>
    </row>
    <row r="152" spans="2:16">
      <c r="B152" s="9">
        <f t="shared" ref="B152:B162" si="54">B151+5</f>
        <v>30</v>
      </c>
      <c r="C152" s="6">
        <f t="shared" si="48"/>
        <v>14.427627783791582</v>
      </c>
      <c r="D152" s="27">
        <f t="shared" si="50"/>
        <v>992.5783069984999</v>
      </c>
      <c r="E152" s="6">
        <f t="shared" si="51"/>
        <v>17.976134163687622</v>
      </c>
      <c r="F152" s="6">
        <f t="shared" si="52"/>
        <v>12.395740757429095</v>
      </c>
      <c r="G152" s="6">
        <f t="shared" si="53"/>
        <v>0.16002740252427777</v>
      </c>
      <c r="H152" s="6">
        <f t="shared" si="49"/>
        <v>25.1911075597848</v>
      </c>
      <c r="I152" s="10">
        <f t="shared" ref="I152:I162" si="55">G152*D152</f>
        <v>158.83972827091509</v>
      </c>
      <c r="J152" s="27"/>
      <c r="K152" s="21"/>
      <c r="L152" s="21"/>
      <c r="M152" s="13"/>
      <c r="N152" s="6"/>
      <c r="O152" s="6"/>
      <c r="P152" s="9"/>
    </row>
    <row r="153" spans="2:16">
      <c r="B153" s="9">
        <f t="shared" si="54"/>
        <v>35</v>
      </c>
      <c r="C153" s="6">
        <f t="shared" si="48"/>
        <v>16.052560628026367</v>
      </c>
      <c r="D153" s="27">
        <f t="shared" si="50"/>
        <v>801.7999053489583</v>
      </c>
      <c r="E153" s="6">
        <f t="shared" si="51"/>
        <v>20.492528792793163</v>
      </c>
      <c r="F153" s="6">
        <f t="shared" si="52"/>
        <v>13.963349002197235</v>
      </c>
      <c r="G153" s="6">
        <f t="shared" si="53"/>
        <v>0.23145407601626802</v>
      </c>
      <c r="H153" s="6">
        <f t="shared" si="49"/>
        <v>26.445208164349964</v>
      </c>
      <c r="I153" s="10">
        <f t="shared" si="55"/>
        <v>185.57985624247431</v>
      </c>
      <c r="J153" s="27"/>
      <c r="K153" s="21"/>
      <c r="L153" s="21"/>
      <c r="M153" s="13"/>
      <c r="N153" s="6"/>
      <c r="O153" s="6"/>
      <c r="P153" s="9"/>
    </row>
    <row r="154" spans="2:16">
      <c r="B154" s="9">
        <f t="shared" si="54"/>
        <v>40</v>
      </c>
      <c r="C154" s="6">
        <f t="shared" si="48"/>
        <v>17.503752121943602</v>
      </c>
      <c r="D154" s="27">
        <f t="shared" si="50"/>
        <v>674.36081898142515</v>
      </c>
      <c r="E154" s="6">
        <f t="shared" si="51"/>
        <v>22.739865040597717</v>
      </c>
      <c r="F154" s="6">
        <f t="shared" si="52"/>
        <v>15.372096846711377</v>
      </c>
      <c r="G154" s="6">
        <f t="shared" si="53"/>
        <v>0.31068635500491759</v>
      </c>
      <c r="H154" s="6">
        <f t="shared" si="49"/>
        <v>27.387852262074382</v>
      </c>
      <c r="I154" s="10">
        <f t="shared" si="55"/>
        <v>209.51470480747003</v>
      </c>
      <c r="J154" s="7"/>
      <c r="K154" s="18"/>
      <c r="L154" s="18"/>
      <c r="M154" s="6"/>
      <c r="N154" s="6"/>
      <c r="O154" s="6"/>
      <c r="P154" s="9"/>
    </row>
    <row r="155" spans="2:16">
      <c r="B155" s="9">
        <f t="shared" si="54"/>
        <v>45</v>
      </c>
      <c r="C155" s="6">
        <f t="shared" si="48"/>
        <v>18.811742929002914</v>
      </c>
      <c r="D155" s="27">
        <f t="shared" si="50"/>
        <v>583.84365899637112</v>
      </c>
      <c r="E155" s="6">
        <f t="shared" si="51"/>
        <v>24.765438622596101</v>
      </c>
      <c r="F155" s="6">
        <f t="shared" si="52"/>
        <v>16.650094131831352</v>
      </c>
      <c r="G155" s="6">
        <f t="shared" si="53"/>
        <v>0.39586639182154898</v>
      </c>
      <c r="H155" s="6">
        <f t="shared" si="49"/>
        <v>28.124091199395828</v>
      </c>
      <c r="I155" s="10">
        <f t="shared" si="55"/>
        <v>231.12408267478429</v>
      </c>
      <c r="J155" s="7"/>
      <c r="K155" s="6"/>
      <c r="L155" s="6"/>
      <c r="M155" s="6"/>
      <c r="N155" s="6"/>
      <c r="O155" s="6"/>
      <c r="P155" s="9"/>
    </row>
    <row r="156" spans="2:16">
      <c r="B156" s="9">
        <f t="shared" si="54"/>
        <v>50</v>
      </c>
      <c r="C156" s="6">
        <f t="shared" si="48"/>
        <v>20</v>
      </c>
      <c r="D156" s="7">
        <f t="shared" si="50"/>
        <v>516.52892561983458</v>
      </c>
      <c r="E156" s="6">
        <f t="shared" si="51"/>
        <v>26.605590800000002</v>
      </c>
      <c r="F156" s="6">
        <f t="shared" si="52"/>
        <v>17.818388494486186</v>
      </c>
      <c r="G156" s="6">
        <f t="shared" si="53"/>
        <v>0.48551477438667334</v>
      </c>
      <c r="H156" s="6">
        <f t="shared" si="49"/>
        <v>28.716423060861885</v>
      </c>
      <c r="I156" s="10">
        <f t="shared" si="55"/>
        <v>250.78242478650478</v>
      </c>
      <c r="J156" s="7"/>
      <c r="K156" s="6"/>
      <c r="L156" s="6"/>
      <c r="M156" s="6"/>
      <c r="N156" s="6"/>
      <c r="O156" s="6"/>
      <c r="P156" s="9"/>
    </row>
    <row r="157" spans="2:16">
      <c r="B157" s="9">
        <f t="shared" si="54"/>
        <v>55</v>
      </c>
      <c r="C157" s="6">
        <f t="shared" si="48"/>
        <v>21.086856222839685</v>
      </c>
      <c r="D157" s="7">
        <f t="shared" si="50"/>
        <v>464.65537423043355</v>
      </c>
      <c r="E157" s="6">
        <f t="shared" si="51"/>
        <v>28.28871214957902</v>
      </c>
      <c r="F157" s="6">
        <f t="shared" si="52"/>
        <v>18.893267342152562</v>
      </c>
      <c r="G157" s="6">
        <f t="shared" si="53"/>
        <v>0.57846001104158673</v>
      </c>
      <c r="H157" s="6">
        <f t="shared" si="49"/>
        <v>29.204326762613736</v>
      </c>
      <c r="I157" s="10">
        <f t="shared" si="55"/>
        <v>268.78455290786923</v>
      </c>
      <c r="J157" s="7"/>
      <c r="K157" s="6"/>
      <c r="L157" s="6"/>
      <c r="M157" s="6"/>
      <c r="N157" s="6"/>
      <c r="O157" s="6"/>
      <c r="P157" s="9"/>
    </row>
    <row r="158" spans="2:16">
      <c r="B158" s="9">
        <f t="shared" si="54"/>
        <v>60</v>
      </c>
      <c r="C158" s="6">
        <f t="shared" si="48"/>
        <v>22.086862554132061</v>
      </c>
      <c r="D158" s="7">
        <f t="shared" si="50"/>
        <v>423.53234339675333</v>
      </c>
      <c r="E158" s="6">
        <f t="shared" si="51"/>
        <v>29.837336494310446</v>
      </c>
      <c r="F158" s="6">
        <f t="shared" si="52"/>
        <v>19.887637379043554</v>
      </c>
      <c r="G158" s="6">
        <f t="shared" si="53"/>
        <v>0.67377509744870367</v>
      </c>
      <c r="H158" s="6">
        <f t="shared" si="49"/>
        <v>29.613965548722863</v>
      </c>
      <c r="I158" s="10">
        <f t="shared" si="55"/>
        <v>285.36554594482533</v>
      </c>
      <c r="J158" s="7"/>
      <c r="K158" s="6"/>
      <c r="L158" s="6"/>
      <c r="M158" s="6"/>
      <c r="N158" s="6"/>
      <c r="O158" s="6"/>
      <c r="P158" s="9"/>
    </row>
    <row r="159" spans="2:16">
      <c r="B159" s="9">
        <f t="shared" si="54"/>
        <v>65</v>
      </c>
      <c r="C159" s="6">
        <f t="shared" si="48"/>
        <v>23.0117374271118</v>
      </c>
      <c r="D159" s="7">
        <f>D158</f>
        <v>423.53234339675333</v>
      </c>
      <c r="E159" s="6">
        <f t="shared" si="51"/>
        <v>30.776361952846774</v>
      </c>
      <c r="F159" s="6">
        <f t="shared" si="52"/>
        <v>20.715003315405443</v>
      </c>
      <c r="G159" s="6">
        <f t="shared" si="53"/>
        <v>0.74307180688891794</v>
      </c>
      <c r="H159" s="6">
        <f t="shared" si="49"/>
        <v>31.507288124707291</v>
      </c>
      <c r="I159" s="10">
        <f t="shared" si="55"/>
        <v>314.71494368372316</v>
      </c>
      <c r="J159" s="7"/>
      <c r="K159" s="6"/>
      <c r="L159" s="6"/>
      <c r="M159" s="6"/>
      <c r="N159" s="6"/>
      <c r="O159" s="6"/>
      <c r="P159" s="9"/>
    </row>
    <row r="160" spans="2:16">
      <c r="B160" s="9">
        <f t="shared" si="54"/>
        <v>70</v>
      </c>
      <c r="C160" s="6">
        <f t="shared" si="48"/>
        <v>23.871042959485663</v>
      </c>
      <c r="D160" s="7">
        <f t="shared" ref="D160:D162" si="56">D159</f>
        <v>423.53234339675333</v>
      </c>
      <c r="E160" s="6">
        <f t="shared" si="51"/>
        <v>31.648814859865961</v>
      </c>
      <c r="F160" s="6">
        <f t="shared" si="52"/>
        <v>21.488914792334128</v>
      </c>
      <c r="G160" s="6">
        <f t="shared" si="53"/>
        <v>0.81161860741316261</v>
      </c>
      <c r="H160" s="6">
        <f t="shared" si="49"/>
        <v>33.318954557886357</v>
      </c>
      <c r="I160" s="10">
        <f t="shared" si="55"/>
        <v>343.74673074210631</v>
      </c>
      <c r="J160" s="7"/>
      <c r="K160" s="6"/>
      <c r="L160" s="6"/>
      <c r="M160" s="6"/>
      <c r="N160" s="6"/>
      <c r="O160" s="6"/>
      <c r="P160" s="9"/>
    </row>
    <row r="161" spans="2:16">
      <c r="B161" s="9">
        <f t="shared" si="54"/>
        <v>75</v>
      </c>
      <c r="C161" s="6">
        <f t="shared" si="48"/>
        <v>24.672674449388651</v>
      </c>
      <c r="D161" s="7">
        <f t="shared" si="56"/>
        <v>423.53234339675333</v>
      </c>
      <c r="E161" s="6">
        <f t="shared" si="51"/>
        <v>32.462711311564462</v>
      </c>
      <c r="F161" s="6">
        <f t="shared" si="52"/>
        <v>22.215274797617578</v>
      </c>
      <c r="G161" s="6">
        <f t="shared" si="53"/>
        <v>0.87929263204158437</v>
      </c>
      <c r="H161" s="6">
        <f t="shared" si="49"/>
        <v>35.054682812332693</v>
      </c>
      <c r="I161" s="10">
        <f t="shared" si="55"/>
        <v>372.40886898007136</v>
      </c>
      <c r="J161" s="7"/>
      <c r="K161" s="6"/>
      <c r="L161" s="6"/>
      <c r="M161" s="6"/>
      <c r="N161" s="6"/>
      <c r="O161" s="6"/>
      <c r="P161" s="9"/>
    </row>
    <row r="162" spans="2:16">
      <c r="B162" s="9">
        <f t="shared" si="54"/>
        <v>80</v>
      </c>
      <c r="C162" s="6">
        <f t="shared" si="48"/>
        <v>25.423220508157669</v>
      </c>
      <c r="D162" s="7">
        <f t="shared" si="56"/>
        <v>423.53234339675333</v>
      </c>
      <c r="E162" s="6">
        <f>$E$5+$E$6*C162+$E$7*1/SQRT(D162)</f>
        <v>33.224740725032646</v>
      </c>
      <c r="F162" s="6">
        <f t="shared" si="52"/>
        <v>22.899090598484158</v>
      </c>
      <c r="G162" s="6">
        <f t="shared" si="53"/>
        <v>0.94600779472163588</v>
      </c>
      <c r="H162" s="6">
        <f t="shared" si="49"/>
        <v>36.719745595549462</v>
      </c>
      <c r="I162" s="10">
        <f t="shared" si="55"/>
        <v>400.66489817004924</v>
      </c>
      <c r="J162" s="7"/>
      <c r="K162" s="6"/>
      <c r="L162" s="6"/>
      <c r="M162" s="6"/>
      <c r="N162" s="6"/>
      <c r="O162" s="6"/>
      <c r="P162" s="9"/>
    </row>
    <row r="164" spans="2:16" ht="15" customHeight="1">
      <c r="C164" s="244" t="s">
        <v>22</v>
      </c>
      <c r="D164" s="244"/>
      <c r="E164" s="244"/>
      <c r="F164" s="244"/>
      <c r="G164" s="244"/>
      <c r="H164" s="244"/>
      <c r="I164" s="244"/>
      <c r="J164" s="245" t="s">
        <v>11</v>
      </c>
      <c r="K164" s="245"/>
      <c r="L164" s="245"/>
      <c r="M164" s="230" t="s">
        <v>6</v>
      </c>
      <c r="N164" s="246" t="s">
        <v>23</v>
      </c>
      <c r="O164" s="246"/>
      <c r="P164" s="246"/>
    </row>
    <row r="165" spans="2:16" ht="14.4" customHeight="1">
      <c r="B165" s="242" t="s">
        <v>0</v>
      </c>
      <c r="C165" s="236" t="s">
        <v>12</v>
      </c>
      <c r="D165" s="236" t="s">
        <v>2</v>
      </c>
      <c r="E165" s="231" t="s">
        <v>21</v>
      </c>
      <c r="F165" s="232"/>
      <c r="G165" s="233"/>
      <c r="H165" s="234" t="s">
        <v>15</v>
      </c>
      <c r="I165" s="234" t="s">
        <v>16</v>
      </c>
      <c r="J165" s="238" t="s">
        <v>4</v>
      </c>
      <c r="K165" s="238" t="s">
        <v>5</v>
      </c>
      <c r="L165" s="240" t="s">
        <v>17</v>
      </c>
      <c r="M165" s="230"/>
      <c r="N165" s="247" t="s">
        <v>7</v>
      </c>
      <c r="O165" s="247" t="s">
        <v>8</v>
      </c>
      <c r="P165" s="247" t="s">
        <v>9</v>
      </c>
    </row>
    <row r="166" spans="2:16" ht="30.6">
      <c r="B166" s="243"/>
      <c r="C166" s="237"/>
      <c r="D166" s="237"/>
      <c r="E166" s="34" t="s">
        <v>14</v>
      </c>
      <c r="F166" s="34" t="s">
        <v>13</v>
      </c>
      <c r="G166" s="35" t="s">
        <v>20</v>
      </c>
      <c r="H166" s="235"/>
      <c r="I166" s="235"/>
      <c r="J166" s="239"/>
      <c r="K166" s="239"/>
      <c r="L166" s="241"/>
      <c r="M166" s="230"/>
      <c r="N166" s="248"/>
      <c r="O166" s="248"/>
      <c r="P166" s="248"/>
    </row>
    <row r="167" spans="2:16">
      <c r="B167" s="11">
        <v>20</v>
      </c>
      <c r="C167" s="5">
        <f>69*(S/69)^((50/B167)^0.458203)</f>
        <v>10.481759685277138</v>
      </c>
      <c r="D167" s="11">
        <f>D149</f>
        <v>2250</v>
      </c>
      <c r="E167" s="3"/>
      <c r="F167" s="3"/>
      <c r="G167" s="2"/>
      <c r="H167" s="3"/>
      <c r="I167" s="3"/>
      <c r="J167" s="3"/>
      <c r="K167" s="3"/>
      <c r="L167" s="3"/>
      <c r="M167" s="3"/>
      <c r="N167" s="3"/>
      <c r="O167" s="4"/>
      <c r="P167" s="9"/>
    </row>
    <row r="168" spans="2:16">
      <c r="B168" s="9">
        <v>20</v>
      </c>
      <c r="C168" s="6">
        <f t="shared" ref="C168:C180" si="57">69*(S/69)^((50/B168)^0.458203)</f>
        <v>10.481759685277138</v>
      </c>
      <c r="D168" s="7">
        <f>100^2/(Fw*C168)^2</f>
        <v>1880.5558741121929</v>
      </c>
      <c r="E168" s="6">
        <f>$E$5+$E$6*C168+$E$7*1/SQRT(D168)</f>
        <v>11.865505453406001</v>
      </c>
      <c r="F168" s="6">
        <f>$F$5+$F$6*C168*LN(E168)+$F$7*LN(E168)</f>
        <v>8.6043146121524305</v>
      </c>
      <c r="G168" s="6">
        <f>$G$5*E168^$G$6*F168^$G$7</f>
        <v>5.0187583267485528E-2</v>
      </c>
      <c r="H168" s="6">
        <f t="shared" ref="H168:H180" si="58">PI()/4*(E168/100)^2*D168</f>
        <v>20.794506085127242</v>
      </c>
      <c r="I168" s="8">
        <f>G168*D168</f>
        <v>94.380554521164711</v>
      </c>
      <c r="J168" s="51"/>
      <c r="K168" s="8"/>
      <c r="L168" s="8"/>
      <c r="M168" s="8">
        <f>I168</f>
        <v>94.380554521164711</v>
      </c>
      <c r="N168" s="6"/>
      <c r="O168" s="31"/>
      <c r="P168" s="9"/>
    </row>
    <row r="169" spans="2:16">
      <c r="B169" s="9">
        <f>B168+5</f>
        <v>25</v>
      </c>
      <c r="C169" s="6">
        <f t="shared" si="57"/>
        <v>12.588597161106906</v>
      </c>
      <c r="D169" s="7">
        <f t="shared" ref="D169:D176" si="59">100^2/(Fw*C169)^2</f>
        <v>1303.7669448571842</v>
      </c>
      <c r="E169" s="6">
        <f t="shared" ref="E169:E179" si="60">$E$5+$E$6*C169+$E$7*1/SQRT(D169)</f>
        <v>15.128184601892878</v>
      </c>
      <c r="F169" s="6">
        <f t="shared" ref="F169:F180" si="61">$F$5+$F$6*C169*LN(E169)+$F$7*LN(E169)</f>
        <v>10.629751910002412</v>
      </c>
      <c r="G169" s="6">
        <f t="shared" ref="G169:G180" si="62">$G$5*E169^$G$6*F169^$G$7</f>
        <v>9.8700900921528903E-2</v>
      </c>
      <c r="H169" s="6">
        <f t="shared" si="58"/>
        <v>23.434920145693543</v>
      </c>
      <c r="I169" s="10">
        <f>G169*D169</f>
        <v>128.68297204911337</v>
      </c>
      <c r="J169" s="7"/>
      <c r="K169" s="6"/>
      <c r="L169" s="6"/>
      <c r="M169" s="6">
        <f>EXP((7.4341+0.0093*S)-(15.1338+0.9646*S)*1/C169)</f>
        <v>132.34588008806645</v>
      </c>
      <c r="N169" s="6"/>
      <c r="O169" s="12"/>
      <c r="P169" s="9"/>
    </row>
    <row r="170" spans="2:16" ht="14.4" customHeight="1">
      <c r="B170" s="9">
        <f t="shared" ref="B170:B180" si="63">B169+5</f>
        <v>30</v>
      </c>
      <c r="C170" s="6">
        <f t="shared" si="57"/>
        <v>14.427627783791582</v>
      </c>
      <c r="D170" s="27">
        <f t="shared" si="59"/>
        <v>992.5783069984999</v>
      </c>
      <c r="E170" s="6">
        <f t="shared" si="60"/>
        <v>17.976134163687622</v>
      </c>
      <c r="F170" s="6">
        <f t="shared" si="61"/>
        <v>12.395740757429095</v>
      </c>
      <c r="G170" s="6">
        <f t="shared" si="62"/>
        <v>0.16002740252427777</v>
      </c>
      <c r="H170" s="6">
        <f t="shared" si="58"/>
        <v>25.1911075597848</v>
      </c>
      <c r="I170" s="10">
        <f t="shared" ref="I170:I180" si="64">G170*D170</f>
        <v>158.83972827091509</v>
      </c>
      <c r="J170" s="7"/>
      <c r="K170" s="6"/>
      <c r="L170" s="6"/>
      <c r="M170" s="6">
        <f>EXP((7.4341+0.0093*S)-(15.1338+0.9646*S)*1/C170)</f>
        <v>187.54098563131191</v>
      </c>
      <c r="N170" s="6"/>
      <c r="O170" s="12"/>
      <c r="P170" s="9"/>
    </row>
    <row r="171" spans="2:16" ht="14.4" customHeight="1">
      <c r="B171" s="9">
        <f t="shared" si="63"/>
        <v>35</v>
      </c>
      <c r="C171" s="6">
        <f t="shared" si="57"/>
        <v>16.052560628026367</v>
      </c>
      <c r="D171" s="27">
        <f t="shared" si="59"/>
        <v>801.7999053489583</v>
      </c>
      <c r="E171" s="6">
        <f t="shared" si="60"/>
        <v>20.492528792793163</v>
      </c>
      <c r="F171" s="6">
        <f t="shared" si="61"/>
        <v>13.963349002197235</v>
      </c>
      <c r="G171" s="6">
        <f t="shared" si="62"/>
        <v>0.23145407601626802</v>
      </c>
      <c r="H171" s="6">
        <f t="shared" si="58"/>
        <v>26.445208164349964</v>
      </c>
      <c r="I171" s="10">
        <f t="shared" si="64"/>
        <v>185.57985624247431</v>
      </c>
      <c r="J171" s="7"/>
      <c r="K171" s="6"/>
      <c r="L171" s="6"/>
      <c r="M171" s="6">
        <f>EXP((7.4341+0.0093*S)-(15.1338+0.9646*S)*1/C171)</f>
        <v>238.77757938861498</v>
      </c>
      <c r="N171" s="6"/>
      <c r="O171" s="12"/>
      <c r="P171" s="9"/>
    </row>
    <row r="172" spans="2:16">
      <c r="B172" s="9">
        <f t="shared" si="63"/>
        <v>40</v>
      </c>
      <c r="C172" s="6">
        <f t="shared" si="57"/>
        <v>17.503752121943602</v>
      </c>
      <c r="D172" s="27">
        <f t="shared" si="59"/>
        <v>674.36081898142515</v>
      </c>
      <c r="E172" s="6">
        <f t="shared" si="60"/>
        <v>22.739865040597717</v>
      </c>
      <c r="F172" s="6">
        <f t="shared" si="61"/>
        <v>15.372096846711377</v>
      </c>
      <c r="G172" s="6">
        <f t="shared" si="62"/>
        <v>0.31068635500491759</v>
      </c>
      <c r="H172" s="6">
        <f t="shared" si="58"/>
        <v>27.387852262074382</v>
      </c>
      <c r="I172" s="10">
        <f t="shared" si="64"/>
        <v>209.51470480747003</v>
      </c>
      <c r="J172" s="14"/>
      <c r="K172" s="15"/>
      <c r="L172" s="15"/>
      <c r="M172" s="15">
        <f>EXP((7.4341+0.0093*S)-(15.1338+0.9646*S)*1/C172)</f>
        <v>285.24062351702526</v>
      </c>
      <c r="N172" s="15"/>
      <c r="O172" s="32"/>
      <c r="P172" s="9"/>
    </row>
    <row r="173" spans="2:16">
      <c r="B173" s="9">
        <f t="shared" si="63"/>
        <v>45</v>
      </c>
      <c r="C173" s="6">
        <f t="shared" si="57"/>
        <v>18.811742929002914</v>
      </c>
      <c r="D173" s="27">
        <f t="shared" si="59"/>
        <v>583.84365899637112</v>
      </c>
      <c r="E173" s="6">
        <f t="shared" si="60"/>
        <v>24.765438622596101</v>
      </c>
      <c r="F173" s="6">
        <f t="shared" si="61"/>
        <v>16.650094131831352</v>
      </c>
      <c r="G173" s="6">
        <f t="shared" si="62"/>
        <v>0.39586639182154898</v>
      </c>
      <c r="H173" s="6">
        <f t="shared" si="58"/>
        <v>28.124091199395828</v>
      </c>
      <c r="I173" s="29">
        <f t="shared" si="64"/>
        <v>231.12408267478429</v>
      </c>
      <c r="J173" s="20"/>
      <c r="K173" s="21"/>
      <c r="L173" s="21"/>
      <c r="M173" s="21"/>
      <c r="N173" s="21"/>
      <c r="O173" s="21"/>
      <c r="P173" s="9"/>
    </row>
    <row r="174" spans="2:16">
      <c r="B174" s="9">
        <f t="shared" si="63"/>
        <v>50</v>
      </c>
      <c r="C174" s="6">
        <f t="shared" si="57"/>
        <v>20</v>
      </c>
      <c r="D174" s="7">
        <f t="shared" si="59"/>
        <v>516.52892561983458</v>
      </c>
      <c r="E174" s="6">
        <f t="shared" si="60"/>
        <v>26.605590800000002</v>
      </c>
      <c r="F174" s="6">
        <f t="shared" si="61"/>
        <v>17.818388494486186</v>
      </c>
      <c r="G174" s="6">
        <f t="shared" si="62"/>
        <v>0.48551477438667334</v>
      </c>
      <c r="H174" s="6">
        <f t="shared" si="58"/>
        <v>28.716423060861885</v>
      </c>
      <c r="I174" s="29">
        <f t="shared" si="64"/>
        <v>250.78242478650478</v>
      </c>
      <c r="J174" s="20"/>
      <c r="K174" s="21"/>
      <c r="L174" s="21"/>
      <c r="M174" s="21"/>
      <c r="N174" s="21"/>
      <c r="O174" s="21"/>
      <c r="P174" s="9"/>
    </row>
    <row r="175" spans="2:16">
      <c r="B175" s="9">
        <f t="shared" si="63"/>
        <v>55</v>
      </c>
      <c r="C175" s="6">
        <f t="shared" si="57"/>
        <v>21.086856222839685</v>
      </c>
      <c r="D175" s="7">
        <f t="shared" si="59"/>
        <v>464.65537423043355</v>
      </c>
      <c r="E175" s="6">
        <f t="shared" si="60"/>
        <v>28.28871214957902</v>
      </c>
      <c r="F175" s="6">
        <f t="shared" si="61"/>
        <v>18.893267342152562</v>
      </c>
      <c r="G175" s="6">
        <f t="shared" si="62"/>
        <v>0.57846001104158673</v>
      </c>
      <c r="H175" s="6">
        <f t="shared" si="58"/>
        <v>29.204326762613736</v>
      </c>
      <c r="I175" s="10">
        <f t="shared" si="64"/>
        <v>268.78455290786923</v>
      </c>
      <c r="J175" s="17"/>
      <c r="K175" s="18"/>
      <c r="L175" s="18"/>
      <c r="M175" s="18">
        <f t="shared" ref="M175:M180" si="65">EXP((7.4341+0.0093*S)-(15.1338+0.9646*S)*1/C175)</f>
        <v>398.42868492296253</v>
      </c>
      <c r="N175" s="18"/>
      <c r="O175" s="33"/>
      <c r="P175" s="9"/>
    </row>
    <row r="176" spans="2:16" ht="14.4" customHeight="1">
      <c r="B176" s="9">
        <f t="shared" si="63"/>
        <v>60</v>
      </c>
      <c r="C176" s="6">
        <f t="shared" si="57"/>
        <v>22.086862554132061</v>
      </c>
      <c r="D176" s="7">
        <f t="shared" si="59"/>
        <v>423.53234339675333</v>
      </c>
      <c r="E176" s="6">
        <f t="shared" si="60"/>
        <v>29.837336494310446</v>
      </c>
      <c r="F176" s="6">
        <f t="shared" si="61"/>
        <v>19.887637379043554</v>
      </c>
      <c r="G176" s="6">
        <f t="shared" si="62"/>
        <v>0.67377509744870367</v>
      </c>
      <c r="H176" s="6">
        <f t="shared" si="58"/>
        <v>29.613965548722863</v>
      </c>
      <c r="I176" s="10">
        <f t="shared" si="64"/>
        <v>285.36554594482533</v>
      </c>
      <c r="J176" s="7"/>
      <c r="K176" s="6"/>
      <c r="L176" s="6"/>
      <c r="M176" s="6">
        <f t="shared" si="65"/>
        <v>428.994862615231</v>
      </c>
      <c r="N176" s="6"/>
      <c r="O176" s="12"/>
      <c r="P176" s="9"/>
    </row>
    <row r="177" spans="2:16">
      <c r="B177" s="9">
        <f t="shared" si="63"/>
        <v>65</v>
      </c>
      <c r="C177" s="6">
        <f t="shared" si="57"/>
        <v>23.0117374271118</v>
      </c>
      <c r="D177" s="7">
        <f>D176</f>
        <v>423.53234339675333</v>
      </c>
      <c r="E177" s="6">
        <f t="shared" si="60"/>
        <v>30.776361952846774</v>
      </c>
      <c r="F177" s="6">
        <f t="shared" si="61"/>
        <v>20.715003315405443</v>
      </c>
      <c r="G177" s="6">
        <f t="shared" si="62"/>
        <v>0.74307180688891794</v>
      </c>
      <c r="H177" s="6">
        <f t="shared" si="58"/>
        <v>31.507288124707291</v>
      </c>
      <c r="I177" s="10">
        <f t="shared" si="64"/>
        <v>314.71494368372316</v>
      </c>
      <c r="J177" s="7"/>
      <c r="K177" s="6"/>
      <c r="L177" s="6"/>
      <c r="M177" s="6">
        <f t="shared" si="65"/>
        <v>456.72868859880003</v>
      </c>
      <c r="N177" s="6"/>
      <c r="O177" s="12"/>
      <c r="P177" s="9"/>
    </row>
    <row r="178" spans="2:16">
      <c r="B178" s="9">
        <f t="shared" si="63"/>
        <v>70</v>
      </c>
      <c r="C178" s="6">
        <f t="shared" si="57"/>
        <v>23.871042959485663</v>
      </c>
      <c r="D178" s="7">
        <f t="shared" ref="D178:D180" si="66">D177</f>
        <v>423.53234339675333</v>
      </c>
      <c r="E178" s="6">
        <f t="shared" si="60"/>
        <v>31.648814859865961</v>
      </c>
      <c r="F178" s="6">
        <f t="shared" si="61"/>
        <v>21.488914792334128</v>
      </c>
      <c r="G178" s="6">
        <f t="shared" si="62"/>
        <v>0.81161860741316261</v>
      </c>
      <c r="H178" s="6">
        <f t="shared" si="58"/>
        <v>33.318954557886357</v>
      </c>
      <c r="I178" s="10">
        <f t="shared" si="64"/>
        <v>343.74673074210631</v>
      </c>
      <c r="J178" s="7"/>
      <c r="K178" s="6"/>
      <c r="L178" s="6"/>
      <c r="M178" s="6">
        <f t="shared" si="65"/>
        <v>481.99929546266407</v>
      </c>
      <c r="N178" s="6"/>
      <c r="O178" s="12"/>
      <c r="P178" s="9"/>
    </row>
    <row r="179" spans="2:16">
      <c r="B179" s="9">
        <f t="shared" si="63"/>
        <v>75</v>
      </c>
      <c r="C179" s="6">
        <f t="shared" si="57"/>
        <v>24.672674449388651</v>
      </c>
      <c r="D179" s="7">
        <f t="shared" si="66"/>
        <v>423.53234339675333</v>
      </c>
      <c r="E179" s="6">
        <f t="shared" si="60"/>
        <v>32.462711311564462</v>
      </c>
      <c r="F179" s="6">
        <f t="shared" si="61"/>
        <v>22.215274797617578</v>
      </c>
      <c r="G179" s="6">
        <f t="shared" si="62"/>
        <v>0.87929263204158437</v>
      </c>
      <c r="H179" s="6">
        <f t="shared" si="58"/>
        <v>35.054682812332693</v>
      </c>
      <c r="I179" s="10">
        <f t="shared" si="64"/>
        <v>372.40886898007136</v>
      </c>
      <c r="J179" s="7"/>
      <c r="K179" s="6"/>
      <c r="L179" s="6"/>
      <c r="M179" s="6">
        <f t="shared" si="65"/>
        <v>505.12165293586969</v>
      </c>
      <c r="N179" s="6"/>
      <c r="O179" s="12"/>
      <c r="P179" s="9"/>
    </row>
    <row r="180" spans="2:16">
      <c r="B180" s="9">
        <f t="shared" si="63"/>
        <v>80</v>
      </c>
      <c r="C180" s="6">
        <f t="shared" si="57"/>
        <v>25.423220508157669</v>
      </c>
      <c r="D180" s="7">
        <f t="shared" si="66"/>
        <v>423.53234339675333</v>
      </c>
      <c r="E180" s="6">
        <f>$E$5+$E$6*C180+$E$7*1/SQRT(D180)</f>
        <v>33.224740725032646</v>
      </c>
      <c r="F180" s="6">
        <f t="shared" si="61"/>
        <v>22.899090598484158</v>
      </c>
      <c r="G180" s="6">
        <f t="shared" si="62"/>
        <v>0.94600779472163588</v>
      </c>
      <c r="H180" s="6">
        <f t="shared" si="58"/>
        <v>36.719745595549462</v>
      </c>
      <c r="I180" s="10">
        <f t="shared" si="64"/>
        <v>400.66489817004924</v>
      </c>
      <c r="J180" s="7"/>
      <c r="K180" s="6"/>
      <c r="L180" s="6"/>
      <c r="M180" s="6">
        <f t="shared" si="65"/>
        <v>526.36319548394329</v>
      </c>
      <c r="N180" s="6"/>
      <c r="O180" s="12"/>
      <c r="P180" s="9"/>
    </row>
    <row r="182" spans="2:16" ht="15" customHeight="1">
      <c r="C182" s="244" t="s">
        <v>22</v>
      </c>
      <c r="D182" s="244"/>
      <c r="E182" s="244"/>
      <c r="F182" s="244"/>
      <c r="G182" s="244"/>
      <c r="H182" s="244"/>
      <c r="I182" s="244"/>
      <c r="J182" s="245" t="s">
        <v>11</v>
      </c>
      <c r="K182" s="245"/>
      <c r="L182" s="245"/>
      <c r="M182" s="230" t="s">
        <v>6</v>
      </c>
      <c r="N182" s="246" t="s">
        <v>23</v>
      </c>
      <c r="O182" s="246"/>
      <c r="P182" s="246"/>
    </row>
    <row r="183" spans="2:16" ht="14.4" customHeight="1">
      <c r="B183" s="242" t="s">
        <v>0</v>
      </c>
      <c r="C183" s="236" t="s">
        <v>12</v>
      </c>
      <c r="D183" s="236" t="s">
        <v>2</v>
      </c>
      <c r="E183" s="231" t="s">
        <v>21</v>
      </c>
      <c r="F183" s="232"/>
      <c r="G183" s="233"/>
      <c r="H183" s="234" t="s">
        <v>15</v>
      </c>
      <c r="I183" s="234" t="s">
        <v>16</v>
      </c>
      <c r="J183" s="238" t="s">
        <v>4</v>
      </c>
      <c r="K183" s="238" t="s">
        <v>5</v>
      </c>
      <c r="L183" s="240" t="s">
        <v>17</v>
      </c>
      <c r="M183" s="230"/>
      <c r="N183" s="247" t="s">
        <v>7</v>
      </c>
      <c r="O183" s="247" t="s">
        <v>8</v>
      </c>
      <c r="P183" s="247" t="s">
        <v>9</v>
      </c>
    </row>
    <row r="184" spans="2:16" ht="30.6">
      <c r="B184" s="243"/>
      <c r="C184" s="237"/>
      <c r="D184" s="237"/>
      <c r="E184" s="34" t="s">
        <v>14</v>
      </c>
      <c r="F184" s="34" t="s">
        <v>13</v>
      </c>
      <c r="G184" s="35" t="s">
        <v>20</v>
      </c>
      <c r="H184" s="235"/>
      <c r="I184" s="235"/>
      <c r="J184" s="239"/>
      <c r="K184" s="239"/>
      <c r="L184" s="241"/>
      <c r="M184" s="230"/>
      <c r="N184" s="248"/>
      <c r="O184" s="248"/>
      <c r="P184" s="248"/>
    </row>
    <row r="185" spans="2:16">
      <c r="B185" s="11">
        <v>20</v>
      </c>
      <c r="C185" s="5">
        <f>69*(S/69)^((50/B185)^0.458203)</f>
        <v>10.481759685277138</v>
      </c>
      <c r="D185" s="11">
        <f>D167</f>
        <v>2250</v>
      </c>
      <c r="E185" s="3"/>
      <c r="F185" s="3"/>
      <c r="G185" s="2"/>
      <c r="H185" s="3"/>
      <c r="I185" s="3"/>
      <c r="J185" s="3"/>
      <c r="K185" s="3"/>
      <c r="L185" s="3"/>
      <c r="M185" s="3"/>
      <c r="N185" s="3"/>
      <c r="O185" s="3"/>
      <c r="P185" s="9"/>
    </row>
    <row r="186" spans="2:16">
      <c r="B186" s="9">
        <v>20</v>
      </c>
      <c r="C186" s="6">
        <f t="shared" ref="C186:C198" si="67">69*(S/69)^((50/B186)^0.458203)</f>
        <v>10.481759685277138</v>
      </c>
      <c r="D186" s="7">
        <f>100^2/(Fw*C186)^2</f>
        <v>1880.5558741121929</v>
      </c>
      <c r="E186" s="6">
        <f>$E$5+$E$6*C186+$E$7*1/SQRT(D186)</f>
        <v>11.865505453406001</v>
      </c>
      <c r="F186" s="6">
        <f>$F$5+$F$6*C186*LN(E186)+$F$7*LN(E186)</f>
        <v>8.6043146121524305</v>
      </c>
      <c r="G186" s="6">
        <f>$G$5*E186^$G$6*F186^$G$7</f>
        <v>5.0187583267485528E-2</v>
      </c>
      <c r="H186" s="6">
        <f t="shared" ref="H186:H198" si="68">PI()/4*(E186/100)^2*D186</f>
        <v>20.794506085127242</v>
      </c>
      <c r="I186" s="30">
        <f>G186*D186</f>
        <v>94.380554521164711</v>
      </c>
      <c r="J186" s="7">
        <f>D185-D186</f>
        <v>369.4441258878071</v>
      </c>
      <c r="K186" s="6"/>
      <c r="L186" s="6"/>
      <c r="M186" s="30">
        <f>I186</f>
        <v>94.380554521164711</v>
      </c>
      <c r="N186" s="6"/>
      <c r="O186" s="9"/>
      <c r="P186" s="9"/>
    </row>
    <row r="187" spans="2:16">
      <c r="B187" s="9">
        <f>B186+5</f>
        <v>25</v>
      </c>
      <c r="C187" s="6">
        <f t="shared" si="67"/>
        <v>12.588597161106906</v>
      </c>
      <c r="D187" s="7">
        <f t="shared" ref="D187:D194" si="69">100^2/(Fw*C187)^2</f>
        <v>1303.7669448571842</v>
      </c>
      <c r="E187" s="6">
        <f t="shared" ref="E187:E197" si="70">$E$5+$E$6*C187+$E$7*1/SQRT(D187)</f>
        <v>15.128184601892878</v>
      </c>
      <c r="F187" s="6">
        <f t="shared" ref="F187:F198" si="71">$F$5+$F$6*C187*LN(E187)+$F$7*LN(E187)</f>
        <v>10.629751910002412</v>
      </c>
      <c r="G187" s="6">
        <f t="shared" ref="G187:G198" si="72">$G$5*E187^$G$6*F187^$G$7</f>
        <v>9.8700900921528903E-2</v>
      </c>
      <c r="H187" s="6">
        <f t="shared" si="68"/>
        <v>23.434920145693543</v>
      </c>
      <c r="I187" s="10">
        <f>G187*D187</f>
        <v>128.68297204911337</v>
      </c>
      <c r="J187" s="7">
        <f>D186-D187</f>
        <v>576.78892925500872</v>
      </c>
      <c r="K187" s="6"/>
      <c r="L187" s="6"/>
      <c r="M187" s="6">
        <f t="shared" ref="M187:M198" si="73">EXP((7.4341+0.0093*S)-(15.1338+0.9646*S)*1/C187)</f>
        <v>132.34588008806645</v>
      </c>
      <c r="N187" s="6"/>
      <c r="O187" s="6"/>
      <c r="P187" s="9"/>
    </row>
    <row r="188" spans="2:16">
      <c r="B188" s="9">
        <f t="shared" ref="B188:B198" si="74">B187+5</f>
        <v>30</v>
      </c>
      <c r="C188" s="6">
        <f t="shared" si="67"/>
        <v>14.427627783791582</v>
      </c>
      <c r="D188" s="27">
        <f t="shared" si="69"/>
        <v>992.5783069984999</v>
      </c>
      <c r="E188" s="6">
        <f t="shared" si="70"/>
        <v>17.976134163687622</v>
      </c>
      <c r="F188" s="6">
        <f t="shared" si="71"/>
        <v>12.395740757429095</v>
      </c>
      <c r="G188" s="6">
        <f t="shared" si="72"/>
        <v>0.16002740252427777</v>
      </c>
      <c r="H188" s="6">
        <f t="shared" si="68"/>
        <v>25.1911075597848</v>
      </c>
      <c r="I188" s="10">
        <f t="shared" ref="I188:I198" si="75">G188*D188</f>
        <v>158.83972827091509</v>
      </c>
      <c r="J188" s="7">
        <f t="shared" ref="J188:J198" si="76">D187-D188</f>
        <v>311.18863785868427</v>
      </c>
      <c r="K188" s="250" t="s">
        <v>25</v>
      </c>
      <c r="L188" s="251"/>
      <c r="M188" s="6">
        <f t="shared" si="73"/>
        <v>187.54098563131191</v>
      </c>
      <c r="N188" s="6"/>
      <c r="O188" s="6"/>
      <c r="P188" s="9"/>
    </row>
    <row r="189" spans="2:16">
      <c r="B189" s="9">
        <f t="shared" si="74"/>
        <v>35</v>
      </c>
      <c r="C189" s="6">
        <f t="shared" si="67"/>
        <v>16.052560628026367</v>
      </c>
      <c r="D189" s="27">
        <f t="shared" si="69"/>
        <v>801.7999053489583</v>
      </c>
      <c r="E189" s="6">
        <f t="shared" si="70"/>
        <v>20.492528792793163</v>
      </c>
      <c r="F189" s="6">
        <f t="shared" si="71"/>
        <v>13.963349002197235</v>
      </c>
      <c r="G189" s="6">
        <f t="shared" si="72"/>
        <v>0.23145407601626802</v>
      </c>
      <c r="H189" s="6">
        <f t="shared" si="68"/>
        <v>26.445208164349964</v>
      </c>
      <c r="I189" s="10">
        <f t="shared" si="75"/>
        <v>185.57985624247431</v>
      </c>
      <c r="J189" s="7">
        <f t="shared" si="76"/>
        <v>190.77840164954159</v>
      </c>
      <c r="K189" s="252"/>
      <c r="L189" s="253"/>
      <c r="M189" s="6">
        <f t="shared" si="73"/>
        <v>238.77757938861498</v>
      </c>
      <c r="N189" s="6"/>
      <c r="O189" s="6"/>
      <c r="P189" s="9"/>
    </row>
    <row r="190" spans="2:16">
      <c r="B190" s="9">
        <f t="shared" si="74"/>
        <v>40</v>
      </c>
      <c r="C190" s="6">
        <f t="shared" si="67"/>
        <v>17.503752121943602</v>
      </c>
      <c r="D190" s="27">
        <f t="shared" si="69"/>
        <v>674.36081898142515</v>
      </c>
      <c r="E190" s="6">
        <f t="shared" si="70"/>
        <v>22.739865040597717</v>
      </c>
      <c r="F190" s="6">
        <f t="shared" si="71"/>
        <v>15.372096846711377</v>
      </c>
      <c r="G190" s="6">
        <f t="shared" si="72"/>
        <v>0.31068635500491759</v>
      </c>
      <c r="H190" s="6">
        <f t="shared" si="68"/>
        <v>27.387852262074382</v>
      </c>
      <c r="I190" s="10">
        <f t="shared" si="75"/>
        <v>209.51470480747003</v>
      </c>
      <c r="J190" s="7">
        <f t="shared" si="76"/>
        <v>127.43908636753315</v>
      </c>
      <c r="K190" s="6"/>
      <c r="L190" s="6"/>
      <c r="M190" s="6">
        <f t="shared" si="73"/>
        <v>285.24062351702526</v>
      </c>
      <c r="N190" s="6"/>
      <c r="O190" s="6"/>
      <c r="P190" s="9"/>
    </row>
    <row r="191" spans="2:16">
      <c r="B191" s="9">
        <f t="shared" si="74"/>
        <v>45</v>
      </c>
      <c r="C191" s="6">
        <f t="shared" si="67"/>
        <v>18.811742929002914</v>
      </c>
      <c r="D191" s="27">
        <f t="shared" si="69"/>
        <v>583.84365899637112</v>
      </c>
      <c r="E191" s="6">
        <f t="shared" si="70"/>
        <v>24.765438622596101</v>
      </c>
      <c r="F191" s="6">
        <f t="shared" si="71"/>
        <v>16.650094131831352</v>
      </c>
      <c r="G191" s="6">
        <f t="shared" si="72"/>
        <v>0.39586639182154898</v>
      </c>
      <c r="H191" s="6">
        <f t="shared" si="68"/>
        <v>28.124091199395828</v>
      </c>
      <c r="I191" s="10">
        <f t="shared" si="75"/>
        <v>231.12408267478429</v>
      </c>
      <c r="J191" s="7">
        <f t="shared" si="76"/>
        <v>90.517159985054036</v>
      </c>
      <c r="K191" s="6"/>
      <c r="L191" s="6"/>
      <c r="M191" s="6">
        <f t="shared" si="73"/>
        <v>327.04033030094911</v>
      </c>
      <c r="N191" s="6"/>
      <c r="O191" s="6"/>
      <c r="P191" s="9"/>
    </row>
    <row r="192" spans="2:16">
      <c r="B192" s="9">
        <f t="shared" si="74"/>
        <v>50</v>
      </c>
      <c r="C192" s="6">
        <f t="shared" si="67"/>
        <v>20</v>
      </c>
      <c r="D192" s="7">
        <f t="shared" si="69"/>
        <v>516.52892561983458</v>
      </c>
      <c r="E192" s="6">
        <f t="shared" si="70"/>
        <v>26.605590800000002</v>
      </c>
      <c r="F192" s="6">
        <f t="shared" si="71"/>
        <v>17.818388494486186</v>
      </c>
      <c r="G192" s="6">
        <f t="shared" si="72"/>
        <v>0.48551477438667334</v>
      </c>
      <c r="H192" s="6">
        <f t="shared" si="68"/>
        <v>28.716423060861885</v>
      </c>
      <c r="I192" s="10">
        <f t="shared" si="75"/>
        <v>250.78242478650478</v>
      </c>
      <c r="J192" s="7">
        <f t="shared" si="76"/>
        <v>67.314733376536537</v>
      </c>
      <c r="K192" s="6"/>
      <c r="L192" s="6"/>
      <c r="M192" s="6">
        <f t="shared" si="73"/>
        <v>364.60333164085398</v>
      </c>
      <c r="N192" s="6"/>
      <c r="O192" s="6"/>
      <c r="P192" s="9"/>
    </row>
    <row r="193" spans="2:16">
      <c r="B193" s="9">
        <f t="shared" si="74"/>
        <v>55</v>
      </c>
      <c r="C193" s="6">
        <f t="shared" si="67"/>
        <v>21.086856222839685</v>
      </c>
      <c r="D193" s="7">
        <f t="shared" si="69"/>
        <v>464.65537423043355</v>
      </c>
      <c r="E193" s="6">
        <f t="shared" si="70"/>
        <v>28.28871214957902</v>
      </c>
      <c r="F193" s="6">
        <f t="shared" si="71"/>
        <v>18.893267342152562</v>
      </c>
      <c r="G193" s="6">
        <f t="shared" si="72"/>
        <v>0.57846001104158673</v>
      </c>
      <c r="H193" s="6">
        <f t="shared" si="68"/>
        <v>29.204326762613736</v>
      </c>
      <c r="I193" s="10">
        <f t="shared" si="75"/>
        <v>268.78455290786923</v>
      </c>
      <c r="J193" s="7">
        <f t="shared" si="76"/>
        <v>51.87355138940103</v>
      </c>
      <c r="K193" s="6"/>
      <c r="L193" s="6"/>
      <c r="M193" s="6">
        <f t="shared" si="73"/>
        <v>398.42868492296253</v>
      </c>
      <c r="N193" s="6"/>
      <c r="O193" s="6"/>
      <c r="P193" s="9"/>
    </row>
    <row r="194" spans="2:16">
      <c r="B194" s="9">
        <f t="shared" si="74"/>
        <v>60</v>
      </c>
      <c r="C194" s="6">
        <f t="shared" si="67"/>
        <v>22.086862554132061</v>
      </c>
      <c r="D194" s="7">
        <f t="shared" si="69"/>
        <v>423.53234339675333</v>
      </c>
      <c r="E194" s="6">
        <f t="shared" si="70"/>
        <v>29.837336494310446</v>
      </c>
      <c r="F194" s="6">
        <f t="shared" si="71"/>
        <v>19.887637379043554</v>
      </c>
      <c r="G194" s="6">
        <f t="shared" si="72"/>
        <v>0.67377509744870367</v>
      </c>
      <c r="H194" s="6">
        <f t="shared" si="68"/>
        <v>29.613965548722863</v>
      </c>
      <c r="I194" s="10">
        <f t="shared" si="75"/>
        <v>285.36554594482533</v>
      </c>
      <c r="J194" s="7">
        <f t="shared" si="76"/>
        <v>41.123030833680218</v>
      </c>
      <c r="K194" s="6"/>
      <c r="L194" s="6"/>
      <c r="M194" s="6">
        <f t="shared" si="73"/>
        <v>428.994862615231</v>
      </c>
      <c r="N194" s="6"/>
      <c r="O194" s="6"/>
      <c r="P194" s="9"/>
    </row>
    <row r="195" spans="2:16">
      <c r="B195" s="9">
        <f t="shared" si="74"/>
        <v>65</v>
      </c>
      <c r="C195" s="6">
        <f t="shared" si="67"/>
        <v>23.0117374271118</v>
      </c>
      <c r="D195" s="7">
        <f>D194</f>
        <v>423.53234339675333</v>
      </c>
      <c r="E195" s="6">
        <f t="shared" si="70"/>
        <v>30.776361952846774</v>
      </c>
      <c r="F195" s="6">
        <f t="shared" si="71"/>
        <v>20.715003315405443</v>
      </c>
      <c r="G195" s="6">
        <f t="shared" si="72"/>
        <v>0.74307180688891794</v>
      </c>
      <c r="H195" s="6">
        <f t="shared" si="68"/>
        <v>31.507288124707291</v>
      </c>
      <c r="I195" s="10">
        <f t="shared" si="75"/>
        <v>314.71494368372316</v>
      </c>
      <c r="J195" s="7">
        <f t="shared" si="76"/>
        <v>0</v>
      </c>
      <c r="K195" s="6"/>
      <c r="L195" s="6"/>
      <c r="M195" s="6">
        <f t="shared" si="73"/>
        <v>456.72868859880003</v>
      </c>
      <c r="N195" s="6"/>
      <c r="O195" s="6"/>
      <c r="P195" s="9"/>
    </row>
    <row r="196" spans="2:16">
      <c r="B196" s="9">
        <f t="shared" si="74"/>
        <v>70</v>
      </c>
      <c r="C196" s="6">
        <f t="shared" si="67"/>
        <v>23.871042959485663</v>
      </c>
      <c r="D196" s="7">
        <f t="shared" ref="D196:D198" si="77">D195</f>
        <v>423.53234339675333</v>
      </c>
      <c r="E196" s="6">
        <f t="shared" si="70"/>
        <v>31.648814859865961</v>
      </c>
      <c r="F196" s="6">
        <f t="shared" si="71"/>
        <v>21.488914792334128</v>
      </c>
      <c r="G196" s="6">
        <f t="shared" si="72"/>
        <v>0.81161860741316261</v>
      </c>
      <c r="H196" s="6">
        <f t="shared" si="68"/>
        <v>33.318954557886357</v>
      </c>
      <c r="I196" s="10">
        <f t="shared" si="75"/>
        <v>343.74673074210631</v>
      </c>
      <c r="J196" s="7">
        <f t="shared" si="76"/>
        <v>0</v>
      </c>
      <c r="K196" s="6"/>
      <c r="L196" s="6"/>
      <c r="M196" s="6">
        <f t="shared" si="73"/>
        <v>481.99929546266407</v>
      </c>
      <c r="N196" s="6"/>
      <c r="O196" s="6"/>
      <c r="P196" s="9"/>
    </row>
    <row r="197" spans="2:16">
      <c r="B197" s="9">
        <f t="shared" si="74"/>
        <v>75</v>
      </c>
      <c r="C197" s="6">
        <f t="shared" si="67"/>
        <v>24.672674449388651</v>
      </c>
      <c r="D197" s="7">
        <f t="shared" si="77"/>
        <v>423.53234339675333</v>
      </c>
      <c r="E197" s="6">
        <f t="shared" si="70"/>
        <v>32.462711311564462</v>
      </c>
      <c r="F197" s="6">
        <f t="shared" si="71"/>
        <v>22.215274797617578</v>
      </c>
      <c r="G197" s="6">
        <f t="shared" si="72"/>
        <v>0.87929263204158437</v>
      </c>
      <c r="H197" s="6">
        <f t="shared" si="68"/>
        <v>35.054682812332693</v>
      </c>
      <c r="I197" s="10">
        <f t="shared" si="75"/>
        <v>372.40886898007136</v>
      </c>
      <c r="J197" s="7">
        <f t="shared" si="76"/>
        <v>0</v>
      </c>
      <c r="K197" s="6"/>
      <c r="L197" s="6"/>
      <c r="M197" s="6">
        <f t="shared" si="73"/>
        <v>505.12165293586969</v>
      </c>
      <c r="N197" s="6"/>
      <c r="O197" s="6"/>
      <c r="P197" s="9"/>
    </row>
    <row r="198" spans="2:16">
      <c r="B198" s="9">
        <f t="shared" si="74"/>
        <v>80</v>
      </c>
      <c r="C198" s="6">
        <f t="shared" si="67"/>
        <v>25.423220508157669</v>
      </c>
      <c r="D198" s="7">
        <f t="shared" si="77"/>
        <v>423.53234339675333</v>
      </c>
      <c r="E198" s="6">
        <f>$E$5+$E$6*C198+$E$7*1/SQRT(D198)</f>
        <v>33.224740725032646</v>
      </c>
      <c r="F198" s="6">
        <f t="shared" si="71"/>
        <v>22.899090598484158</v>
      </c>
      <c r="G198" s="6">
        <f t="shared" si="72"/>
        <v>0.94600779472163588</v>
      </c>
      <c r="H198" s="6">
        <f t="shared" si="68"/>
        <v>36.719745595549462</v>
      </c>
      <c r="I198" s="10">
        <f t="shared" si="75"/>
        <v>400.66489817004924</v>
      </c>
      <c r="J198" s="7">
        <f t="shared" si="76"/>
        <v>0</v>
      </c>
      <c r="K198" s="6"/>
      <c r="L198" s="6"/>
      <c r="M198" s="6">
        <f t="shared" si="73"/>
        <v>526.36319548394329</v>
      </c>
      <c r="N198" s="6"/>
      <c r="O198" s="6"/>
      <c r="P198" s="9"/>
    </row>
    <row r="200" spans="2:16" ht="15" customHeight="1">
      <c r="C200" s="244" t="s">
        <v>22</v>
      </c>
      <c r="D200" s="244"/>
      <c r="E200" s="244"/>
      <c r="F200" s="244"/>
      <c r="G200" s="244"/>
      <c r="H200" s="244"/>
      <c r="I200" s="244"/>
      <c r="J200" s="245" t="s">
        <v>11</v>
      </c>
      <c r="K200" s="245"/>
      <c r="L200" s="245"/>
      <c r="M200" s="230" t="s">
        <v>6</v>
      </c>
      <c r="N200" s="246" t="s">
        <v>23</v>
      </c>
      <c r="O200" s="246"/>
      <c r="P200" s="246"/>
    </row>
    <row r="201" spans="2:16" ht="14.4" customHeight="1">
      <c r="B201" s="242" t="s">
        <v>0</v>
      </c>
      <c r="C201" s="236" t="s">
        <v>12</v>
      </c>
      <c r="D201" s="236" t="s">
        <v>2</v>
      </c>
      <c r="E201" s="231" t="s">
        <v>21</v>
      </c>
      <c r="F201" s="232"/>
      <c r="G201" s="233"/>
      <c r="H201" s="234" t="s">
        <v>15</v>
      </c>
      <c r="I201" s="234" t="s">
        <v>16</v>
      </c>
      <c r="J201" s="238" t="s">
        <v>4</v>
      </c>
      <c r="K201" s="238" t="s">
        <v>5</v>
      </c>
      <c r="L201" s="240" t="s">
        <v>17</v>
      </c>
      <c r="M201" s="230"/>
      <c r="N201" s="249" t="s">
        <v>7</v>
      </c>
      <c r="O201" s="249" t="s">
        <v>8</v>
      </c>
      <c r="P201" s="249" t="s">
        <v>9</v>
      </c>
    </row>
    <row r="202" spans="2:16" ht="30.6">
      <c r="B202" s="243"/>
      <c r="C202" s="237"/>
      <c r="D202" s="237"/>
      <c r="E202" s="34" t="s">
        <v>14</v>
      </c>
      <c r="F202" s="34" t="s">
        <v>13</v>
      </c>
      <c r="G202" s="35" t="s">
        <v>20</v>
      </c>
      <c r="H202" s="235"/>
      <c r="I202" s="235"/>
      <c r="J202" s="239"/>
      <c r="K202" s="239"/>
      <c r="L202" s="241"/>
      <c r="M202" s="230"/>
      <c r="N202" s="249"/>
      <c r="O202" s="249"/>
      <c r="P202" s="249"/>
    </row>
    <row r="203" spans="2:16">
      <c r="B203" s="11">
        <v>20</v>
      </c>
      <c r="C203" s="5">
        <f>69*(S/69)^((50/B203)^0.458203)</f>
        <v>10.481759685277138</v>
      </c>
      <c r="D203" s="11">
        <f>D185</f>
        <v>2250</v>
      </c>
      <c r="E203" s="3"/>
      <c r="F203" s="3"/>
      <c r="G203" s="2"/>
      <c r="H203" s="3"/>
      <c r="I203" s="3"/>
      <c r="J203" s="3"/>
      <c r="K203" s="3"/>
      <c r="L203" s="3"/>
      <c r="M203" s="3"/>
      <c r="N203" s="3"/>
      <c r="O203" s="3"/>
      <c r="P203" s="9"/>
    </row>
    <row r="204" spans="2:16">
      <c r="B204" s="9">
        <v>20</v>
      </c>
      <c r="C204" s="6">
        <f t="shared" ref="C204:C216" si="78">69*(S/69)^((50/B204)^0.458203)</f>
        <v>10.481759685277138</v>
      </c>
      <c r="D204" s="7">
        <f>100^2/(Fw*C204)^2</f>
        <v>1880.5558741121929</v>
      </c>
      <c r="E204" s="6">
        <f>$E$5+$E$6*C204+$E$7*1/SQRT(D204)</f>
        <v>11.865505453406001</v>
      </c>
      <c r="F204" s="6">
        <f>$F$5+$F$6*C204*LN(E204)+$F$7*LN(E204)</f>
        <v>8.6043146121524305</v>
      </c>
      <c r="G204" s="6">
        <f>$G$5*E204^$G$6*F204^$G$7</f>
        <v>5.0187583267485528E-2</v>
      </c>
      <c r="H204" s="6">
        <f t="shared" ref="H204:H216" si="79">PI()/4*(E204/100)^2*D204</f>
        <v>20.794506085127242</v>
      </c>
      <c r="I204" s="30">
        <f>G204*D204</f>
        <v>94.380554521164711</v>
      </c>
      <c r="J204" s="7">
        <f>D203-D204</f>
        <v>369.4441258878071</v>
      </c>
      <c r="K204" s="6">
        <f>M204-I204</f>
        <v>0</v>
      </c>
      <c r="L204" s="6">
        <f>K204</f>
        <v>0</v>
      </c>
      <c r="M204" s="30">
        <f>I204</f>
        <v>94.380554521164711</v>
      </c>
      <c r="N204" s="6"/>
      <c r="O204" s="9"/>
      <c r="P204" s="9"/>
    </row>
    <row r="205" spans="2:16">
      <c r="B205" s="9">
        <f>B204+5</f>
        <v>25</v>
      </c>
      <c r="C205" s="6">
        <f t="shared" si="78"/>
        <v>12.588597161106906</v>
      </c>
      <c r="D205" s="7">
        <f t="shared" ref="D205:D212" si="80">100^2/(Fw*C205)^2</f>
        <v>1303.7669448571842</v>
      </c>
      <c r="E205" s="6">
        <f t="shared" ref="E205:E215" si="81">$E$5+$E$6*C205+$E$7*1/SQRT(D205)</f>
        <v>15.128184601892878</v>
      </c>
      <c r="F205" s="6">
        <f t="shared" ref="F205:F216" si="82">$F$5+$F$6*C205*LN(E205)+$F$7*LN(E205)</f>
        <v>10.629751910002412</v>
      </c>
      <c r="G205" s="6">
        <f t="shared" ref="G205:G216" si="83">$G$5*E205^$G$6*F205^$G$7</f>
        <v>9.8700900921528903E-2</v>
      </c>
      <c r="H205" s="6">
        <f t="shared" si="79"/>
        <v>23.434920145693543</v>
      </c>
      <c r="I205" s="10">
        <f>G205*D205</f>
        <v>128.68297204911337</v>
      </c>
      <c r="J205" s="7">
        <f>D204-D205</f>
        <v>576.78892925500872</v>
      </c>
      <c r="K205" s="6">
        <f>M205-I205-L204</f>
        <v>3.662908038953077</v>
      </c>
      <c r="L205" s="6">
        <f>K205+L204</f>
        <v>3.662908038953077</v>
      </c>
      <c r="M205" s="6">
        <f t="shared" ref="M205:M216" si="84">EXP((7.4341+0.0093*S)-(15.1338+0.9646*S)*1/C205)</f>
        <v>132.34588008806645</v>
      </c>
      <c r="N205" s="6"/>
      <c r="O205" s="6"/>
      <c r="P205" s="9"/>
    </row>
    <row r="206" spans="2:16">
      <c r="B206" s="9">
        <f t="shared" ref="B206:B216" si="85">B205+5</f>
        <v>30</v>
      </c>
      <c r="C206" s="6">
        <f t="shared" si="78"/>
        <v>14.427627783791582</v>
      </c>
      <c r="D206" s="27">
        <f t="shared" si="80"/>
        <v>992.5783069984999</v>
      </c>
      <c r="E206" s="6">
        <f t="shared" si="81"/>
        <v>17.976134163687622</v>
      </c>
      <c r="F206" s="6">
        <f t="shared" si="82"/>
        <v>12.395740757429095</v>
      </c>
      <c r="G206" s="6">
        <f t="shared" si="83"/>
        <v>0.16002740252427777</v>
      </c>
      <c r="H206" s="6">
        <f t="shared" si="79"/>
        <v>25.1911075597848</v>
      </c>
      <c r="I206" s="10">
        <f t="shared" ref="I206:I216" si="86">G206*D206</f>
        <v>158.83972827091509</v>
      </c>
      <c r="J206" s="7">
        <f t="shared" ref="J206:J216" si="87">D205-D206</f>
        <v>311.18863785868427</v>
      </c>
      <c r="K206" s="6">
        <f>M206-I206-L205</f>
        <v>25.038349321443746</v>
      </c>
      <c r="L206" s="6">
        <f>K206+L205</f>
        <v>28.701257360396824</v>
      </c>
      <c r="M206" s="6">
        <f t="shared" si="84"/>
        <v>187.54098563131191</v>
      </c>
      <c r="N206" s="6"/>
      <c r="O206" s="6"/>
      <c r="P206" s="9"/>
    </row>
    <row r="207" spans="2:16">
      <c r="B207" s="9">
        <f t="shared" si="85"/>
        <v>35</v>
      </c>
      <c r="C207" s="6">
        <f t="shared" si="78"/>
        <v>16.052560628026367</v>
      </c>
      <c r="D207" s="27">
        <f t="shared" si="80"/>
        <v>801.7999053489583</v>
      </c>
      <c r="E207" s="6">
        <f t="shared" si="81"/>
        <v>20.492528792793163</v>
      </c>
      <c r="F207" s="6">
        <f t="shared" si="82"/>
        <v>13.963349002197235</v>
      </c>
      <c r="G207" s="6">
        <f t="shared" si="83"/>
        <v>0.23145407601626802</v>
      </c>
      <c r="H207" s="6">
        <f t="shared" si="79"/>
        <v>26.445208164349964</v>
      </c>
      <c r="I207" s="10">
        <f t="shared" si="86"/>
        <v>185.57985624247431</v>
      </c>
      <c r="J207" s="7">
        <f t="shared" si="87"/>
        <v>190.77840164954159</v>
      </c>
      <c r="K207" s="6">
        <f t="shared" ref="K207:K212" si="88">M207-I207-L206</f>
        <v>24.496465785743851</v>
      </c>
      <c r="L207" s="6">
        <f t="shared" ref="L207:L216" si="89">K207+L206</f>
        <v>53.197723146140675</v>
      </c>
      <c r="M207" s="6">
        <f t="shared" si="84"/>
        <v>238.77757938861498</v>
      </c>
      <c r="N207" s="6"/>
      <c r="O207" s="6"/>
      <c r="P207" s="9"/>
    </row>
    <row r="208" spans="2:16">
      <c r="B208" s="9">
        <f t="shared" si="85"/>
        <v>40</v>
      </c>
      <c r="C208" s="6">
        <f t="shared" si="78"/>
        <v>17.503752121943602</v>
      </c>
      <c r="D208" s="27">
        <f t="shared" si="80"/>
        <v>674.36081898142515</v>
      </c>
      <c r="E208" s="6">
        <f t="shared" si="81"/>
        <v>22.739865040597717</v>
      </c>
      <c r="F208" s="6">
        <f t="shared" si="82"/>
        <v>15.372096846711377</v>
      </c>
      <c r="G208" s="6">
        <f t="shared" si="83"/>
        <v>0.31068635500491759</v>
      </c>
      <c r="H208" s="6">
        <f t="shared" si="79"/>
        <v>27.387852262074382</v>
      </c>
      <c r="I208" s="10">
        <f t="shared" si="86"/>
        <v>209.51470480747003</v>
      </c>
      <c r="J208" s="7">
        <f t="shared" si="87"/>
        <v>127.43908636753315</v>
      </c>
      <c r="K208" s="6">
        <f t="shared" si="88"/>
        <v>22.528195563414556</v>
      </c>
      <c r="L208" s="6">
        <f t="shared" si="89"/>
        <v>75.725918709555231</v>
      </c>
      <c r="M208" s="6">
        <f t="shared" si="84"/>
        <v>285.24062351702526</v>
      </c>
      <c r="N208" s="6"/>
      <c r="O208" s="6"/>
      <c r="P208" s="9"/>
    </row>
    <row r="209" spans="2:16">
      <c r="B209" s="9">
        <f t="shared" si="85"/>
        <v>45</v>
      </c>
      <c r="C209" s="6">
        <f t="shared" si="78"/>
        <v>18.811742929002914</v>
      </c>
      <c r="D209" s="27">
        <f t="shared" si="80"/>
        <v>583.84365899637112</v>
      </c>
      <c r="E209" s="6">
        <f t="shared" si="81"/>
        <v>24.765438622596101</v>
      </c>
      <c r="F209" s="6">
        <f t="shared" si="82"/>
        <v>16.650094131831352</v>
      </c>
      <c r="G209" s="6">
        <f t="shared" si="83"/>
        <v>0.39586639182154898</v>
      </c>
      <c r="H209" s="6">
        <f t="shared" si="79"/>
        <v>28.124091199395828</v>
      </c>
      <c r="I209" s="10">
        <f t="shared" si="86"/>
        <v>231.12408267478429</v>
      </c>
      <c r="J209" s="7">
        <f t="shared" si="87"/>
        <v>90.517159985054036</v>
      </c>
      <c r="K209" s="6">
        <f t="shared" si="88"/>
        <v>20.190328916609587</v>
      </c>
      <c r="L209" s="6">
        <f t="shared" si="89"/>
        <v>95.916247626164818</v>
      </c>
      <c r="M209" s="6">
        <f t="shared" si="84"/>
        <v>327.04033030094911</v>
      </c>
      <c r="N209" s="6"/>
      <c r="O209" s="6"/>
      <c r="P209" s="9"/>
    </row>
    <row r="210" spans="2:16">
      <c r="B210" s="9">
        <f t="shared" si="85"/>
        <v>50</v>
      </c>
      <c r="C210" s="6">
        <f t="shared" si="78"/>
        <v>20</v>
      </c>
      <c r="D210" s="7">
        <f t="shared" si="80"/>
        <v>516.52892561983458</v>
      </c>
      <c r="E210" s="6">
        <f t="shared" si="81"/>
        <v>26.605590800000002</v>
      </c>
      <c r="F210" s="6">
        <f t="shared" si="82"/>
        <v>17.818388494486186</v>
      </c>
      <c r="G210" s="6">
        <f t="shared" si="83"/>
        <v>0.48551477438667334</v>
      </c>
      <c r="H210" s="6">
        <f t="shared" si="79"/>
        <v>28.716423060861885</v>
      </c>
      <c r="I210" s="10">
        <f t="shared" si="86"/>
        <v>250.78242478650478</v>
      </c>
      <c r="J210" s="7">
        <f t="shared" si="87"/>
        <v>67.314733376536537</v>
      </c>
      <c r="K210" s="6">
        <f t="shared" si="88"/>
        <v>17.904659228184386</v>
      </c>
      <c r="L210" s="6">
        <f t="shared" si="89"/>
        <v>113.8209068543492</v>
      </c>
      <c r="M210" s="6">
        <f t="shared" si="84"/>
        <v>364.60333164085398</v>
      </c>
      <c r="N210" s="6"/>
      <c r="O210" s="6"/>
      <c r="P210" s="9"/>
    </row>
    <row r="211" spans="2:16">
      <c r="B211" s="9">
        <f t="shared" si="85"/>
        <v>55</v>
      </c>
      <c r="C211" s="6">
        <f t="shared" si="78"/>
        <v>21.086856222839685</v>
      </c>
      <c r="D211" s="7">
        <f t="shared" si="80"/>
        <v>464.65537423043355</v>
      </c>
      <c r="E211" s="6">
        <f t="shared" si="81"/>
        <v>28.28871214957902</v>
      </c>
      <c r="F211" s="6">
        <f t="shared" si="82"/>
        <v>18.893267342152562</v>
      </c>
      <c r="G211" s="6">
        <f t="shared" si="83"/>
        <v>0.57846001104158673</v>
      </c>
      <c r="H211" s="6">
        <f t="shared" si="79"/>
        <v>29.204326762613736</v>
      </c>
      <c r="I211" s="10">
        <f t="shared" si="86"/>
        <v>268.78455290786923</v>
      </c>
      <c r="J211" s="7">
        <f t="shared" si="87"/>
        <v>51.87355138940103</v>
      </c>
      <c r="K211" s="6">
        <f t="shared" si="88"/>
        <v>15.823225160744101</v>
      </c>
      <c r="L211" s="6">
        <f t="shared" si="89"/>
        <v>129.64413201509331</v>
      </c>
      <c r="M211" s="6">
        <f t="shared" si="84"/>
        <v>398.42868492296253</v>
      </c>
      <c r="N211" s="6"/>
      <c r="O211" s="6"/>
      <c r="P211" s="9"/>
    </row>
    <row r="212" spans="2:16">
      <c r="B212" s="9">
        <f t="shared" si="85"/>
        <v>60</v>
      </c>
      <c r="C212" s="6">
        <f t="shared" si="78"/>
        <v>22.086862554132061</v>
      </c>
      <c r="D212" s="7">
        <f t="shared" si="80"/>
        <v>423.53234339675333</v>
      </c>
      <c r="E212" s="6">
        <f t="shared" si="81"/>
        <v>29.837336494310446</v>
      </c>
      <c r="F212" s="6">
        <f t="shared" si="82"/>
        <v>19.887637379043554</v>
      </c>
      <c r="G212" s="6">
        <f t="shared" si="83"/>
        <v>0.67377509744870367</v>
      </c>
      <c r="H212" s="6">
        <f t="shared" si="79"/>
        <v>29.613965548722863</v>
      </c>
      <c r="I212" s="10">
        <f t="shared" si="86"/>
        <v>285.36554594482533</v>
      </c>
      <c r="J212" s="7">
        <f t="shared" si="87"/>
        <v>41.123030833680218</v>
      </c>
      <c r="K212" s="6">
        <f t="shared" si="88"/>
        <v>13.985184655312366</v>
      </c>
      <c r="L212" s="6">
        <f t="shared" si="89"/>
        <v>143.62931667040567</v>
      </c>
      <c r="M212" s="6">
        <f t="shared" si="84"/>
        <v>428.994862615231</v>
      </c>
      <c r="N212" s="6"/>
      <c r="O212" s="6"/>
      <c r="P212" s="9"/>
    </row>
    <row r="213" spans="2:16">
      <c r="B213" s="9">
        <f t="shared" si="85"/>
        <v>65</v>
      </c>
      <c r="C213" s="6">
        <f t="shared" si="78"/>
        <v>23.0117374271118</v>
      </c>
      <c r="D213" s="7">
        <f>D212</f>
        <v>423.53234339675333</v>
      </c>
      <c r="E213" s="6">
        <f t="shared" si="81"/>
        <v>30.776361952846774</v>
      </c>
      <c r="F213" s="6">
        <f t="shared" si="82"/>
        <v>20.715003315405443</v>
      </c>
      <c r="G213" s="6">
        <f t="shared" si="83"/>
        <v>0.74307180688891794</v>
      </c>
      <c r="H213" s="6">
        <f t="shared" si="79"/>
        <v>31.507288124707291</v>
      </c>
      <c r="I213" s="10">
        <f t="shared" si="86"/>
        <v>314.71494368372316</v>
      </c>
      <c r="J213" s="7">
        <f t="shared" si="87"/>
        <v>0</v>
      </c>
      <c r="K213" s="6">
        <v>0</v>
      </c>
      <c r="L213" s="6">
        <f t="shared" si="89"/>
        <v>143.62931667040567</v>
      </c>
      <c r="M213" s="6">
        <f t="shared" si="84"/>
        <v>456.72868859880003</v>
      </c>
      <c r="N213" s="6"/>
      <c r="O213" s="6"/>
      <c r="P213" s="9"/>
    </row>
    <row r="214" spans="2:16">
      <c r="B214" s="9">
        <f t="shared" si="85"/>
        <v>70</v>
      </c>
      <c r="C214" s="6">
        <f t="shared" si="78"/>
        <v>23.871042959485663</v>
      </c>
      <c r="D214" s="7">
        <f t="shared" ref="D214:D216" si="90">D213</f>
        <v>423.53234339675333</v>
      </c>
      <c r="E214" s="6">
        <f t="shared" si="81"/>
        <v>31.648814859865961</v>
      </c>
      <c r="F214" s="6">
        <f t="shared" si="82"/>
        <v>21.488914792334128</v>
      </c>
      <c r="G214" s="6">
        <f t="shared" si="83"/>
        <v>0.81161860741316261</v>
      </c>
      <c r="H214" s="6">
        <f t="shared" si="79"/>
        <v>33.318954557886357</v>
      </c>
      <c r="I214" s="10">
        <f t="shared" si="86"/>
        <v>343.74673074210631</v>
      </c>
      <c r="J214" s="7">
        <f t="shared" si="87"/>
        <v>0</v>
      </c>
      <c r="K214" s="6">
        <v>0</v>
      </c>
      <c r="L214" s="6">
        <f t="shared" si="89"/>
        <v>143.62931667040567</v>
      </c>
      <c r="M214" s="6">
        <f t="shared" si="84"/>
        <v>481.99929546266407</v>
      </c>
      <c r="N214" s="6"/>
      <c r="O214" s="6"/>
      <c r="P214" s="9"/>
    </row>
    <row r="215" spans="2:16">
      <c r="B215" s="9">
        <f t="shared" si="85"/>
        <v>75</v>
      </c>
      <c r="C215" s="6">
        <f t="shared" si="78"/>
        <v>24.672674449388651</v>
      </c>
      <c r="D215" s="7">
        <f t="shared" si="90"/>
        <v>423.53234339675333</v>
      </c>
      <c r="E215" s="6">
        <f t="shared" si="81"/>
        <v>32.462711311564462</v>
      </c>
      <c r="F215" s="6">
        <f t="shared" si="82"/>
        <v>22.215274797617578</v>
      </c>
      <c r="G215" s="6">
        <f t="shared" si="83"/>
        <v>0.87929263204158437</v>
      </c>
      <c r="H215" s="6">
        <f t="shared" si="79"/>
        <v>35.054682812332693</v>
      </c>
      <c r="I215" s="10">
        <f t="shared" si="86"/>
        <v>372.40886898007136</v>
      </c>
      <c r="J215" s="7">
        <f t="shared" si="87"/>
        <v>0</v>
      </c>
      <c r="K215" s="6">
        <v>0</v>
      </c>
      <c r="L215" s="6">
        <f t="shared" si="89"/>
        <v>143.62931667040567</v>
      </c>
      <c r="M215" s="6">
        <f t="shared" si="84"/>
        <v>505.12165293586969</v>
      </c>
      <c r="N215" s="6"/>
      <c r="O215" s="6"/>
      <c r="P215" s="9"/>
    </row>
    <row r="216" spans="2:16">
      <c r="B216" s="9">
        <f t="shared" si="85"/>
        <v>80</v>
      </c>
      <c r="C216" s="6">
        <f t="shared" si="78"/>
        <v>25.423220508157669</v>
      </c>
      <c r="D216" s="7">
        <f t="shared" si="90"/>
        <v>423.53234339675333</v>
      </c>
      <c r="E216" s="6">
        <f>$E$5+$E$6*C216+$E$7*1/SQRT(D216)</f>
        <v>33.224740725032646</v>
      </c>
      <c r="F216" s="6">
        <f t="shared" si="82"/>
        <v>22.899090598484158</v>
      </c>
      <c r="G216" s="6">
        <f t="shared" si="83"/>
        <v>0.94600779472163588</v>
      </c>
      <c r="H216" s="6">
        <f t="shared" si="79"/>
        <v>36.719745595549462</v>
      </c>
      <c r="I216" s="10">
        <f t="shared" si="86"/>
        <v>400.66489817004924</v>
      </c>
      <c r="J216" s="7">
        <f t="shared" si="87"/>
        <v>0</v>
      </c>
      <c r="K216" s="6">
        <v>0</v>
      </c>
      <c r="L216" s="6">
        <f t="shared" si="89"/>
        <v>143.62931667040567</v>
      </c>
      <c r="M216" s="6">
        <f t="shared" si="84"/>
        <v>526.36319548394329</v>
      </c>
      <c r="N216" s="6"/>
      <c r="O216" s="6"/>
      <c r="P216" s="9"/>
    </row>
    <row r="218" spans="2:16">
      <c r="C218" s="244" t="s">
        <v>22</v>
      </c>
      <c r="D218" s="244"/>
      <c r="E218" s="244"/>
      <c r="F218" s="244"/>
      <c r="G218" s="244"/>
      <c r="H218" s="244"/>
      <c r="I218" s="244"/>
      <c r="J218" s="245" t="s">
        <v>11</v>
      </c>
      <c r="K218" s="245"/>
      <c r="L218" s="245"/>
      <c r="M218" s="230" t="s">
        <v>6</v>
      </c>
      <c r="N218" s="246" t="s">
        <v>23</v>
      </c>
      <c r="O218" s="246"/>
      <c r="P218" s="246"/>
    </row>
    <row r="219" spans="2:16" ht="14.4" customHeight="1">
      <c r="B219" s="242" t="s">
        <v>0</v>
      </c>
      <c r="C219" s="236" t="s">
        <v>12</v>
      </c>
      <c r="D219" s="236" t="s">
        <v>2</v>
      </c>
      <c r="E219" s="231" t="s">
        <v>21</v>
      </c>
      <c r="F219" s="232"/>
      <c r="G219" s="233"/>
      <c r="H219" s="234" t="s">
        <v>15</v>
      </c>
      <c r="I219" s="234" t="s">
        <v>16</v>
      </c>
      <c r="J219" s="238" t="s">
        <v>4</v>
      </c>
      <c r="K219" s="238" t="s">
        <v>5</v>
      </c>
      <c r="L219" s="240" t="s">
        <v>17</v>
      </c>
      <c r="M219" s="230"/>
      <c r="N219" s="247" t="s">
        <v>7</v>
      </c>
      <c r="O219" s="247" t="s">
        <v>8</v>
      </c>
      <c r="P219" s="247" t="s">
        <v>9</v>
      </c>
    </row>
    <row r="220" spans="2:16" ht="30.6">
      <c r="B220" s="243"/>
      <c r="C220" s="237"/>
      <c r="D220" s="237"/>
      <c r="E220" s="34" t="s">
        <v>14</v>
      </c>
      <c r="F220" s="34" t="s">
        <v>13</v>
      </c>
      <c r="G220" s="35" t="s">
        <v>20</v>
      </c>
      <c r="H220" s="235"/>
      <c r="I220" s="235"/>
      <c r="J220" s="239"/>
      <c r="K220" s="239"/>
      <c r="L220" s="241"/>
      <c r="M220" s="230"/>
      <c r="N220" s="248"/>
      <c r="O220" s="248"/>
      <c r="P220" s="248"/>
    </row>
    <row r="221" spans="2:16">
      <c r="B221" s="11">
        <v>20</v>
      </c>
      <c r="C221" s="5">
        <f>69*(S/69)^((50/B221)^0.458203)</f>
        <v>10.481759685277138</v>
      </c>
      <c r="D221" s="11">
        <f>D203</f>
        <v>2250</v>
      </c>
      <c r="E221" s="3"/>
      <c r="F221" s="3"/>
      <c r="G221" s="2"/>
      <c r="H221" s="3"/>
      <c r="I221" s="3"/>
      <c r="J221" s="3"/>
      <c r="K221" s="3"/>
      <c r="L221" s="3"/>
      <c r="M221" s="3"/>
      <c r="N221" s="3"/>
      <c r="O221" s="3"/>
      <c r="P221" s="3"/>
    </row>
    <row r="222" spans="2:16">
      <c r="B222" s="9">
        <v>20</v>
      </c>
      <c r="C222" s="6">
        <f t="shared" ref="C222:C234" si="91">69*(S/69)^((50/B222)^0.458203)</f>
        <v>10.481759685277138</v>
      </c>
      <c r="D222" s="7">
        <f>100^2/(Fw*C222)^2</f>
        <v>1880.5558741121929</v>
      </c>
      <c r="E222" s="6">
        <f>$E$5+$E$6*C222+$E$7*1/SQRT(D222)</f>
        <v>11.865505453406001</v>
      </c>
      <c r="F222" s="6">
        <f>$F$5+$F$6*C222*LN(E222)+$F$7*LN(E222)</f>
        <v>8.6043146121524305</v>
      </c>
      <c r="G222" s="6">
        <f>$G$5*E222^$G$6*F222^$G$7</f>
        <v>5.0187583267485528E-2</v>
      </c>
      <c r="H222" s="6">
        <f t="shared" ref="H222:H234" si="92">PI()/4*(E222/100)^2*D222</f>
        <v>20.794506085127242</v>
      </c>
      <c r="I222" s="30">
        <f>G222*D222</f>
        <v>94.380554521164711</v>
      </c>
      <c r="J222" s="7">
        <f>D221-D222</f>
        <v>369.4441258878071</v>
      </c>
      <c r="K222" s="6">
        <f>M222-I222</f>
        <v>0</v>
      </c>
      <c r="L222" s="6">
        <f>K222</f>
        <v>0</v>
      </c>
      <c r="M222" s="30">
        <f>I222</f>
        <v>94.380554521164711</v>
      </c>
      <c r="N222" s="6">
        <f>M222/B222</f>
        <v>4.7190277260582354</v>
      </c>
      <c r="O222" s="254" t="s">
        <v>26</v>
      </c>
      <c r="P222" s="255"/>
    </row>
    <row r="223" spans="2:16">
      <c r="B223" s="9">
        <f>B222+5</f>
        <v>25</v>
      </c>
      <c r="C223" s="6">
        <f t="shared" si="91"/>
        <v>12.588597161106906</v>
      </c>
      <c r="D223" s="7">
        <f t="shared" ref="D223:D230" si="93">100^2/(Fw*C223)^2</f>
        <v>1303.7669448571842</v>
      </c>
      <c r="E223" s="6">
        <f t="shared" ref="E223:E233" si="94">$E$5+$E$6*C223+$E$7*1/SQRT(D223)</f>
        <v>15.128184601892878</v>
      </c>
      <c r="F223" s="6">
        <f t="shared" ref="F223:F234" si="95">$F$5+$F$6*C223*LN(E223)+$F$7*LN(E223)</f>
        <v>10.629751910002412</v>
      </c>
      <c r="G223" s="6">
        <f t="shared" ref="G223:G234" si="96">$G$5*E223^$G$6*F223^$G$7</f>
        <v>9.8700900921528903E-2</v>
      </c>
      <c r="H223" s="6">
        <f t="shared" si="92"/>
        <v>23.434920145693543</v>
      </c>
      <c r="I223" s="10">
        <f>G223*D223</f>
        <v>128.68297204911337</v>
      </c>
      <c r="J223" s="7">
        <f>D222-D223</f>
        <v>576.78892925500872</v>
      </c>
      <c r="K223" s="6">
        <f>M223-I223-L222</f>
        <v>3.662908038953077</v>
      </c>
      <c r="L223" s="6">
        <f>K223+L222</f>
        <v>3.662908038953077</v>
      </c>
      <c r="M223" s="6">
        <f t="shared" ref="M223:M234" si="97">EXP((7.4341+0.0093*S)-(15.1338+0.9646*S)*1/C223)</f>
        <v>132.34588008806645</v>
      </c>
      <c r="N223" s="6">
        <f>M223/B223</f>
        <v>5.2938352035226579</v>
      </c>
      <c r="O223" s="256"/>
      <c r="P223" s="257"/>
    </row>
    <row r="224" spans="2:16">
      <c r="B224" s="9">
        <f t="shared" ref="B224:B234" si="98">B223+5</f>
        <v>30</v>
      </c>
      <c r="C224" s="6">
        <f t="shared" si="91"/>
        <v>14.427627783791582</v>
      </c>
      <c r="D224" s="27">
        <f t="shared" si="93"/>
        <v>992.5783069984999</v>
      </c>
      <c r="E224" s="6">
        <f t="shared" si="94"/>
        <v>17.976134163687622</v>
      </c>
      <c r="F224" s="6">
        <f t="shared" si="95"/>
        <v>12.395740757429095</v>
      </c>
      <c r="G224" s="6">
        <f t="shared" si="96"/>
        <v>0.16002740252427777</v>
      </c>
      <c r="H224" s="6">
        <f t="shared" si="92"/>
        <v>25.1911075597848</v>
      </c>
      <c r="I224" s="10">
        <f t="shared" ref="I224:I234" si="99">G224*D224</f>
        <v>158.83972827091509</v>
      </c>
      <c r="J224" s="7">
        <f t="shared" ref="J224:J234" si="100">D223-D224</f>
        <v>311.18863785868427</v>
      </c>
      <c r="K224" s="6">
        <f>M224-I224-L223</f>
        <v>25.038349321443746</v>
      </c>
      <c r="L224" s="6">
        <f>K224+L223</f>
        <v>28.701257360396824</v>
      </c>
      <c r="M224" s="6">
        <f t="shared" si="97"/>
        <v>187.54098563131191</v>
      </c>
      <c r="N224" s="6">
        <f t="shared" ref="N224:N234" si="101">M224/B224</f>
        <v>6.2513661877103974</v>
      </c>
      <c r="O224" s="6"/>
      <c r="P224" s="9"/>
    </row>
    <row r="225" spans="2:16">
      <c r="B225" s="9">
        <f t="shared" si="98"/>
        <v>35</v>
      </c>
      <c r="C225" s="6">
        <f t="shared" si="91"/>
        <v>16.052560628026367</v>
      </c>
      <c r="D225" s="27">
        <f t="shared" si="93"/>
        <v>801.7999053489583</v>
      </c>
      <c r="E225" s="6">
        <f t="shared" si="94"/>
        <v>20.492528792793163</v>
      </c>
      <c r="F225" s="6">
        <f t="shared" si="95"/>
        <v>13.963349002197235</v>
      </c>
      <c r="G225" s="6">
        <f t="shared" si="96"/>
        <v>0.23145407601626802</v>
      </c>
      <c r="H225" s="6">
        <f t="shared" si="92"/>
        <v>26.445208164349964</v>
      </c>
      <c r="I225" s="10">
        <f t="shared" si="99"/>
        <v>185.57985624247431</v>
      </c>
      <c r="J225" s="7">
        <f t="shared" si="100"/>
        <v>190.77840164954159</v>
      </c>
      <c r="K225" s="6">
        <f t="shared" ref="K225:K230" si="102">M225-I225-L224</f>
        <v>24.496465785743851</v>
      </c>
      <c r="L225" s="6">
        <f t="shared" ref="L225:L234" si="103">K225+L224</f>
        <v>53.197723146140675</v>
      </c>
      <c r="M225" s="6">
        <f t="shared" si="97"/>
        <v>238.77757938861498</v>
      </c>
      <c r="N225" s="6">
        <f t="shared" si="101"/>
        <v>6.8222165539604278</v>
      </c>
      <c r="O225" s="6"/>
      <c r="P225" s="9"/>
    </row>
    <row r="226" spans="2:16">
      <c r="B226" s="9">
        <f t="shared" si="98"/>
        <v>40</v>
      </c>
      <c r="C226" s="6">
        <f t="shared" si="91"/>
        <v>17.503752121943602</v>
      </c>
      <c r="D226" s="27">
        <f t="shared" si="93"/>
        <v>674.36081898142515</v>
      </c>
      <c r="E226" s="6">
        <f t="shared" si="94"/>
        <v>22.739865040597717</v>
      </c>
      <c r="F226" s="6">
        <f t="shared" si="95"/>
        <v>15.372096846711377</v>
      </c>
      <c r="G226" s="6">
        <f t="shared" si="96"/>
        <v>0.31068635500491759</v>
      </c>
      <c r="H226" s="6">
        <f t="shared" si="92"/>
        <v>27.387852262074382</v>
      </c>
      <c r="I226" s="10">
        <f t="shared" si="99"/>
        <v>209.51470480747003</v>
      </c>
      <c r="J226" s="7">
        <f t="shared" si="100"/>
        <v>127.43908636753315</v>
      </c>
      <c r="K226" s="6">
        <f t="shared" si="102"/>
        <v>22.528195563414556</v>
      </c>
      <c r="L226" s="6">
        <f t="shared" si="103"/>
        <v>75.725918709555231</v>
      </c>
      <c r="M226" s="6">
        <f t="shared" si="97"/>
        <v>285.24062351702526</v>
      </c>
      <c r="N226" s="6">
        <f t="shared" si="101"/>
        <v>7.1310155879256314</v>
      </c>
      <c r="O226" s="6"/>
      <c r="P226" s="9"/>
    </row>
    <row r="227" spans="2:16">
      <c r="B227" s="9">
        <f t="shared" si="98"/>
        <v>45</v>
      </c>
      <c r="C227" s="6">
        <f t="shared" si="91"/>
        <v>18.811742929002914</v>
      </c>
      <c r="D227" s="27">
        <f t="shared" si="93"/>
        <v>583.84365899637112</v>
      </c>
      <c r="E227" s="6">
        <f t="shared" si="94"/>
        <v>24.765438622596101</v>
      </c>
      <c r="F227" s="6">
        <f t="shared" si="95"/>
        <v>16.650094131831352</v>
      </c>
      <c r="G227" s="6">
        <f t="shared" si="96"/>
        <v>0.39586639182154898</v>
      </c>
      <c r="H227" s="6">
        <f t="shared" si="92"/>
        <v>28.124091199395828</v>
      </c>
      <c r="I227" s="10">
        <f t="shared" si="99"/>
        <v>231.12408267478429</v>
      </c>
      <c r="J227" s="7">
        <f t="shared" si="100"/>
        <v>90.517159985054036</v>
      </c>
      <c r="K227" s="6">
        <f t="shared" si="102"/>
        <v>20.190328916609587</v>
      </c>
      <c r="L227" s="6">
        <f t="shared" si="103"/>
        <v>95.916247626164818</v>
      </c>
      <c r="M227" s="6">
        <f t="shared" si="97"/>
        <v>327.04033030094911</v>
      </c>
      <c r="N227" s="6">
        <f t="shared" si="101"/>
        <v>7.2675628955766465</v>
      </c>
      <c r="O227" s="6"/>
      <c r="P227" s="9"/>
    </row>
    <row r="228" spans="2:16">
      <c r="B228" s="9">
        <f t="shared" si="98"/>
        <v>50</v>
      </c>
      <c r="C228" s="6">
        <f t="shared" si="91"/>
        <v>20</v>
      </c>
      <c r="D228" s="7">
        <f t="shared" si="93"/>
        <v>516.52892561983458</v>
      </c>
      <c r="E228" s="6">
        <f t="shared" si="94"/>
        <v>26.605590800000002</v>
      </c>
      <c r="F228" s="6">
        <f t="shared" si="95"/>
        <v>17.818388494486186</v>
      </c>
      <c r="G228" s="6">
        <f t="shared" si="96"/>
        <v>0.48551477438667334</v>
      </c>
      <c r="H228" s="6">
        <f t="shared" si="92"/>
        <v>28.716423060861885</v>
      </c>
      <c r="I228" s="10">
        <f t="shared" si="99"/>
        <v>250.78242478650478</v>
      </c>
      <c r="J228" s="7">
        <f t="shared" si="100"/>
        <v>67.314733376536537</v>
      </c>
      <c r="K228" s="6">
        <f t="shared" si="102"/>
        <v>17.904659228184386</v>
      </c>
      <c r="L228" s="6">
        <f t="shared" si="103"/>
        <v>113.8209068543492</v>
      </c>
      <c r="M228" s="6">
        <f t="shared" si="97"/>
        <v>364.60333164085398</v>
      </c>
      <c r="N228" s="6">
        <f t="shared" si="101"/>
        <v>7.2920666328170798</v>
      </c>
      <c r="O228" s="6"/>
      <c r="P228" s="9"/>
    </row>
    <row r="229" spans="2:16">
      <c r="B229" s="9">
        <f t="shared" si="98"/>
        <v>55</v>
      </c>
      <c r="C229" s="6">
        <f t="shared" si="91"/>
        <v>21.086856222839685</v>
      </c>
      <c r="D229" s="7">
        <f t="shared" si="93"/>
        <v>464.65537423043355</v>
      </c>
      <c r="E229" s="6">
        <f t="shared" si="94"/>
        <v>28.28871214957902</v>
      </c>
      <c r="F229" s="6">
        <f t="shared" si="95"/>
        <v>18.893267342152562</v>
      </c>
      <c r="G229" s="6">
        <f t="shared" si="96"/>
        <v>0.57846001104158673</v>
      </c>
      <c r="H229" s="6">
        <f t="shared" si="92"/>
        <v>29.204326762613736</v>
      </c>
      <c r="I229" s="10">
        <f t="shared" si="99"/>
        <v>268.78455290786923</v>
      </c>
      <c r="J229" s="7">
        <f t="shared" si="100"/>
        <v>51.87355138940103</v>
      </c>
      <c r="K229" s="6">
        <f t="shared" si="102"/>
        <v>15.823225160744101</v>
      </c>
      <c r="L229" s="6">
        <f t="shared" si="103"/>
        <v>129.64413201509331</v>
      </c>
      <c r="M229" s="6">
        <f t="shared" si="97"/>
        <v>398.42868492296253</v>
      </c>
      <c r="N229" s="6">
        <f t="shared" si="101"/>
        <v>7.2441579076902283</v>
      </c>
      <c r="O229" s="6"/>
      <c r="P229" s="9"/>
    </row>
    <row r="230" spans="2:16">
      <c r="B230" s="9">
        <f t="shared" si="98"/>
        <v>60</v>
      </c>
      <c r="C230" s="6">
        <f t="shared" si="91"/>
        <v>22.086862554132061</v>
      </c>
      <c r="D230" s="7">
        <f t="shared" si="93"/>
        <v>423.53234339675333</v>
      </c>
      <c r="E230" s="6">
        <f t="shared" si="94"/>
        <v>29.837336494310446</v>
      </c>
      <c r="F230" s="6">
        <f t="shared" si="95"/>
        <v>19.887637379043554</v>
      </c>
      <c r="G230" s="6">
        <f t="shared" si="96"/>
        <v>0.67377509744870367</v>
      </c>
      <c r="H230" s="6">
        <f t="shared" si="92"/>
        <v>29.613965548722863</v>
      </c>
      <c r="I230" s="10">
        <f t="shared" si="99"/>
        <v>285.36554594482533</v>
      </c>
      <c r="J230" s="7">
        <f t="shared" si="100"/>
        <v>41.123030833680218</v>
      </c>
      <c r="K230" s="6">
        <f t="shared" si="102"/>
        <v>13.985184655312366</v>
      </c>
      <c r="L230" s="6">
        <f t="shared" si="103"/>
        <v>143.62931667040567</v>
      </c>
      <c r="M230" s="6">
        <f t="shared" si="97"/>
        <v>428.994862615231</v>
      </c>
      <c r="N230" s="6">
        <f t="shared" si="101"/>
        <v>7.1499143769205169</v>
      </c>
      <c r="O230" s="6"/>
      <c r="P230" s="9"/>
    </row>
    <row r="231" spans="2:16">
      <c r="B231" s="9">
        <f t="shared" si="98"/>
        <v>65</v>
      </c>
      <c r="C231" s="6">
        <f t="shared" si="91"/>
        <v>23.0117374271118</v>
      </c>
      <c r="D231" s="7">
        <f>D230</f>
        <v>423.53234339675333</v>
      </c>
      <c r="E231" s="6">
        <f t="shared" si="94"/>
        <v>30.776361952846774</v>
      </c>
      <c r="F231" s="6">
        <f t="shared" si="95"/>
        <v>20.715003315405443</v>
      </c>
      <c r="G231" s="6">
        <f t="shared" si="96"/>
        <v>0.74307180688891794</v>
      </c>
      <c r="H231" s="6">
        <f t="shared" si="92"/>
        <v>31.507288124707291</v>
      </c>
      <c r="I231" s="10">
        <f t="shared" si="99"/>
        <v>314.71494368372316</v>
      </c>
      <c r="J231" s="7">
        <f t="shared" si="100"/>
        <v>0</v>
      </c>
      <c r="K231" s="6">
        <v>0</v>
      </c>
      <c r="L231" s="6">
        <f t="shared" si="103"/>
        <v>143.62931667040567</v>
      </c>
      <c r="M231" s="6">
        <f t="shared" si="97"/>
        <v>456.72868859880003</v>
      </c>
      <c r="N231" s="6">
        <f t="shared" si="101"/>
        <v>7.0265952092123083</v>
      </c>
      <c r="O231" s="6"/>
      <c r="P231" s="9"/>
    </row>
    <row r="232" spans="2:16">
      <c r="B232" s="9">
        <f t="shared" si="98"/>
        <v>70</v>
      </c>
      <c r="C232" s="6">
        <f t="shared" si="91"/>
        <v>23.871042959485663</v>
      </c>
      <c r="D232" s="7">
        <f t="shared" ref="D232:D234" si="104">D231</f>
        <v>423.53234339675333</v>
      </c>
      <c r="E232" s="6">
        <f t="shared" si="94"/>
        <v>31.648814859865961</v>
      </c>
      <c r="F232" s="6">
        <f t="shared" si="95"/>
        <v>21.488914792334128</v>
      </c>
      <c r="G232" s="6">
        <f t="shared" si="96"/>
        <v>0.81161860741316261</v>
      </c>
      <c r="H232" s="6">
        <f t="shared" si="92"/>
        <v>33.318954557886357</v>
      </c>
      <c r="I232" s="10">
        <f t="shared" si="99"/>
        <v>343.74673074210631</v>
      </c>
      <c r="J232" s="7">
        <f t="shared" si="100"/>
        <v>0</v>
      </c>
      <c r="K232" s="6">
        <v>0</v>
      </c>
      <c r="L232" s="6">
        <f t="shared" si="103"/>
        <v>143.62931667040567</v>
      </c>
      <c r="M232" s="6">
        <f t="shared" si="97"/>
        <v>481.99929546266407</v>
      </c>
      <c r="N232" s="6">
        <f t="shared" si="101"/>
        <v>6.8857042208952013</v>
      </c>
      <c r="O232" s="6"/>
      <c r="P232" s="9"/>
    </row>
    <row r="233" spans="2:16">
      <c r="B233" s="9">
        <f t="shared" si="98"/>
        <v>75</v>
      </c>
      <c r="C233" s="6">
        <f t="shared" si="91"/>
        <v>24.672674449388651</v>
      </c>
      <c r="D233" s="7">
        <f t="shared" si="104"/>
        <v>423.53234339675333</v>
      </c>
      <c r="E233" s="6">
        <f t="shared" si="94"/>
        <v>32.462711311564462</v>
      </c>
      <c r="F233" s="6">
        <f t="shared" si="95"/>
        <v>22.215274797617578</v>
      </c>
      <c r="G233" s="6">
        <f t="shared" si="96"/>
        <v>0.87929263204158437</v>
      </c>
      <c r="H233" s="6">
        <f t="shared" si="92"/>
        <v>35.054682812332693</v>
      </c>
      <c r="I233" s="10">
        <f t="shared" si="99"/>
        <v>372.40886898007136</v>
      </c>
      <c r="J233" s="7">
        <f t="shared" si="100"/>
        <v>0</v>
      </c>
      <c r="K233" s="6">
        <v>0</v>
      </c>
      <c r="L233" s="6">
        <f t="shared" si="103"/>
        <v>143.62931667040567</v>
      </c>
      <c r="M233" s="6">
        <f t="shared" si="97"/>
        <v>505.12165293586969</v>
      </c>
      <c r="N233" s="6">
        <f t="shared" si="101"/>
        <v>6.7349553724782627</v>
      </c>
      <c r="O233" s="6"/>
      <c r="P233" s="9"/>
    </row>
    <row r="234" spans="2:16">
      <c r="B234" s="9">
        <f t="shared" si="98"/>
        <v>80</v>
      </c>
      <c r="C234" s="6">
        <f t="shared" si="91"/>
        <v>25.423220508157669</v>
      </c>
      <c r="D234" s="7">
        <f t="shared" si="104"/>
        <v>423.53234339675333</v>
      </c>
      <c r="E234" s="6">
        <f>$E$5+$E$6*C234+$E$7*1/SQRT(D234)</f>
        <v>33.224740725032646</v>
      </c>
      <c r="F234" s="6">
        <f t="shared" si="95"/>
        <v>22.899090598484158</v>
      </c>
      <c r="G234" s="6">
        <f t="shared" si="96"/>
        <v>0.94600779472163588</v>
      </c>
      <c r="H234" s="6">
        <f t="shared" si="92"/>
        <v>36.719745595549462</v>
      </c>
      <c r="I234" s="10">
        <f t="shared" si="99"/>
        <v>400.66489817004924</v>
      </c>
      <c r="J234" s="7">
        <f t="shared" si="100"/>
        <v>0</v>
      </c>
      <c r="K234" s="6">
        <v>0</v>
      </c>
      <c r="L234" s="6">
        <f t="shared" si="103"/>
        <v>143.62931667040567</v>
      </c>
      <c r="M234" s="6">
        <f t="shared" si="97"/>
        <v>526.36319548394329</v>
      </c>
      <c r="N234" s="6">
        <f t="shared" si="101"/>
        <v>6.5795399435492907</v>
      </c>
      <c r="O234" s="6"/>
      <c r="P234" s="9"/>
    </row>
    <row r="236" spans="2:16">
      <c r="C236" s="244" t="s">
        <v>22</v>
      </c>
      <c r="D236" s="244"/>
      <c r="E236" s="244"/>
      <c r="F236" s="244"/>
      <c r="G236" s="244"/>
      <c r="H236" s="244"/>
      <c r="I236" s="244"/>
      <c r="J236" s="245" t="s">
        <v>11</v>
      </c>
      <c r="K236" s="245"/>
      <c r="L236" s="245"/>
      <c r="M236" s="230" t="s">
        <v>6</v>
      </c>
      <c r="N236" s="246" t="s">
        <v>23</v>
      </c>
      <c r="O236" s="246"/>
      <c r="P236" s="246"/>
    </row>
    <row r="237" spans="2:16" ht="14.4" customHeight="1">
      <c r="B237" s="242" t="s">
        <v>0</v>
      </c>
      <c r="C237" s="236" t="s">
        <v>12</v>
      </c>
      <c r="D237" s="236" t="s">
        <v>2</v>
      </c>
      <c r="E237" s="231" t="s">
        <v>21</v>
      </c>
      <c r="F237" s="232"/>
      <c r="G237" s="233"/>
      <c r="H237" s="234" t="s">
        <v>15</v>
      </c>
      <c r="I237" s="234" t="s">
        <v>16</v>
      </c>
      <c r="J237" s="238" t="s">
        <v>4</v>
      </c>
      <c r="K237" s="238" t="s">
        <v>5</v>
      </c>
      <c r="L237" s="240" t="s">
        <v>17</v>
      </c>
      <c r="M237" s="230"/>
      <c r="N237" s="247" t="s">
        <v>7</v>
      </c>
      <c r="O237" s="247" t="s">
        <v>8</v>
      </c>
      <c r="P237" s="247" t="s">
        <v>9</v>
      </c>
    </row>
    <row r="238" spans="2:16" ht="30.6">
      <c r="B238" s="243"/>
      <c r="C238" s="237"/>
      <c r="D238" s="237"/>
      <c r="E238" s="34" t="s">
        <v>14</v>
      </c>
      <c r="F238" s="34" t="s">
        <v>13</v>
      </c>
      <c r="G238" s="35" t="s">
        <v>20</v>
      </c>
      <c r="H238" s="235"/>
      <c r="I238" s="235"/>
      <c r="J238" s="239"/>
      <c r="K238" s="239"/>
      <c r="L238" s="241"/>
      <c r="M238" s="230"/>
      <c r="N238" s="248"/>
      <c r="O238" s="248"/>
      <c r="P238" s="248"/>
    </row>
    <row r="239" spans="2:16">
      <c r="B239" s="11">
        <v>20</v>
      </c>
      <c r="C239" s="5">
        <f>69*(S/69)^((50/B239)^0.458203)</f>
        <v>10.481759685277138</v>
      </c>
      <c r="D239" s="11">
        <f>D221</f>
        <v>2250</v>
      </c>
      <c r="E239" s="3"/>
      <c r="F239" s="3"/>
      <c r="G239" s="2"/>
      <c r="H239" s="3"/>
      <c r="I239" s="3"/>
      <c r="J239" s="3"/>
      <c r="K239" s="3"/>
      <c r="L239" s="3"/>
      <c r="M239" s="3"/>
      <c r="N239" s="3"/>
      <c r="O239" s="3"/>
      <c r="P239" s="3"/>
    </row>
    <row r="240" spans="2:16">
      <c r="B240" s="9">
        <v>20</v>
      </c>
      <c r="C240" s="6">
        <f t="shared" ref="C240:C252" si="105">69*(S/69)^((50/B240)^0.458203)</f>
        <v>10.481759685277138</v>
      </c>
      <c r="D240" s="7">
        <f>100^2/(Fw*C240)^2</f>
        <v>1880.5558741121929</v>
      </c>
      <c r="E240" s="6">
        <f>$E$5+$E$6*C240+$E$7*1/SQRT(D240)</f>
        <v>11.865505453406001</v>
      </c>
      <c r="F240" s="6">
        <f>$F$5+$F$6*C240*LN(E240)+$F$7*LN(E240)</f>
        <v>8.6043146121524305</v>
      </c>
      <c r="G240" s="6">
        <f>$G$5*E240^$G$6*F240^$G$7</f>
        <v>5.0187583267485528E-2</v>
      </c>
      <c r="H240" s="6">
        <f t="shared" ref="H240:H252" si="106">PI()/4*(E240/100)^2*D240</f>
        <v>20.794506085127242</v>
      </c>
      <c r="I240" s="30">
        <f>G240*D240</f>
        <v>94.380554521164711</v>
      </c>
      <c r="J240" s="7">
        <f>D239-D240</f>
        <v>369.4441258878071</v>
      </c>
      <c r="K240" s="6">
        <f>M240-I240</f>
        <v>0</v>
      </c>
      <c r="L240" s="6">
        <f>K240</f>
        <v>0</v>
      </c>
      <c r="M240" s="30">
        <f>I240</f>
        <v>94.380554521164711</v>
      </c>
      <c r="N240" s="6">
        <f>M240/B240</f>
        <v>4.7190277260582354</v>
      </c>
      <c r="O240" s="9"/>
      <c r="P240" s="9"/>
    </row>
    <row r="241" spans="2:18" ht="18" customHeight="1">
      <c r="B241" s="9">
        <f>B240+5</f>
        <v>25</v>
      </c>
      <c r="C241" s="6">
        <f t="shared" si="105"/>
        <v>12.588597161106906</v>
      </c>
      <c r="D241" s="7">
        <f t="shared" ref="D241:D248" si="107">100^2/(Fw*C241)^2</f>
        <v>1303.7669448571842</v>
      </c>
      <c r="E241" s="6">
        <f t="shared" ref="E241:E251" si="108">$E$5+$E$6*C241+$E$7*1/SQRT(D241)</f>
        <v>15.128184601892878</v>
      </c>
      <c r="F241" s="6">
        <f t="shared" ref="F241:F252" si="109">$F$5+$F$6*C241*LN(E241)+$F$7*LN(E241)</f>
        <v>10.629751910002412</v>
      </c>
      <c r="G241" s="6">
        <f t="shared" ref="G241:G252" si="110">$G$5*E241^$G$6*F241^$G$7</f>
        <v>9.8700900921528903E-2</v>
      </c>
      <c r="H241" s="6">
        <f t="shared" si="106"/>
        <v>23.434920145693543</v>
      </c>
      <c r="I241" s="10">
        <f>G241*D241</f>
        <v>128.68297204911337</v>
      </c>
      <c r="J241" s="7">
        <f>D240-D241</f>
        <v>576.78892925500872</v>
      </c>
      <c r="K241" s="6">
        <f>M241-I241-L240</f>
        <v>3.662908038953077</v>
      </c>
      <c r="L241" s="6">
        <f>K241+L240</f>
        <v>3.662908038953077</v>
      </c>
      <c r="M241" s="6">
        <f t="shared" ref="M241:M252" si="111">EXP((7.4341+0.0093*S)-(15.1338+0.9646*S)*1/C241)</f>
        <v>132.34588008806645</v>
      </c>
      <c r="N241" s="6">
        <f>M241/B241</f>
        <v>5.2938352035226579</v>
      </c>
      <c r="O241" s="6">
        <f>(M241-M240)/(B241-B240)</f>
        <v>7.593065113380348</v>
      </c>
      <c r="P241" s="258" t="s">
        <v>28</v>
      </c>
      <c r="Q241" s="259"/>
    </row>
    <row r="242" spans="2:18">
      <c r="B242" s="9">
        <f t="shared" ref="B242:B252" si="112">B241+5</f>
        <v>30</v>
      </c>
      <c r="C242" s="6">
        <f t="shared" si="105"/>
        <v>14.427627783791582</v>
      </c>
      <c r="D242" s="27">
        <f t="shared" si="107"/>
        <v>992.5783069984999</v>
      </c>
      <c r="E242" s="6">
        <f t="shared" si="108"/>
        <v>17.976134163687622</v>
      </c>
      <c r="F242" s="6">
        <f t="shared" si="109"/>
        <v>12.395740757429095</v>
      </c>
      <c r="G242" s="6">
        <f t="shared" si="110"/>
        <v>0.16002740252427777</v>
      </c>
      <c r="H242" s="6">
        <f t="shared" si="106"/>
        <v>25.1911075597848</v>
      </c>
      <c r="I242" s="10">
        <f t="shared" ref="I242:I252" si="113">G242*D242</f>
        <v>158.83972827091509</v>
      </c>
      <c r="J242" s="7">
        <f t="shared" ref="J242:J252" si="114">D241-D242</f>
        <v>311.18863785868427</v>
      </c>
      <c r="K242" s="6">
        <f>M242-I242-L241</f>
        <v>25.038349321443746</v>
      </c>
      <c r="L242" s="6">
        <f>K242+L241</f>
        <v>28.701257360396824</v>
      </c>
      <c r="M242" s="6">
        <f t="shared" si="111"/>
        <v>187.54098563131191</v>
      </c>
      <c r="N242" s="6">
        <f t="shared" ref="N242:N252" si="115">M242/B242</f>
        <v>6.2513661877103974</v>
      </c>
      <c r="O242" s="6">
        <f t="shared" ref="O242:O252" si="116">(M242-M241)/(B242-B241)</f>
        <v>11.039021108649091</v>
      </c>
      <c r="P242" s="258"/>
      <c r="Q242" s="259"/>
    </row>
    <row r="243" spans="2:18">
      <c r="B243" s="9">
        <f t="shared" si="112"/>
        <v>35</v>
      </c>
      <c r="C243" s="6">
        <f t="shared" si="105"/>
        <v>16.052560628026367</v>
      </c>
      <c r="D243" s="27">
        <f t="shared" si="107"/>
        <v>801.7999053489583</v>
      </c>
      <c r="E243" s="6">
        <f t="shared" si="108"/>
        <v>20.492528792793163</v>
      </c>
      <c r="F243" s="6">
        <f t="shared" si="109"/>
        <v>13.963349002197235</v>
      </c>
      <c r="G243" s="6">
        <f t="shared" si="110"/>
        <v>0.23145407601626802</v>
      </c>
      <c r="H243" s="6">
        <f t="shared" si="106"/>
        <v>26.445208164349964</v>
      </c>
      <c r="I243" s="10">
        <f t="shared" si="113"/>
        <v>185.57985624247431</v>
      </c>
      <c r="J243" s="7">
        <f t="shared" si="114"/>
        <v>190.77840164954159</v>
      </c>
      <c r="K243" s="6">
        <f t="shared" ref="K243:K248" si="117">M243-I243-L242</f>
        <v>24.496465785743851</v>
      </c>
      <c r="L243" s="6">
        <f t="shared" ref="L243:L252" si="118">K243+L242</f>
        <v>53.197723146140675</v>
      </c>
      <c r="M243" s="6">
        <f t="shared" si="111"/>
        <v>238.77757938861498</v>
      </c>
      <c r="N243" s="6">
        <f t="shared" si="115"/>
        <v>6.8222165539604278</v>
      </c>
      <c r="O243" s="6">
        <f t="shared" si="116"/>
        <v>10.247318751460615</v>
      </c>
      <c r="P243" s="9"/>
    </row>
    <row r="244" spans="2:18">
      <c r="B244" s="9">
        <f t="shared" si="112"/>
        <v>40</v>
      </c>
      <c r="C244" s="6">
        <f t="shared" si="105"/>
        <v>17.503752121943602</v>
      </c>
      <c r="D244" s="27">
        <f t="shared" si="107"/>
        <v>674.36081898142515</v>
      </c>
      <c r="E244" s="6">
        <f t="shared" si="108"/>
        <v>22.739865040597717</v>
      </c>
      <c r="F244" s="6">
        <f t="shared" si="109"/>
        <v>15.372096846711377</v>
      </c>
      <c r="G244" s="6">
        <f t="shared" si="110"/>
        <v>0.31068635500491759</v>
      </c>
      <c r="H244" s="6">
        <f t="shared" si="106"/>
        <v>27.387852262074382</v>
      </c>
      <c r="I244" s="10">
        <f t="shared" si="113"/>
        <v>209.51470480747003</v>
      </c>
      <c r="J244" s="7">
        <f t="shared" si="114"/>
        <v>127.43908636753315</v>
      </c>
      <c r="K244" s="6">
        <f t="shared" si="117"/>
        <v>22.528195563414556</v>
      </c>
      <c r="L244" s="6">
        <f t="shared" si="118"/>
        <v>75.725918709555231</v>
      </c>
      <c r="M244" s="6">
        <f t="shared" si="111"/>
        <v>285.24062351702526</v>
      </c>
      <c r="N244" s="6">
        <f t="shared" si="115"/>
        <v>7.1310155879256314</v>
      </c>
      <c r="O244" s="6">
        <f t="shared" si="116"/>
        <v>9.2926088256820556</v>
      </c>
      <c r="P244" s="9"/>
    </row>
    <row r="245" spans="2:18">
      <c r="B245" s="9">
        <f t="shared" si="112"/>
        <v>45</v>
      </c>
      <c r="C245" s="6">
        <f t="shared" si="105"/>
        <v>18.811742929002914</v>
      </c>
      <c r="D245" s="27">
        <f t="shared" si="107"/>
        <v>583.84365899637112</v>
      </c>
      <c r="E245" s="6">
        <f t="shared" si="108"/>
        <v>24.765438622596101</v>
      </c>
      <c r="F245" s="6">
        <f t="shared" si="109"/>
        <v>16.650094131831352</v>
      </c>
      <c r="G245" s="6">
        <f t="shared" si="110"/>
        <v>0.39586639182154898</v>
      </c>
      <c r="H245" s="6">
        <f t="shared" si="106"/>
        <v>28.124091199395828</v>
      </c>
      <c r="I245" s="10">
        <f t="shared" si="113"/>
        <v>231.12408267478429</v>
      </c>
      <c r="J245" s="7">
        <f t="shared" si="114"/>
        <v>90.517159985054036</v>
      </c>
      <c r="K245" s="6">
        <f t="shared" si="117"/>
        <v>20.190328916609587</v>
      </c>
      <c r="L245" s="6">
        <f t="shared" si="118"/>
        <v>95.916247626164818</v>
      </c>
      <c r="M245" s="6">
        <f t="shared" si="111"/>
        <v>327.04033030094911</v>
      </c>
      <c r="N245" s="6">
        <f t="shared" si="115"/>
        <v>7.2675628955766465</v>
      </c>
      <c r="O245" s="6">
        <f t="shared" si="116"/>
        <v>8.3599413567847698</v>
      </c>
      <c r="P245" s="9"/>
    </row>
    <row r="246" spans="2:18">
      <c r="B246" s="9">
        <f t="shared" si="112"/>
        <v>50</v>
      </c>
      <c r="C246" s="6">
        <f t="shared" si="105"/>
        <v>20</v>
      </c>
      <c r="D246" s="7">
        <f t="shared" si="107"/>
        <v>516.52892561983458</v>
      </c>
      <c r="E246" s="6">
        <f t="shared" si="108"/>
        <v>26.605590800000002</v>
      </c>
      <c r="F246" s="6">
        <f t="shared" si="109"/>
        <v>17.818388494486186</v>
      </c>
      <c r="G246" s="6">
        <f t="shared" si="110"/>
        <v>0.48551477438667334</v>
      </c>
      <c r="H246" s="6">
        <f t="shared" si="106"/>
        <v>28.716423060861885</v>
      </c>
      <c r="I246" s="10">
        <f t="shared" si="113"/>
        <v>250.78242478650478</v>
      </c>
      <c r="J246" s="7">
        <f t="shared" si="114"/>
        <v>67.314733376536537</v>
      </c>
      <c r="K246" s="6">
        <f t="shared" si="117"/>
        <v>17.904659228184386</v>
      </c>
      <c r="L246" s="6">
        <f t="shared" si="118"/>
        <v>113.8209068543492</v>
      </c>
      <c r="M246" s="6">
        <f t="shared" si="111"/>
        <v>364.60333164085398</v>
      </c>
      <c r="N246" s="6">
        <f t="shared" si="115"/>
        <v>7.2920666328170798</v>
      </c>
      <c r="O246" s="6">
        <f t="shared" si="116"/>
        <v>7.5126002679809742</v>
      </c>
      <c r="P246" s="9"/>
    </row>
    <row r="247" spans="2:18">
      <c r="B247" s="9">
        <f t="shared" si="112"/>
        <v>55</v>
      </c>
      <c r="C247" s="6">
        <f t="shared" si="105"/>
        <v>21.086856222839685</v>
      </c>
      <c r="D247" s="7">
        <f t="shared" si="107"/>
        <v>464.65537423043355</v>
      </c>
      <c r="E247" s="6">
        <f t="shared" si="108"/>
        <v>28.28871214957902</v>
      </c>
      <c r="F247" s="6">
        <f t="shared" si="109"/>
        <v>18.893267342152562</v>
      </c>
      <c r="G247" s="6">
        <f t="shared" si="110"/>
        <v>0.57846001104158673</v>
      </c>
      <c r="H247" s="6">
        <f t="shared" si="106"/>
        <v>29.204326762613736</v>
      </c>
      <c r="I247" s="10">
        <f t="shared" si="113"/>
        <v>268.78455290786923</v>
      </c>
      <c r="J247" s="7">
        <f t="shared" si="114"/>
        <v>51.87355138940103</v>
      </c>
      <c r="K247" s="6">
        <f t="shared" si="117"/>
        <v>15.823225160744101</v>
      </c>
      <c r="L247" s="6">
        <f t="shared" si="118"/>
        <v>129.64413201509331</v>
      </c>
      <c r="M247" s="6">
        <f t="shared" si="111"/>
        <v>398.42868492296253</v>
      </c>
      <c r="N247" s="6">
        <f t="shared" si="115"/>
        <v>7.2441579076902283</v>
      </c>
      <c r="O247" s="6">
        <f t="shared" si="116"/>
        <v>6.7650706564217105</v>
      </c>
      <c r="P247" s="9"/>
    </row>
    <row r="248" spans="2:18">
      <c r="B248" s="9">
        <f t="shared" si="112"/>
        <v>60</v>
      </c>
      <c r="C248" s="6">
        <f t="shared" si="105"/>
        <v>22.086862554132061</v>
      </c>
      <c r="D248" s="7">
        <f t="shared" si="107"/>
        <v>423.53234339675333</v>
      </c>
      <c r="E248" s="6">
        <f t="shared" si="108"/>
        <v>29.837336494310446</v>
      </c>
      <c r="F248" s="6">
        <f t="shared" si="109"/>
        <v>19.887637379043554</v>
      </c>
      <c r="G248" s="6">
        <f t="shared" si="110"/>
        <v>0.67377509744870367</v>
      </c>
      <c r="H248" s="6">
        <f t="shared" si="106"/>
        <v>29.613965548722863</v>
      </c>
      <c r="I248" s="10">
        <f t="shared" si="113"/>
        <v>285.36554594482533</v>
      </c>
      <c r="J248" s="7">
        <f t="shared" si="114"/>
        <v>41.123030833680218</v>
      </c>
      <c r="K248" s="6">
        <f t="shared" si="117"/>
        <v>13.985184655312366</v>
      </c>
      <c r="L248" s="6">
        <f t="shared" si="118"/>
        <v>143.62931667040567</v>
      </c>
      <c r="M248" s="6">
        <f t="shared" si="111"/>
        <v>428.994862615231</v>
      </c>
      <c r="N248" s="6">
        <f t="shared" si="115"/>
        <v>7.1499143769205169</v>
      </c>
      <c r="O248" s="6">
        <f t="shared" si="116"/>
        <v>6.1132355384536936</v>
      </c>
      <c r="P248" s="9"/>
    </row>
    <row r="249" spans="2:18">
      <c r="B249" s="9">
        <f t="shared" si="112"/>
        <v>65</v>
      </c>
      <c r="C249" s="6">
        <f t="shared" si="105"/>
        <v>23.0117374271118</v>
      </c>
      <c r="D249" s="7">
        <f>D248</f>
        <v>423.53234339675333</v>
      </c>
      <c r="E249" s="6">
        <f t="shared" si="108"/>
        <v>30.776361952846774</v>
      </c>
      <c r="F249" s="6">
        <f t="shared" si="109"/>
        <v>20.715003315405443</v>
      </c>
      <c r="G249" s="6">
        <f t="shared" si="110"/>
        <v>0.74307180688891794</v>
      </c>
      <c r="H249" s="6">
        <f t="shared" si="106"/>
        <v>31.507288124707291</v>
      </c>
      <c r="I249" s="10">
        <f t="shared" si="113"/>
        <v>314.71494368372316</v>
      </c>
      <c r="J249" s="7">
        <f t="shared" si="114"/>
        <v>0</v>
      </c>
      <c r="K249" s="6">
        <v>0</v>
      </c>
      <c r="L249" s="6">
        <f t="shared" si="118"/>
        <v>143.62931667040567</v>
      </c>
      <c r="M249" s="6">
        <f t="shared" si="111"/>
        <v>456.72868859880003</v>
      </c>
      <c r="N249" s="6">
        <f t="shared" si="115"/>
        <v>7.0265952092123083</v>
      </c>
      <c r="O249" s="6">
        <f t="shared" si="116"/>
        <v>5.5467651967138067</v>
      </c>
      <c r="P249" s="9"/>
    </row>
    <row r="250" spans="2:18">
      <c r="B250" s="9">
        <f t="shared" si="112"/>
        <v>70</v>
      </c>
      <c r="C250" s="6">
        <f t="shared" si="105"/>
        <v>23.871042959485663</v>
      </c>
      <c r="D250" s="7">
        <f t="shared" ref="D250:D252" si="119">D249</f>
        <v>423.53234339675333</v>
      </c>
      <c r="E250" s="6">
        <f t="shared" si="108"/>
        <v>31.648814859865961</v>
      </c>
      <c r="F250" s="6">
        <f t="shared" si="109"/>
        <v>21.488914792334128</v>
      </c>
      <c r="G250" s="6">
        <f t="shared" si="110"/>
        <v>0.81161860741316261</v>
      </c>
      <c r="H250" s="6">
        <f t="shared" si="106"/>
        <v>33.318954557886357</v>
      </c>
      <c r="I250" s="10">
        <f t="shared" si="113"/>
        <v>343.74673074210631</v>
      </c>
      <c r="J250" s="7">
        <f t="shared" si="114"/>
        <v>0</v>
      </c>
      <c r="K250" s="6">
        <v>0</v>
      </c>
      <c r="L250" s="6">
        <f t="shared" si="118"/>
        <v>143.62931667040567</v>
      </c>
      <c r="M250" s="6">
        <f t="shared" si="111"/>
        <v>481.99929546266407</v>
      </c>
      <c r="N250" s="6">
        <f t="shared" si="115"/>
        <v>6.8857042208952013</v>
      </c>
      <c r="O250" s="6">
        <f t="shared" si="116"/>
        <v>5.0541213727728067</v>
      </c>
      <c r="P250" s="9"/>
    </row>
    <row r="251" spans="2:18">
      <c r="B251" s="9">
        <f t="shared" si="112"/>
        <v>75</v>
      </c>
      <c r="C251" s="6">
        <f t="shared" si="105"/>
        <v>24.672674449388651</v>
      </c>
      <c r="D251" s="7">
        <f t="shared" si="119"/>
        <v>423.53234339675333</v>
      </c>
      <c r="E251" s="6">
        <f t="shared" si="108"/>
        <v>32.462711311564462</v>
      </c>
      <c r="F251" s="6">
        <f t="shared" si="109"/>
        <v>22.215274797617578</v>
      </c>
      <c r="G251" s="6">
        <f t="shared" si="110"/>
        <v>0.87929263204158437</v>
      </c>
      <c r="H251" s="6">
        <f t="shared" si="106"/>
        <v>35.054682812332693</v>
      </c>
      <c r="I251" s="10">
        <f t="shared" si="113"/>
        <v>372.40886898007136</v>
      </c>
      <c r="J251" s="7">
        <f t="shared" si="114"/>
        <v>0</v>
      </c>
      <c r="K251" s="6">
        <v>0</v>
      </c>
      <c r="L251" s="6">
        <f t="shared" si="118"/>
        <v>143.62931667040567</v>
      </c>
      <c r="M251" s="6">
        <f t="shared" si="111"/>
        <v>505.12165293586969</v>
      </c>
      <c r="N251" s="6">
        <f t="shared" si="115"/>
        <v>6.7349553724782627</v>
      </c>
      <c r="O251" s="6">
        <f t="shared" si="116"/>
        <v>4.6244714946411252</v>
      </c>
      <c r="P251" s="9"/>
    </row>
    <row r="252" spans="2:18">
      <c r="B252" s="9">
        <f t="shared" si="112"/>
        <v>80</v>
      </c>
      <c r="C252" s="6">
        <f t="shared" si="105"/>
        <v>25.423220508157669</v>
      </c>
      <c r="D252" s="7">
        <f t="shared" si="119"/>
        <v>423.53234339675333</v>
      </c>
      <c r="E252" s="6">
        <f>$E$5+$E$6*C252+$E$7*1/SQRT(D252)</f>
        <v>33.224740725032646</v>
      </c>
      <c r="F252" s="6">
        <f t="shared" si="109"/>
        <v>22.899090598484158</v>
      </c>
      <c r="G252" s="6">
        <f t="shared" si="110"/>
        <v>0.94600779472163588</v>
      </c>
      <c r="H252" s="6">
        <f t="shared" si="106"/>
        <v>36.719745595549462</v>
      </c>
      <c r="I252" s="10">
        <f t="shared" si="113"/>
        <v>400.66489817004924</v>
      </c>
      <c r="J252" s="7">
        <f t="shared" si="114"/>
        <v>0</v>
      </c>
      <c r="K252" s="6">
        <v>0</v>
      </c>
      <c r="L252" s="6">
        <f t="shared" si="118"/>
        <v>143.62931667040567</v>
      </c>
      <c r="M252" s="6">
        <f t="shared" si="111"/>
        <v>526.36319548394329</v>
      </c>
      <c r="N252" s="6">
        <f t="shared" si="115"/>
        <v>6.5795399435492907</v>
      </c>
      <c r="O252" s="6">
        <f t="shared" si="116"/>
        <v>4.2483085096147191</v>
      </c>
      <c r="P252" s="9"/>
    </row>
    <row r="254" spans="2:18">
      <c r="C254" s="244" t="s">
        <v>22</v>
      </c>
      <c r="D254" s="244"/>
      <c r="E254" s="244"/>
      <c r="F254" s="244"/>
      <c r="G254" s="244"/>
      <c r="H254" s="244"/>
      <c r="I254" s="244"/>
      <c r="J254" s="245" t="s">
        <v>11</v>
      </c>
      <c r="K254" s="245"/>
      <c r="L254" s="245"/>
      <c r="M254" s="230" t="s">
        <v>6</v>
      </c>
      <c r="N254" s="246" t="s">
        <v>23</v>
      </c>
      <c r="O254" s="246"/>
      <c r="P254" s="246"/>
    </row>
    <row r="255" spans="2:18" ht="14.4" customHeight="1">
      <c r="B255" s="242" t="s">
        <v>0</v>
      </c>
      <c r="C255" s="236" t="s">
        <v>12</v>
      </c>
      <c r="D255" s="236" t="s">
        <v>2</v>
      </c>
      <c r="E255" s="231" t="s">
        <v>21</v>
      </c>
      <c r="F255" s="232"/>
      <c r="G255" s="233"/>
      <c r="H255" s="234" t="s">
        <v>15</v>
      </c>
      <c r="I255" s="234" t="s">
        <v>16</v>
      </c>
      <c r="J255" s="238" t="s">
        <v>4</v>
      </c>
      <c r="K255" s="238" t="s">
        <v>5</v>
      </c>
      <c r="L255" s="240" t="s">
        <v>17</v>
      </c>
      <c r="M255" s="230"/>
      <c r="N255" s="247" t="s">
        <v>7</v>
      </c>
      <c r="O255" s="247" t="s">
        <v>8</v>
      </c>
      <c r="P255" s="247" t="s">
        <v>9</v>
      </c>
    </row>
    <row r="256" spans="2:18" ht="30.6">
      <c r="B256" s="243"/>
      <c r="C256" s="237"/>
      <c r="D256" s="237"/>
      <c r="E256" s="34" t="s">
        <v>14</v>
      </c>
      <c r="F256" s="34" t="s">
        <v>13</v>
      </c>
      <c r="G256" s="35" t="s">
        <v>20</v>
      </c>
      <c r="H256" s="235"/>
      <c r="I256" s="235"/>
      <c r="J256" s="239"/>
      <c r="K256" s="239"/>
      <c r="L256" s="241"/>
      <c r="M256" s="230"/>
      <c r="N256" s="248"/>
      <c r="O256" s="248"/>
      <c r="P256" s="248"/>
      <c r="Q256" s="260" t="s">
        <v>27</v>
      </c>
      <c r="R256" s="261"/>
    </row>
    <row r="257" spans="2:23">
      <c r="B257" s="11">
        <v>20</v>
      </c>
      <c r="C257" s="5">
        <f>69*(S/69)^((50/B257)^0.458203)</f>
        <v>10.481759685277138</v>
      </c>
      <c r="D257" s="11">
        <f>D239</f>
        <v>2250</v>
      </c>
      <c r="E257" s="3"/>
      <c r="F257" s="3"/>
      <c r="G257" s="2"/>
      <c r="H257" s="3"/>
      <c r="I257" s="3"/>
      <c r="J257" s="3"/>
      <c r="K257" s="3"/>
      <c r="L257" s="3"/>
      <c r="M257" s="3"/>
      <c r="N257" s="3"/>
      <c r="O257" s="3"/>
      <c r="P257" s="3"/>
      <c r="Q257" s="260"/>
      <c r="R257" s="261"/>
      <c r="S257" s="56" t="s">
        <v>37</v>
      </c>
    </row>
    <row r="258" spans="2:23">
      <c r="B258" s="9">
        <v>20</v>
      </c>
      <c r="C258" s="6">
        <f t="shared" ref="C258:C270" si="120">69*(S/69)^((50/B258)^0.458203)</f>
        <v>10.481759685277138</v>
      </c>
      <c r="D258" s="7">
        <f>100^2/(Fw*C258)^2</f>
        <v>1880.5558741121929</v>
      </c>
      <c r="E258" s="6">
        <f>$E$5+$E$6*C258+$E$7*1/SQRT(D258)</f>
        <v>11.865505453406001</v>
      </c>
      <c r="F258" s="6">
        <f>$F$5+$F$6*C258*LN(E258)+$F$7*LN(E258)</f>
        <v>8.6043146121524305</v>
      </c>
      <c r="G258" s="6">
        <f>$G$5*E258^$G$6*F258^$G$7</f>
        <v>5.0187583267485528E-2</v>
      </c>
      <c r="H258" s="6">
        <f t="shared" ref="H258:H270" si="121">PI()/4*(E258/100)^2*D258</f>
        <v>20.794506085127242</v>
      </c>
      <c r="I258" s="30">
        <f>G258*D258</f>
        <v>94.380554521164711</v>
      </c>
      <c r="J258" s="7">
        <f>D257-D258</f>
        <v>369.4441258878071</v>
      </c>
      <c r="K258" s="6">
        <f>M258-I258-L257</f>
        <v>0</v>
      </c>
      <c r="L258" s="6">
        <f>K258</f>
        <v>0</v>
      </c>
      <c r="M258" s="214">
        <f>I258</f>
        <v>94.380554521164711</v>
      </c>
      <c r="N258" s="6">
        <f>M258/B258</f>
        <v>4.7190277260582354</v>
      </c>
      <c r="O258" s="9"/>
      <c r="P258" s="9"/>
      <c r="S258" s="43">
        <v>20</v>
      </c>
      <c r="T258" s="43">
        <v>100</v>
      </c>
    </row>
    <row r="259" spans="2:23">
      <c r="B259" s="9">
        <f>B258+5</f>
        <v>25</v>
      </c>
      <c r="C259" s="6">
        <f t="shared" si="120"/>
        <v>12.588597161106906</v>
      </c>
      <c r="D259" s="7">
        <f t="shared" ref="D259:D265" si="122">100^2/(Fw*C259)^2</f>
        <v>1303.7669448571842</v>
      </c>
      <c r="E259" s="6">
        <f t="shared" ref="E259:E269" si="123">$E$5+$E$6*C259+$E$7*1/SQRT(D259)</f>
        <v>15.128184601892878</v>
      </c>
      <c r="F259" s="6">
        <f t="shared" ref="F259:F270" si="124">$F$5+$F$6*C259*LN(E259)+$F$7*LN(E259)</f>
        <v>10.629751910002412</v>
      </c>
      <c r="G259" s="6">
        <f t="shared" ref="G259:G270" si="125">$G$5*E259^$G$6*F259^$G$7</f>
        <v>9.8700900921528903E-2</v>
      </c>
      <c r="H259" s="6">
        <f t="shared" si="121"/>
        <v>23.434920145693543</v>
      </c>
      <c r="I259" s="10">
        <f>G259*D259</f>
        <v>128.68297204911337</v>
      </c>
      <c r="J259" s="7">
        <f>D258-D259</f>
        <v>576.78892925500872</v>
      </c>
      <c r="K259" s="6">
        <f>M259-I259-L258</f>
        <v>3.662908038953077</v>
      </c>
      <c r="L259" s="6">
        <f>K259+L258</f>
        <v>3.662908038953077</v>
      </c>
      <c r="M259" s="6">
        <f>EXP((7.4341+0.0093*S)-(15.1338+0.9646*S)*1/C259)</f>
        <v>132.34588008806645</v>
      </c>
      <c r="N259" s="6">
        <f>M259/B259</f>
        <v>5.2938352035226579</v>
      </c>
      <c r="O259" s="6">
        <f>(M259-M258)/(B259-B258)</f>
        <v>7.593065113380348</v>
      </c>
      <c r="P259" s="9">
        <f>(B259+B258)/2</f>
        <v>22.5</v>
      </c>
      <c r="Q259" s="1">
        <f>I258+K258</f>
        <v>94.380554521164711</v>
      </c>
      <c r="S259" s="43">
        <v>20</v>
      </c>
      <c r="T259" s="57">
        <f>I258</f>
        <v>94.380554521164711</v>
      </c>
      <c r="U259" s="57">
        <f>T258-T259</f>
        <v>5.6194454788352886</v>
      </c>
    </row>
    <row r="260" spans="2:23">
      <c r="B260" s="9">
        <f t="shared" ref="B260:B270" si="126">B259+5</f>
        <v>30</v>
      </c>
      <c r="C260" s="6">
        <f t="shared" si="120"/>
        <v>14.427627783791582</v>
      </c>
      <c r="D260" s="27">
        <f t="shared" si="122"/>
        <v>992.5783069984999</v>
      </c>
      <c r="E260" s="6">
        <f t="shared" si="123"/>
        <v>17.976134163687622</v>
      </c>
      <c r="F260" s="6">
        <f t="shared" si="124"/>
        <v>12.395740757429095</v>
      </c>
      <c r="G260" s="6">
        <f t="shared" si="125"/>
        <v>0.16002740252427777</v>
      </c>
      <c r="H260" s="6">
        <f t="shared" si="121"/>
        <v>25.1911075597848</v>
      </c>
      <c r="I260" s="10">
        <f t="shared" ref="I260:I270" si="127">G260*D260</f>
        <v>158.83972827091509</v>
      </c>
      <c r="J260" s="7">
        <f t="shared" ref="J260:J270" si="128">D259-D260</f>
        <v>311.18863785868427</v>
      </c>
      <c r="K260" s="6">
        <f>M260-I260-L259</f>
        <v>25.038349321443746</v>
      </c>
      <c r="L260" s="6">
        <f>K260+L259</f>
        <v>28.701257360396824</v>
      </c>
      <c r="M260" s="6">
        <f t="shared" ref="M260:M269" si="129">EXP((7.4341+0.0093*S)-(15.1338+0.9646*S)*1/C260)</f>
        <v>187.54098563131191</v>
      </c>
      <c r="N260" s="6">
        <f t="shared" ref="N260:N270" si="130">M260/B260</f>
        <v>6.2513661877103974</v>
      </c>
      <c r="O260" s="6">
        <f t="shared" ref="O260:O270" si="131">(M260-M259)/(B260-B259)</f>
        <v>11.039021108649091</v>
      </c>
      <c r="P260" s="9">
        <f t="shared" ref="P260:P270" si="132">(B260+B259)/2</f>
        <v>27.5</v>
      </c>
      <c r="Q260" s="1">
        <f>I259+K259</f>
        <v>132.34588008806645</v>
      </c>
      <c r="S260" s="43">
        <v>25</v>
      </c>
      <c r="T260" s="57">
        <f>Q260</f>
        <v>132.34588008806645</v>
      </c>
    </row>
    <row r="261" spans="2:23">
      <c r="B261" s="9">
        <f t="shared" si="126"/>
        <v>35</v>
      </c>
      <c r="C261" s="6">
        <f t="shared" si="120"/>
        <v>16.052560628026367</v>
      </c>
      <c r="D261" s="27">
        <f t="shared" si="122"/>
        <v>801.7999053489583</v>
      </c>
      <c r="E261" s="6">
        <f t="shared" si="123"/>
        <v>20.492528792793163</v>
      </c>
      <c r="F261" s="6">
        <f t="shared" si="124"/>
        <v>13.963349002197235</v>
      </c>
      <c r="G261" s="6">
        <f t="shared" si="125"/>
        <v>0.23145407601626802</v>
      </c>
      <c r="H261" s="6">
        <f t="shared" si="121"/>
        <v>26.445208164349964</v>
      </c>
      <c r="I261" s="10">
        <f t="shared" si="127"/>
        <v>185.57985624247431</v>
      </c>
      <c r="J261" s="7">
        <f t="shared" si="128"/>
        <v>190.77840164954159</v>
      </c>
      <c r="K261" s="6">
        <f t="shared" ref="K261:K265" si="133">M261-I261-L260</f>
        <v>24.496465785743851</v>
      </c>
      <c r="L261" s="6">
        <f>K261+L260</f>
        <v>53.197723146140675</v>
      </c>
      <c r="M261" s="6">
        <f t="shared" si="129"/>
        <v>238.77757938861498</v>
      </c>
      <c r="N261" s="6">
        <f t="shared" si="130"/>
        <v>6.8222165539604278</v>
      </c>
      <c r="O261" s="6">
        <f t="shared" si="131"/>
        <v>10.247318751460615</v>
      </c>
      <c r="P261" s="9">
        <f t="shared" si="132"/>
        <v>32.5</v>
      </c>
      <c r="Q261" s="1">
        <f t="shared" ref="Q261:Q270" si="134">I260+K260</f>
        <v>183.87807759235884</v>
      </c>
      <c r="S261" s="43">
        <v>25</v>
      </c>
      <c r="T261" s="57">
        <f>I259</f>
        <v>128.68297204911337</v>
      </c>
      <c r="U261" s="57">
        <v>-2</v>
      </c>
    </row>
    <row r="262" spans="2:23">
      <c r="B262" s="9">
        <f t="shared" si="126"/>
        <v>40</v>
      </c>
      <c r="C262" s="6">
        <f t="shared" si="120"/>
        <v>17.503752121943602</v>
      </c>
      <c r="D262" s="27">
        <f t="shared" si="122"/>
        <v>674.36081898142515</v>
      </c>
      <c r="E262" s="6">
        <f t="shared" si="123"/>
        <v>22.739865040597717</v>
      </c>
      <c r="F262" s="6">
        <f t="shared" si="124"/>
        <v>15.372096846711377</v>
      </c>
      <c r="G262" s="6">
        <f t="shared" si="125"/>
        <v>0.31068635500491759</v>
      </c>
      <c r="H262" s="6">
        <f t="shared" si="121"/>
        <v>27.387852262074382</v>
      </c>
      <c r="I262" s="10">
        <f t="shared" si="127"/>
        <v>209.51470480747003</v>
      </c>
      <c r="J262" s="7">
        <f t="shared" si="128"/>
        <v>127.43908636753315</v>
      </c>
      <c r="K262" s="6">
        <f t="shared" si="133"/>
        <v>22.528195563414556</v>
      </c>
      <c r="L262" s="6">
        <f t="shared" ref="L262:L270" si="135">K262+L261</f>
        <v>75.725918709555231</v>
      </c>
      <c r="M262" s="6">
        <f t="shared" si="129"/>
        <v>285.24062351702526</v>
      </c>
      <c r="N262" s="6">
        <f t="shared" si="130"/>
        <v>7.1310155879256314</v>
      </c>
      <c r="O262" s="6">
        <f t="shared" si="131"/>
        <v>9.2926088256820556</v>
      </c>
      <c r="P262" s="9">
        <f t="shared" si="132"/>
        <v>37.5</v>
      </c>
      <c r="Q262" s="1">
        <f t="shared" si="134"/>
        <v>210.07632202821816</v>
      </c>
      <c r="S262" s="43">
        <v>30</v>
      </c>
      <c r="T262" s="57">
        <f>Q261</f>
        <v>183.87807759235884</v>
      </c>
    </row>
    <row r="263" spans="2:23">
      <c r="B263" s="9">
        <f t="shared" si="126"/>
        <v>45</v>
      </c>
      <c r="C263" s="6">
        <f t="shared" si="120"/>
        <v>18.811742929002914</v>
      </c>
      <c r="D263" s="27">
        <f t="shared" si="122"/>
        <v>583.84365899637112</v>
      </c>
      <c r="E263" s="6">
        <f t="shared" si="123"/>
        <v>24.765438622596101</v>
      </c>
      <c r="F263" s="6">
        <f t="shared" si="124"/>
        <v>16.650094131831352</v>
      </c>
      <c r="G263" s="6">
        <f t="shared" si="125"/>
        <v>0.39586639182154898</v>
      </c>
      <c r="H263" s="6">
        <f t="shared" si="121"/>
        <v>28.124091199395828</v>
      </c>
      <c r="I263" s="10">
        <f t="shared" si="127"/>
        <v>231.12408267478429</v>
      </c>
      <c r="J263" s="7">
        <f t="shared" si="128"/>
        <v>90.517159985054036</v>
      </c>
      <c r="K263" s="6">
        <f t="shared" si="133"/>
        <v>20.190328916609587</v>
      </c>
      <c r="L263" s="6">
        <f t="shared" si="135"/>
        <v>95.916247626164818</v>
      </c>
      <c r="M263" s="6">
        <f t="shared" si="129"/>
        <v>327.04033030094911</v>
      </c>
      <c r="N263" s="6">
        <f t="shared" si="130"/>
        <v>7.2675628955766465</v>
      </c>
      <c r="O263" s="6">
        <f t="shared" si="131"/>
        <v>8.3599413567847698</v>
      </c>
      <c r="P263" s="9">
        <f t="shared" si="132"/>
        <v>42.5</v>
      </c>
      <c r="Q263" s="1">
        <f t="shared" si="134"/>
        <v>232.04290037088458</v>
      </c>
      <c r="S263" s="43">
        <v>30</v>
      </c>
      <c r="T263" s="57">
        <f>I260</f>
        <v>158.83972827091509</v>
      </c>
      <c r="U263" s="57">
        <f>K260</f>
        <v>25.038349321443746</v>
      </c>
    </row>
    <row r="264" spans="2:23">
      <c r="B264" s="9">
        <f t="shared" si="126"/>
        <v>50</v>
      </c>
      <c r="C264" s="6">
        <f t="shared" si="120"/>
        <v>20</v>
      </c>
      <c r="D264" s="7">
        <f>100^2/(Fw*C264)^2</f>
        <v>516.52892561983458</v>
      </c>
      <c r="E264" s="6">
        <f t="shared" si="123"/>
        <v>26.605590800000002</v>
      </c>
      <c r="F264" s="6">
        <f t="shared" si="124"/>
        <v>17.818388494486186</v>
      </c>
      <c r="G264" s="6">
        <f t="shared" si="125"/>
        <v>0.48551477438667334</v>
      </c>
      <c r="H264" s="6">
        <f t="shared" si="121"/>
        <v>28.716423060861885</v>
      </c>
      <c r="I264" s="10">
        <f t="shared" si="127"/>
        <v>250.78242478650478</v>
      </c>
      <c r="J264" s="7">
        <f t="shared" si="128"/>
        <v>67.314733376536537</v>
      </c>
      <c r="K264" s="6">
        <f t="shared" si="133"/>
        <v>17.904659228184386</v>
      </c>
      <c r="L264" s="6">
        <f t="shared" si="135"/>
        <v>113.8209068543492</v>
      </c>
      <c r="M264" s="6">
        <f t="shared" si="129"/>
        <v>364.60333164085398</v>
      </c>
      <c r="N264" s="6">
        <f t="shared" si="130"/>
        <v>7.2920666328170798</v>
      </c>
      <c r="O264" s="6">
        <f t="shared" si="131"/>
        <v>7.5126002679809742</v>
      </c>
      <c r="P264" s="9">
        <f t="shared" si="132"/>
        <v>47.5</v>
      </c>
      <c r="Q264" s="1">
        <f t="shared" si="134"/>
        <v>251.31441159139388</v>
      </c>
      <c r="S264" s="43">
        <v>35</v>
      </c>
      <c r="T264" s="57">
        <f>Q262</f>
        <v>210.07632202821816</v>
      </c>
    </row>
    <row r="265" spans="2:23">
      <c r="B265" s="9">
        <f t="shared" si="126"/>
        <v>55</v>
      </c>
      <c r="C265" s="6">
        <f t="shared" si="120"/>
        <v>21.086856222839685</v>
      </c>
      <c r="D265" s="7">
        <f t="shared" si="122"/>
        <v>464.65537423043355</v>
      </c>
      <c r="E265" s="6">
        <f t="shared" si="123"/>
        <v>28.28871214957902</v>
      </c>
      <c r="F265" s="6">
        <f t="shared" si="124"/>
        <v>18.893267342152562</v>
      </c>
      <c r="G265" s="6">
        <f t="shared" si="125"/>
        <v>0.57846001104158673</v>
      </c>
      <c r="H265" s="6">
        <f t="shared" si="121"/>
        <v>29.204326762613736</v>
      </c>
      <c r="I265" s="10">
        <f t="shared" si="127"/>
        <v>268.78455290786923</v>
      </c>
      <c r="J265" s="7">
        <f t="shared" si="128"/>
        <v>51.87355138940103</v>
      </c>
      <c r="K265" s="6">
        <f t="shared" si="133"/>
        <v>15.823225160744101</v>
      </c>
      <c r="L265" s="6">
        <f t="shared" si="135"/>
        <v>129.64413201509331</v>
      </c>
      <c r="M265" s="6">
        <f t="shared" si="129"/>
        <v>398.42868492296253</v>
      </c>
      <c r="N265" s="6">
        <f t="shared" si="130"/>
        <v>7.2441579076902283</v>
      </c>
      <c r="O265" s="6">
        <f t="shared" si="131"/>
        <v>6.7650706564217105</v>
      </c>
      <c r="P265" s="9">
        <f t="shared" si="132"/>
        <v>52.5</v>
      </c>
      <c r="Q265" s="1">
        <f t="shared" si="134"/>
        <v>268.68708401468916</v>
      </c>
      <c r="S265" s="43">
        <v>35</v>
      </c>
      <c r="T265" s="57">
        <f>I261</f>
        <v>185.57985624247431</v>
      </c>
      <c r="U265" s="57">
        <f>K261</f>
        <v>24.496465785743851</v>
      </c>
    </row>
    <row r="266" spans="2:23">
      <c r="B266" s="9">
        <f t="shared" si="126"/>
        <v>60</v>
      </c>
      <c r="C266" s="6">
        <f t="shared" si="120"/>
        <v>22.086862554132061</v>
      </c>
      <c r="D266" s="7">
        <f>100^2/(Fw*C266)^2</f>
        <v>423.53234339675333</v>
      </c>
      <c r="E266" s="6">
        <f t="shared" si="123"/>
        <v>29.837336494310446</v>
      </c>
      <c r="F266" s="6">
        <f t="shared" si="124"/>
        <v>19.887637379043554</v>
      </c>
      <c r="G266" s="6">
        <f t="shared" si="125"/>
        <v>0.67377509744870367</v>
      </c>
      <c r="H266" s="6">
        <f t="shared" si="121"/>
        <v>29.613965548722863</v>
      </c>
      <c r="I266" s="10">
        <f t="shared" si="127"/>
        <v>285.36554594482533</v>
      </c>
      <c r="J266" s="7">
        <f t="shared" si="128"/>
        <v>41.123030833680218</v>
      </c>
      <c r="K266" s="6">
        <f>M266-I266-L265</f>
        <v>13.985184655312366</v>
      </c>
      <c r="L266" s="6">
        <f t="shared" si="135"/>
        <v>143.62931667040567</v>
      </c>
      <c r="M266" s="6">
        <f t="shared" si="129"/>
        <v>428.994862615231</v>
      </c>
      <c r="N266" s="6">
        <f t="shared" si="130"/>
        <v>7.1499143769205169</v>
      </c>
      <c r="O266" s="6">
        <f t="shared" si="131"/>
        <v>6.1132355384536936</v>
      </c>
      <c r="P266" s="9">
        <f t="shared" si="132"/>
        <v>57.5</v>
      </c>
      <c r="Q266" s="1">
        <f t="shared" si="134"/>
        <v>284.60777806861336</v>
      </c>
      <c r="S266" s="43">
        <v>40</v>
      </c>
      <c r="T266" s="57">
        <f>Q263</f>
        <v>232.04290037088458</v>
      </c>
    </row>
    <row r="267" spans="2:23">
      <c r="B267" s="9">
        <f t="shared" si="126"/>
        <v>65</v>
      </c>
      <c r="C267" s="6">
        <f t="shared" si="120"/>
        <v>23.0117374271118</v>
      </c>
      <c r="D267" s="213">
        <f>D266</f>
        <v>423.53234339675333</v>
      </c>
      <c r="E267" s="6">
        <f t="shared" si="123"/>
        <v>30.776361952846774</v>
      </c>
      <c r="F267" s="6">
        <f t="shared" si="124"/>
        <v>20.715003315405443</v>
      </c>
      <c r="G267" s="6">
        <f t="shared" si="125"/>
        <v>0.74307180688891794</v>
      </c>
      <c r="H267" s="6">
        <f t="shared" si="121"/>
        <v>31.507288124707291</v>
      </c>
      <c r="I267" s="10">
        <f t="shared" si="127"/>
        <v>314.71494368372316</v>
      </c>
      <c r="J267" s="7">
        <f t="shared" si="128"/>
        <v>0</v>
      </c>
      <c r="K267" s="6">
        <v>0</v>
      </c>
      <c r="L267" s="6">
        <f t="shared" si="135"/>
        <v>143.62931667040567</v>
      </c>
      <c r="M267" s="6">
        <f t="shared" si="129"/>
        <v>456.72868859880003</v>
      </c>
      <c r="N267" s="6">
        <f t="shared" si="130"/>
        <v>7.0265952092123083</v>
      </c>
      <c r="O267" s="6">
        <f t="shared" si="131"/>
        <v>5.5467651967138067</v>
      </c>
      <c r="P267" s="9">
        <f t="shared" si="132"/>
        <v>62.5</v>
      </c>
      <c r="Q267" s="1">
        <f t="shared" si="134"/>
        <v>299.35073060013769</v>
      </c>
      <c r="S267" s="43">
        <v>40</v>
      </c>
      <c r="T267" s="57">
        <f>I261</f>
        <v>185.57985624247431</v>
      </c>
      <c r="U267" s="57">
        <f>K262</f>
        <v>22.528195563414556</v>
      </c>
      <c r="V267" s="43">
        <f t="shared" ref="V267:V274" si="136">V268-5</f>
        <v>20</v>
      </c>
      <c r="W267" s="43">
        <v>100</v>
      </c>
    </row>
    <row r="268" spans="2:23">
      <c r="B268" s="9">
        <f t="shared" si="126"/>
        <v>70</v>
      </c>
      <c r="C268" s="6">
        <f t="shared" si="120"/>
        <v>23.871042959485663</v>
      </c>
      <c r="D268" s="213">
        <f>D267</f>
        <v>423.53234339675333</v>
      </c>
      <c r="E268" s="6">
        <f t="shared" si="123"/>
        <v>31.648814859865961</v>
      </c>
      <c r="F268" s="6">
        <f t="shared" si="124"/>
        <v>21.488914792334128</v>
      </c>
      <c r="G268" s="6">
        <f t="shared" si="125"/>
        <v>0.81161860741316261</v>
      </c>
      <c r="H268" s="6">
        <f t="shared" si="121"/>
        <v>33.318954557886357</v>
      </c>
      <c r="I268" s="10">
        <f t="shared" si="127"/>
        <v>343.74673074210631</v>
      </c>
      <c r="J268" s="7">
        <f t="shared" si="128"/>
        <v>0</v>
      </c>
      <c r="K268" s="6">
        <v>0</v>
      </c>
      <c r="L268" s="6">
        <f t="shared" si="135"/>
        <v>143.62931667040567</v>
      </c>
      <c r="M268" s="6">
        <f t="shared" si="129"/>
        <v>481.99929546266407</v>
      </c>
      <c r="N268" s="6">
        <f t="shared" si="130"/>
        <v>6.8857042208952013</v>
      </c>
      <c r="O268" s="6">
        <f t="shared" si="131"/>
        <v>5.0541213727728067</v>
      </c>
      <c r="P268" s="9">
        <f t="shared" si="132"/>
        <v>67.5</v>
      </c>
      <c r="Q268" s="1">
        <f t="shared" si="134"/>
        <v>314.71494368372316</v>
      </c>
      <c r="S268" s="43">
        <v>45</v>
      </c>
      <c r="T268" s="57">
        <f>Q264</f>
        <v>251.31441159139388</v>
      </c>
      <c r="V268" s="43">
        <f t="shared" si="136"/>
        <v>25</v>
      </c>
      <c r="W268" s="57">
        <f>T260</f>
        <v>132.34588008806645</v>
      </c>
    </row>
    <row r="269" spans="2:23">
      <c r="B269" s="9">
        <f t="shared" si="126"/>
        <v>75</v>
      </c>
      <c r="C269" s="6">
        <f t="shared" si="120"/>
        <v>24.672674449388651</v>
      </c>
      <c r="D269" s="213">
        <f t="shared" ref="D269:D270" si="137">D268</f>
        <v>423.53234339675333</v>
      </c>
      <c r="E269" s="6">
        <f t="shared" si="123"/>
        <v>32.462711311564462</v>
      </c>
      <c r="F269" s="6">
        <f t="shared" si="124"/>
        <v>22.215274797617578</v>
      </c>
      <c r="G269" s="6">
        <f t="shared" si="125"/>
        <v>0.87929263204158437</v>
      </c>
      <c r="H269" s="6">
        <f t="shared" si="121"/>
        <v>35.054682812332693</v>
      </c>
      <c r="I269" s="10">
        <f t="shared" si="127"/>
        <v>372.40886898007136</v>
      </c>
      <c r="J269" s="7">
        <f t="shared" si="128"/>
        <v>0</v>
      </c>
      <c r="K269" s="6">
        <v>0</v>
      </c>
      <c r="L269" s="6">
        <f t="shared" si="135"/>
        <v>143.62931667040567</v>
      </c>
      <c r="M269" s="6">
        <f t="shared" si="129"/>
        <v>505.12165293586969</v>
      </c>
      <c r="N269" s="6">
        <f t="shared" si="130"/>
        <v>6.7349553724782627</v>
      </c>
      <c r="O269" s="6">
        <f t="shared" si="131"/>
        <v>4.6244714946411252</v>
      </c>
      <c r="P269" s="9">
        <f t="shared" si="132"/>
        <v>72.5</v>
      </c>
      <c r="Q269" s="1">
        <f t="shared" si="134"/>
        <v>343.74673074210631</v>
      </c>
      <c r="S269" s="43">
        <v>45</v>
      </c>
      <c r="T269" s="57">
        <f>I263</f>
        <v>231.12408267478429</v>
      </c>
      <c r="U269" s="57">
        <f>K263</f>
        <v>20.190328916609587</v>
      </c>
      <c r="V269" s="43">
        <f t="shared" si="136"/>
        <v>30</v>
      </c>
      <c r="W269" s="57">
        <f>T262</f>
        <v>183.87807759235884</v>
      </c>
    </row>
    <row r="270" spans="2:23">
      <c r="B270" s="9">
        <f t="shared" si="126"/>
        <v>80</v>
      </c>
      <c r="C270" s="6">
        <f t="shared" si="120"/>
        <v>25.423220508157669</v>
      </c>
      <c r="D270" s="213">
        <f t="shared" si="137"/>
        <v>423.53234339675333</v>
      </c>
      <c r="E270" s="6">
        <f>$E$5+$E$6*C270+$E$7*1/SQRT(D270)</f>
        <v>33.224740725032646</v>
      </c>
      <c r="F270" s="6">
        <f t="shared" si="124"/>
        <v>22.899090598484158</v>
      </c>
      <c r="G270" s="6">
        <f t="shared" si="125"/>
        <v>0.94600779472163588</v>
      </c>
      <c r="H270" s="6">
        <f t="shared" si="121"/>
        <v>36.719745595549462</v>
      </c>
      <c r="I270" s="10">
        <f t="shared" si="127"/>
        <v>400.66489817004924</v>
      </c>
      <c r="J270" s="7">
        <f t="shared" si="128"/>
        <v>0</v>
      </c>
      <c r="K270" s="6">
        <v>0</v>
      </c>
      <c r="L270" s="6">
        <f t="shared" si="135"/>
        <v>143.62931667040567</v>
      </c>
      <c r="M270" s="6">
        <f>EXP((7.4341+0.0093*S)-(15.1338+0.9646*S)*1/C270)</f>
        <v>526.36319548394329</v>
      </c>
      <c r="N270" s="6">
        <f t="shared" si="130"/>
        <v>6.5795399435492907</v>
      </c>
      <c r="O270" s="6">
        <f t="shared" si="131"/>
        <v>4.2483085096147191</v>
      </c>
      <c r="P270" s="9">
        <f t="shared" si="132"/>
        <v>77.5</v>
      </c>
      <c r="Q270" s="1">
        <f t="shared" si="134"/>
        <v>372.40886898007136</v>
      </c>
      <c r="S270" s="43">
        <v>50</v>
      </c>
      <c r="T270" s="57">
        <f>Q265</f>
        <v>268.68708401468916</v>
      </c>
      <c r="V270" s="43">
        <f t="shared" si="136"/>
        <v>35</v>
      </c>
      <c r="W270" s="57">
        <f>T264</f>
        <v>210.07632202821816</v>
      </c>
    </row>
    <row r="271" spans="2:23">
      <c r="S271" s="43">
        <v>50</v>
      </c>
      <c r="T271" s="57">
        <f>I264</f>
        <v>250.78242478650478</v>
      </c>
      <c r="V271" s="43">
        <f t="shared" si="136"/>
        <v>40</v>
      </c>
      <c r="W271" s="57">
        <f>T266</f>
        <v>232.04290037088458</v>
      </c>
    </row>
    <row r="272" spans="2:23">
      <c r="S272" s="43">
        <v>55</v>
      </c>
      <c r="T272" s="57">
        <f>Q266</f>
        <v>284.60777806861336</v>
      </c>
      <c r="V272" s="43">
        <f t="shared" si="136"/>
        <v>45</v>
      </c>
      <c r="W272" s="57">
        <f>T268</f>
        <v>251.31441159139388</v>
      </c>
    </row>
    <row r="273" spans="19:23">
      <c r="S273" s="43">
        <v>55</v>
      </c>
      <c r="T273" s="57">
        <f>I265</f>
        <v>268.78455290786923</v>
      </c>
      <c r="V273" s="43">
        <f t="shared" si="136"/>
        <v>50</v>
      </c>
      <c r="W273" s="57">
        <f>T270</f>
        <v>268.68708401468916</v>
      </c>
    </row>
    <row r="274" spans="19:23">
      <c r="S274" s="43">
        <v>60</v>
      </c>
      <c r="T274" s="57">
        <f>I266</f>
        <v>285.36554594482533</v>
      </c>
      <c r="V274" s="43">
        <f t="shared" si="136"/>
        <v>55</v>
      </c>
      <c r="W274" s="57">
        <f>T272</f>
        <v>284.60777806861336</v>
      </c>
    </row>
    <row r="275" spans="19:23">
      <c r="S275" s="43">
        <v>60</v>
      </c>
      <c r="T275" s="57">
        <f>Q266</f>
        <v>284.60777806861336</v>
      </c>
      <c r="V275" s="43">
        <f>V276-5</f>
        <v>60</v>
      </c>
      <c r="W275" s="57">
        <f>T275</f>
        <v>284.60777806861336</v>
      </c>
    </row>
    <row r="276" spans="19:23">
      <c r="S276" s="43">
        <v>65</v>
      </c>
      <c r="T276" s="57">
        <f>Q267</f>
        <v>299.35073060013769</v>
      </c>
      <c r="V276" s="43">
        <v>65</v>
      </c>
      <c r="W276" s="57">
        <f>T277</f>
        <v>314.71494368372316</v>
      </c>
    </row>
    <row r="277" spans="19:23">
      <c r="S277" s="43">
        <v>70</v>
      </c>
      <c r="T277" s="57">
        <f>Q268</f>
        <v>314.71494368372316</v>
      </c>
      <c r="V277" s="43">
        <v>70</v>
      </c>
      <c r="W277" s="57">
        <f>T278</f>
        <v>343.74673074210631</v>
      </c>
    </row>
    <row r="278" spans="19:23">
      <c r="S278" s="43">
        <v>75</v>
      </c>
      <c r="T278" s="57">
        <f>Q269</f>
        <v>343.74673074210631</v>
      </c>
      <c r="V278" s="43">
        <v>75</v>
      </c>
      <c r="W278" s="57">
        <f>T279</f>
        <v>372.40886898007136</v>
      </c>
    </row>
    <row r="279" spans="19:23">
      <c r="S279" s="43">
        <v>80</v>
      </c>
      <c r="T279" s="57">
        <f>Q270</f>
        <v>372.40886898007136</v>
      </c>
      <c r="W279" s="57"/>
    </row>
    <row r="281" spans="19:23">
      <c r="T281" s="57"/>
    </row>
    <row r="283" spans="19:23">
      <c r="T283" s="57"/>
    </row>
  </sheetData>
  <mergeCells count="228">
    <mergeCell ref="O222:P223"/>
    <mergeCell ref="P241:Q242"/>
    <mergeCell ref="Q256:R257"/>
    <mergeCell ref="C254:I254"/>
    <mergeCell ref="J254:L254"/>
    <mergeCell ref="M254:M256"/>
    <mergeCell ref="N254:P254"/>
    <mergeCell ref="B255:B256"/>
    <mergeCell ref="C255:C256"/>
    <mergeCell ref="D255:D256"/>
    <mergeCell ref="E255:G255"/>
    <mergeCell ref="H255:H256"/>
    <mergeCell ref="I255:I256"/>
    <mergeCell ref="J255:J256"/>
    <mergeCell ref="K255:K256"/>
    <mergeCell ref="L255:L256"/>
    <mergeCell ref="N255:N256"/>
    <mergeCell ref="O255:O256"/>
    <mergeCell ref="P255:P256"/>
    <mergeCell ref="C236:I236"/>
    <mergeCell ref="J236:L236"/>
    <mergeCell ref="M236:M238"/>
    <mergeCell ref="N236:P236"/>
    <mergeCell ref="B237:B238"/>
    <mergeCell ref="C237:C238"/>
    <mergeCell ref="D237:D238"/>
    <mergeCell ref="E237:G237"/>
    <mergeCell ref="H237:H238"/>
    <mergeCell ref="I237:I238"/>
    <mergeCell ref="J237:J238"/>
    <mergeCell ref="K237:K238"/>
    <mergeCell ref="L237:L238"/>
    <mergeCell ref="N237:N238"/>
    <mergeCell ref="O237:O238"/>
    <mergeCell ref="P237:P238"/>
    <mergeCell ref="B219:B220"/>
    <mergeCell ref="C219:C220"/>
    <mergeCell ref="D219:D220"/>
    <mergeCell ref="E219:G219"/>
    <mergeCell ref="H219:H220"/>
    <mergeCell ref="K188:L189"/>
    <mergeCell ref="C218:I218"/>
    <mergeCell ref="J218:L218"/>
    <mergeCell ref="M218:M220"/>
    <mergeCell ref="N218:P218"/>
    <mergeCell ref="I219:I220"/>
    <mergeCell ref="J219:J220"/>
    <mergeCell ref="K219:K220"/>
    <mergeCell ref="L219:L220"/>
    <mergeCell ref="N219:N220"/>
    <mergeCell ref="O219:O220"/>
    <mergeCell ref="P219:P220"/>
    <mergeCell ref="C200:I200"/>
    <mergeCell ref="J200:L200"/>
    <mergeCell ref="M200:M202"/>
    <mergeCell ref="B201:B202"/>
    <mergeCell ref="C201:C202"/>
    <mergeCell ref="P165:P166"/>
    <mergeCell ref="N182:P182"/>
    <mergeCell ref="P183:P184"/>
    <mergeCell ref="N200:P200"/>
    <mergeCell ref="P201:P202"/>
    <mergeCell ref="P111:P112"/>
    <mergeCell ref="N128:P128"/>
    <mergeCell ref="P129:P130"/>
    <mergeCell ref="N146:P146"/>
    <mergeCell ref="P147:P148"/>
    <mergeCell ref="N183:N184"/>
    <mergeCell ref="O183:O184"/>
    <mergeCell ref="N165:N166"/>
    <mergeCell ref="O165:O166"/>
    <mergeCell ref="N164:P164"/>
    <mergeCell ref="N147:N148"/>
    <mergeCell ref="O147:O148"/>
    <mergeCell ref="N129:N130"/>
    <mergeCell ref="O129:O130"/>
    <mergeCell ref="N111:N112"/>
    <mergeCell ref="O111:O112"/>
    <mergeCell ref="P57:P58"/>
    <mergeCell ref="N74:P74"/>
    <mergeCell ref="P75:P76"/>
    <mergeCell ref="N92:P92"/>
    <mergeCell ref="P93:P94"/>
    <mergeCell ref="N11:P11"/>
    <mergeCell ref="P12:P13"/>
    <mergeCell ref="N38:P38"/>
    <mergeCell ref="N39:N40"/>
    <mergeCell ref="O39:O40"/>
    <mergeCell ref="P39:P40"/>
    <mergeCell ref="N75:N76"/>
    <mergeCell ref="O75:O76"/>
    <mergeCell ref="N57:N58"/>
    <mergeCell ref="O57:O58"/>
    <mergeCell ref="N56:P56"/>
    <mergeCell ref="N12:N13"/>
    <mergeCell ref="O12:O13"/>
    <mergeCell ref="D201:D202"/>
    <mergeCell ref="E201:G201"/>
    <mergeCell ref="H201:H202"/>
    <mergeCell ref="I201:I202"/>
    <mergeCell ref="J201:J202"/>
    <mergeCell ref="K201:K202"/>
    <mergeCell ref="L201:L202"/>
    <mergeCell ref="N201:N202"/>
    <mergeCell ref="O201:O202"/>
    <mergeCell ref="C182:I182"/>
    <mergeCell ref="J182:L182"/>
    <mergeCell ref="M182:M184"/>
    <mergeCell ref="B183:B184"/>
    <mergeCell ref="C183:C184"/>
    <mergeCell ref="D183:D184"/>
    <mergeCell ref="E183:G183"/>
    <mergeCell ref="H183:H184"/>
    <mergeCell ref="I183:I184"/>
    <mergeCell ref="J183:J184"/>
    <mergeCell ref="K183:K184"/>
    <mergeCell ref="L183:L184"/>
    <mergeCell ref="C164:I164"/>
    <mergeCell ref="J164:L164"/>
    <mergeCell ref="M164:M166"/>
    <mergeCell ref="B165:B166"/>
    <mergeCell ref="C165:C166"/>
    <mergeCell ref="D165:D166"/>
    <mergeCell ref="E165:G165"/>
    <mergeCell ref="H165:H166"/>
    <mergeCell ref="I165:I166"/>
    <mergeCell ref="J165:J166"/>
    <mergeCell ref="K165:K166"/>
    <mergeCell ref="L165:L166"/>
    <mergeCell ref="C146:I146"/>
    <mergeCell ref="J146:L146"/>
    <mergeCell ref="M146:M148"/>
    <mergeCell ref="B147:B148"/>
    <mergeCell ref="C147:C148"/>
    <mergeCell ref="D147:D148"/>
    <mergeCell ref="E147:G147"/>
    <mergeCell ref="H147:H148"/>
    <mergeCell ref="I147:I148"/>
    <mergeCell ref="J147:J148"/>
    <mergeCell ref="K147:K148"/>
    <mergeCell ref="L147:L148"/>
    <mergeCell ref="J111:J112"/>
    <mergeCell ref="K111:K112"/>
    <mergeCell ref="L111:L112"/>
    <mergeCell ref="C128:I128"/>
    <mergeCell ref="J128:L128"/>
    <mergeCell ref="M128:M130"/>
    <mergeCell ref="B129:B130"/>
    <mergeCell ref="C129:C130"/>
    <mergeCell ref="D129:D130"/>
    <mergeCell ref="E129:G129"/>
    <mergeCell ref="H129:H130"/>
    <mergeCell ref="I129:I130"/>
    <mergeCell ref="J129:J130"/>
    <mergeCell ref="K129:K130"/>
    <mergeCell ref="L129:L130"/>
    <mergeCell ref="N110:P110"/>
    <mergeCell ref="C92:I92"/>
    <mergeCell ref="J92:L92"/>
    <mergeCell ref="M92:M94"/>
    <mergeCell ref="B93:B94"/>
    <mergeCell ref="C93:C94"/>
    <mergeCell ref="D93:D94"/>
    <mergeCell ref="E93:G93"/>
    <mergeCell ref="H93:H94"/>
    <mergeCell ref="I93:I94"/>
    <mergeCell ref="J93:J94"/>
    <mergeCell ref="K93:K94"/>
    <mergeCell ref="L93:L94"/>
    <mergeCell ref="N93:N94"/>
    <mergeCell ref="O93:O94"/>
    <mergeCell ref="C110:I110"/>
    <mergeCell ref="J110:L110"/>
    <mergeCell ref="M110:M112"/>
    <mergeCell ref="B111:B112"/>
    <mergeCell ref="C111:C112"/>
    <mergeCell ref="D111:D112"/>
    <mergeCell ref="E111:G111"/>
    <mergeCell ref="H111:H112"/>
    <mergeCell ref="I111:I112"/>
    <mergeCell ref="C74:I74"/>
    <mergeCell ref="J74:L74"/>
    <mergeCell ref="M74:M76"/>
    <mergeCell ref="B75:B76"/>
    <mergeCell ref="C75:C76"/>
    <mergeCell ref="D75:D76"/>
    <mergeCell ref="E75:G75"/>
    <mergeCell ref="H75:H76"/>
    <mergeCell ref="I75:I76"/>
    <mergeCell ref="J75:J76"/>
    <mergeCell ref="K75:K76"/>
    <mergeCell ref="L75:L76"/>
    <mergeCell ref="C56:I56"/>
    <mergeCell ref="J56:L56"/>
    <mergeCell ref="M56:M58"/>
    <mergeCell ref="B57:B58"/>
    <mergeCell ref="C57:C58"/>
    <mergeCell ref="D57:D58"/>
    <mergeCell ref="E57:G57"/>
    <mergeCell ref="H57:H58"/>
    <mergeCell ref="I57:I58"/>
    <mergeCell ref="J57:J58"/>
    <mergeCell ref="K57:K58"/>
    <mergeCell ref="L57:L58"/>
    <mergeCell ref="B12:B13"/>
    <mergeCell ref="C38:I38"/>
    <mergeCell ref="J38:L38"/>
    <mergeCell ref="M38:M40"/>
    <mergeCell ref="B39:B40"/>
    <mergeCell ref="C39:C40"/>
    <mergeCell ref="D39:D40"/>
    <mergeCell ref="E39:G39"/>
    <mergeCell ref="H39:H40"/>
    <mergeCell ref="I39:I40"/>
    <mergeCell ref="J39:J40"/>
    <mergeCell ref="C11:I11"/>
    <mergeCell ref="J11:L11"/>
    <mergeCell ref="M11:M13"/>
    <mergeCell ref="E12:G12"/>
    <mergeCell ref="H12:H13"/>
    <mergeCell ref="I12:I13"/>
    <mergeCell ref="C12:C13"/>
    <mergeCell ref="D12:D13"/>
    <mergeCell ref="K39:K40"/>
    <mergeCell ref="L39:L40"/>
    <mergeCell ref="L12:L13"/>
    <mergeCell ref="K12:K13"/>
    <mergeCell ref="J12:J13"/>
  </mergeCells>
  <pageMargins left="0.7" right="0.7" top="0.75" bottom="0.75" header="0.3" footer="0.3"/>
  <pageSetup paperSize="9" orientation="landscape" r:id="rId1"/>
  <drawing r:id="rId2"/>
  <legacyDrawing r:id="rId3"/>
  <oleObjects>
    <mc:AlternateContent xmlns:mc="http://schemas.openxmlformats.org/markup-compatibility/2006">
      <mc:Choice Requires="x14">
        <oleObject progId="Equation.3" shapeId="1026" r:id="rId4">
          <objectPr defaultSize="0" autoPict="0" r:id="rId5">
            <anchor moveWithCells="1">
              <from>
                <xdr:col>4</xdr:col>
                <xdr:colOff>381000</xdr:colOff>
                <xdr:row>61</xdr:row>
                <xdr:rowOff>68580</xdr:rowOff>
              </from>
              <to>
                <xdr:col>11</xdr:col>
                <xdr:colOff>121920</xdr:colOff>
                <xdr:row>64</xdr:row>
                <xdr:rowOff>137160</xdr:rowOff>
              </to>
            </anchor>
          </objectPr>
        </oleObject>
      </mc:Choice>
      <mc:Fallback>
        <oleObject progId="Equation.3" shapeId="1026" r:id="rId4"/>
      </mc:Fallback>
    </mc:AlternateContent>
    <mc:AlternateContent xmlns:mc="http://schemas.openxmlformats.org/markup-compatibility/2006">
      <mc:Choice Requires="x14">
        <oleObject progId="Equation.3" shapeId="1025" r:id="rId6">
          <objectPr defaultSize="0" autoPict="0" r:id="rId7">
            <anchor moveWithCells="1" sizeWithCells="1">
              <from>
                <xdr:col>3</xdr:col>
                <xdr:colOff>205740</xdr:colOff>
                <xdr:row>42</xdr:row>
                <xdr:rowOff>76200</xdr:rowOff>
              </from>
              <to>
                <xdr:col>10</xdr:col>
                <xdr:colOff>266700</xdr:colOff>
                <xdr:row>45</xdr:row>
                <xdr:rowOff>106680</xdr:rowOff>
              </to>
            </anchor>
          </objectPr>
        </oleObject>
      </mc:Choice>
      <mc:Fallback>
        <oleObject progId="Equation.3" shapeId="1025" r:id="rId6"/>
      </mc:Fallback>
    </mc:AlternateContent>
    <mc:AlternateContent xmlns:mc="http://schemas.openxmlformats.org/markup-compatibility/2006">
      <mc:Choice Requires="x14">
        <oleObject progId="Equation.3" shapeId="1027" r:id="rId8">
          <objectPr defaultSize="0" autoPict="0" r:id="rId9">
            <anchor moveWithCells="1" sizeWithCells="1">
              <from>
                <xdr:col>6</xdr:col>
                <xdr:colOff>129540</xdr:colOff>
                <xdr:row>81</xdr:row>
                <xdr:rowOff>15240</xdr:rowOff>
              </from>
              <to>
                <xdr:col>10</xdr:col>
                <xdr:colOff>243840</xdr:colOff>
                <xdr:row>83</xdr:row>
                <xdr:rowOff>30480</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sizeWithCells="1">
              <from>
                <xdr:col>8</xdr:col>
                <xdr:colOff>381000</xdr:colOff>
                <xdr:row>116</xdr:row>
                <xdr:rowOff>22860</xdr:rowOff>
              </from>
              <to>
                <xdr:col>12</xdr:col>
                <xdr:colOff>137160</xdr:colOff>
                <xdr:row>117</xdr:row>
                <xdr:rowOff>99060</xdr:rowOff>
              </to>
            </anchor>
          </objectPr>
        </oleObject>
      </mc:Choice>
      <mc:Fallback>
        <oleObject progId="Equation.3" shapeId="1028" r:id="rId10"/>
      </mc:Fallback>
    </mc:AlternateContent>
    <mc:AlternateContent xmlns:mc="http://schemas.openxmlformats.org/markup-compatibility/2006">
      <mc:Choice Requires="x14">
        <oleObject progId="Equation.3" shapeId="1029" r:id="rId12">
          <objectPr defaultSize="0" autoPict="0" r:id="rId13">
            <anchor moveWithCells="1" sizeWithCells="1">
              <from>
                <xdr:col>9</xdr:col>
                <xdr:colOff>129540</xdr:colOff>
                <xdr:row>134</xdr:row>
                <xdr:rowOff>15240</xdr:rowOff>
              </from>
              <to>
                <xdr:col>11</xdr:col>
                <xdr:colOff>403860</xdr:colOff>
                <xdr:row>136</xdr:row>
                <xdr:rowOff>38100</xdr:rowOff>
              </to>
            </anchor>
          </objectPr>
        </oleObject>
      </mc:Choice>
      <mc:Fallback>
        <oleObject progId="Equation.3" shapeId="1029" r:id="rId12"/>
      </mc:Fallback>
    </mc:AlternateContent>
    <mc:AlternateContent xmlns:mc="http://schemas.openxmlformats.org/markup-compatibility/2006">
      <mc:Choice Requires="x14">
        <oleObject progId="Equation.3" shapeId="1030" r:id="rId14">
          <objectPr defaultSize="0" autoPict="0" r:id="rId15">
            <anchor moveWithCells="1" sizeWithCells="1">
              <from>
                <xdr:col>10</xdr:col>
                <xdr:colOff>205740</xdr:colOff>
                <xdr:row>151</xdr:row>
                <xdr:rowOff>53340</xdr:rowOff>
              </from>
              <to>
                <xdr:col>11</xdr:col>
                <xdr:colOff>198120</xdr:colOff>
                <xdr:row>152</xdr:row>
                <xdr:rowOff>83820</xdr:rowOff>
              </to>
            </anchor>
          </objectPr>
        </oleObject>
      </mc:Choice>
      <mc:Fallback>
        <oleObject progId="Equation.3" shapeId="1030" r:id="rId14"/>
      </mc:Fallback>
    </mc:AlternateContent>
    <mc:AlternateContent xmlns:mc="http://schemas.openxmlformats.org/markup-compatibility/2006">
      <mc:Choice Requires="x14">
        <oleObject progId="Equation.3" shapeId="1031" r:id="rId16">
          <objectPr defaultSize="0" autoPict="0" r:id="rId17">
            <anchor moveWithCells="1" sizeWithCells="1">
              <from>
                <xdr:col>9</xdr:col>
                <xdr:colOff>30480</xdr:colOff>
                <xdr:row>172</xdr:row>
                <xdr:rowOff>38100</xdr:rowOff>
              </from>
              <to>
                <xdr:col>15</xdr:col>
                <xdr:colOff>91440</xdr:colOff>
                <xdr:row>174</xdr:row>
                <xdr:rowOff>30480</xdr:rowOff>
              </to>
            </anchor>
          </objectPr>
        </oleObject>
      </mc:Choice>
      <mc:Fallback>
        <oleObject progId="Equation.3" shapeId="1031" r:id="rId16"/>
      </mc:Fallback>
    </mc:AlternateContent>
    <mc:AlternateContent xmlns:mc="http://schemas.openxmlformats.org/markup-compatibility/2006">
      <mc:Choice Requires="x14">
        <oleObject shapeId="1033" r:id="rId18">
          <objectPr defaultSize="0" autoPict="0" r:id="rId19">
            <anchor moveWithCells="1">
              <from>
                <xdr:col>18</xdr:col>
                <xdr:colOff>99060</xdr:colOff>
                <xdr:row>10</xdr:row>
                <xdr:rowOff>0</xdr:rowOff>
              </from>
              <to>
                <xdr:col>20</xdr:col>
                <xdr:colOff>579120</xdr:colOff>
                <xdr:row>12</xdr:row>
                <xdr:rowOff>83820</xdr:rowOff>
              </to>
            </anchor>
          </objectPr>
        </oleObject>
      </mc:Choice>
      <mc:Fallback>
        <oleObject shapeId="1033" r:id="rId18"/>
      </mc:Fallback>
    </mc:AlternateContent>
    <mc:AlternateContent xmlns:mc="http://schemas.openxmlformats.org/markup-compatibility/2006">
      <mc:Choice Requires="x14">
        <oleObject shapeId="1034" r:id="rId20">
          <objectPr defaultSize="0" autoPict="0" r:id="rId21">
            <anchor moveWithCells="1">
              <from>
                <xdr:col>18</xdr:col>
                <xdr:colOff>99060</xdr:colOff>
                <xdr:row>12</xdr:row>
                <xdr:rowOff>259080</xdr:rowOff>
              </from>
              <to>
                <xdr:col>21</xdr:col>
                <xdr:colOff>220980</xdr:colOff>
                <xdr:row>13</xdr:row>
                <xdr:rowOff>160020</xdr:rowOff>
              </to>
            </anchor>
          </objectPr>
        </oleObject>
      </mc:Choice>
      <mc:Fallback>
        <oleObject shapeId="1034" r:id="rId20"/>
      </mc:Fallback>
    </mc:AlternateContent>
    <mc:AlternateContent xmlns:mc="http://schemas.openxmlformats.org/markup-compatibility/2006">
      <mc:Choice Requires="x14">
        <oleObject shapeId="1035" r:id="rId22">
          <objectPr defaultSize="0" autoPict="0" r:id="rId23">
            <anchor moveWithCells="1">
              <from>
                <xdr:col>18</xdr:col>
                <xdr:colOff>129540</xdr:colOff>
                <xdr:row>14</xdr:row>
                <xdr:rowOff>152400</xdr:rowOff>
              </from>
              <to>
                <xdr:col>20</xdr:col>
                <xdr:colOff>30480</xdr:colOff>
                <xdr:row>16</xdr:row>
                <xdr:rowOff>144780</xdr:rowOff>
              </to>
            </anchor>
          </objectPr>
        </oleObject>
      </mc:Choice>
      <mc:Fallback>
        <oleObject shapeId="1035" r:id="rId22"/>
      </mc:Fallback>
    </mc:AlternateContent>
    <mc:AlternateContent xmlns:mc="http://schemas.openxmlformats.org/markup-compatibility/2006">
      <mc:Choice Requires="x14">
        <oleObject shapeId="1036" r:id="rId24">
          <objectPr defaultSize="0" autoPict="0" r:id="rId25">
            <anchor moveWithCells="1">
              <from>
                <xdr:col>18</xdr:col>
                <xdr:colOff>220980</xdr:colOff>
                <xdr:row>23</xdr:row>
                <xdr:rowOff>152400</xdr:rowOff>
              </from>
              <to>
                <xdr:col>22</xdr:col>
                <xdr:colOff>381000</xdr:colOff>
                <xdr:row>26</xdr:row>
                <xdr:rowOff>22860</xdr:rowOff>
              </to>
            </anchor>
          </objectPr>
        </oleObject>
      </mc:Choice>
      <mc:Fallback>
        <oleObject shapeId="1036" r:id="rId2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11"/>
  <sheetViews>
    <sheetView tabSelected="1" topLeftCell="A175" workbookViewId="0">
      <selection activeCell="A2" sqref="A2:XFD2"/>
    </sheetView>
  </sheetViews>
  <sheetFormatPr defaultRowHeight="13.2"/>
  <cols>
    <col min="1" max="1" width="4.109375" style="59" customWidth="1"/>
    <col min="2" max="5" width="8.88671875" style="59"/>
    <col min="6" max="6" width="8" style="59" customWidth="1"/>
    <col min="7" max="9" width="8.88671875" style="59"/>
    <col min="10" max="10" width="7.33203125" style="59" customWidth="1"/>
    <col min="11" max="13" width="8.88671875" style="59"/>
    <col min="14" max="14" width="7.33203125" style="59" customWidth="1"/>
    <col min="15" max="15" width="8.88671875" style="59"/>
    <col min="16" max="16" width="7" style="59" customWidth="1"/>
    <col min="17" max="17" width="7.44140625" style="59" customWidth="1"/>
    <col min="18" max="256" width="8.88671875" style="59"/>
    <col min="257" max="257" width="4.109375" style="59" customWidth="1"/>
    <col min="258" max="261" width="8.88671875" style="59"/>
    <col min="262" max="262" width="8" style="59" customWidth="1"/>
    <col min="263" max="265" width="8.88671875" style="59"/>
    <col min="266" max="266" width="7.33203125" style="59" customWidth="1"/>
    <col min="267" max="269" width="8.88671875" style="59"/>
    <col min="270" max="270" width="7.33203125" style="59" customWidth="1"/>
    <col min="271" max="271" width="8.88671875" style="59"/>
    <col min="272" max="272" width="7" style="59" customWidth="1"/>
    <col min="273" max="273" width="7.44140625" style="59" customWidth="1"/>
    <col min="274" max="512" width="8.88671875" style="59"/>
    <col min="513" max="513" width="4.109375" style="59" customWidth="1"/>
    <col min="514" max="517" width="8.88671875" style="59"/>
    <col min="518" max="518" width="8" style="59" customWidth="1"/>
    <col min="519" max="521" width="8.88671875" style="59"/>
    <col min="522" max="522" width="7.33203125" style="59" customWidth="1"/>
    <col min="523" max="525" width="8.88671875" style="59"/>
    <col min="526" max="526" width="7.33203125" style="59" customWidth="1"/>
    <col min="527" max="527" width="8.88671875" style="59"/>
    <col min="528" max="528" width="7" style="59" customWidth="1"/>
    <col min="529" max="529" width="7.44140625" style="59" customWidth="1"/>
    <col min="530" max="768" width="8.88671875" style="59"/>
    <col min="769" max="769" width="4.109375" style="59" customWidth="1"/>
    <col min="770" max="773" width="8.88671875" style="59"/>
    <col min="774" max="774" width="8" style="59" customWidth="1"/>
    <col min="775" max="777" width="8.88671875" style="59"/>
    <col min="778" max="778" width="7.33203125" style="59" customWidth="1"/>
    <col min="779" max="781" width="8.88671875" style="59"/>
    <col min="782" max="782" width="7.33203125" style="59" customWidth="1"/>
    <col min="783" max="783" width="8.88671875" style="59"/>
    <col min="784" max="784" width="7" style="59" customWidth="1"/>
    <col min="785" max="785" width="7.44140625" style="59" customWidth="1"/>
    <col min="786" max="1024" width="8.88671875" style="59"/>
    <col min="1025" max="1025" width="4.109375" style="59" customWidth="1"/>
    <col min="1026" max="1029" width="8.88671875" style="59"/>
    <col min="1030" max="1030" width="8" style="59" customWidth="1"/>
    <col min="1031" max="1033" width="8.88671875" style="59"/>
    <col min="1034" max="1034" width="7.33203125" style="59" customWidth="1"/>
    <col min="1035" max="1037" width="8.88671875" style="59"/>
    <col min="1038" max="1038" width="7.33203125" style="59" customWidth="1"/>
    <col min="1039" max="1039" width="8.88671875" style="59"/>
    <col min="1040" max="1040" width="7" style="59" customWidth="1"/>
    <col min="1041" max="1041" width="7.44140625" style="59" customWidth="1"/>
    <col min="1042" max="1280" width="8.88671875" style="59"/>
    <col min="1281" max="1281" width="4.109375" style="59" customWidth="1"/>
    <col min="1282" max="1285" width="8.88671875" style="59"/>
    <col min="1286" max="1286" width="8" style="59" customWidth="1"/>
    <col min="1287" max="1289" width="8.88671875" style="59"/>
    <col min="1290" max="1290" width="7.33203125" style="59" customWidth="1"/>
    <col min="1291" max="1293" width="8.88671875" style="59"/>
    <col min="1294" max="1294" width="7.33203125" style="59" customWidth="1"/>
    <col min="1295" max="1295" width="8.88671875" style="59"/>
    <col min="1296" max="1296" width="7" style="59" customWidth="1"/>
    <col min="1297" max="1297" width="7.44140625" style="59" customWidth="1"/>
    <col min="1298" max="1536" width="8.88671875" style="59"/>
    <col min="1537" max="1537" width="4.109375" style="59" customWidth="1"/>
    <col min="1538" max="1541" width="8.88671875" style="59"/>
    <col min="1542" max="1542" width="8" style="59" customWidth="1"/>
    <col min="1543" max="1545" width="8.88671875" style="59"/>
    <col min="1546" max="1546" width="7.33203125" style="59" customWidth="1"/>
    <col min="1547" max="1549" width="8.88671875" style="59"/>
    <col min="1550" max="1550" width="7.33203125" style="59" customWidth="1"/>
    <col min="1551" max="1551" width="8.88671875" style="59"/>
    <col min="1552" max="1552" width="7" style="59" customWidth="1"/>
    <col min="1553" max="1553" width="7.44140625" style="59" customWidth="1"/>
    <col min="1554" max="1792" width="8.88671875" style="59"/>
    <col min="1793" max="1793" width="4.109375" style="59" customWidth="1"/>
    <col min="1794" max="1797" width="8.88671875" style="59"/>
    <col min="1798" max="1798" width="8" style="59" customWidth="1"/>
    <col min="1799" max="1801" width="8.88671875" style="59"/>
    <col min="1802" max="1802" width="7.33203125" style="59" customWidth="1"/>
    <col min="1803" max="1805" width="8.88671875" style="59"/>
    <col min="1806" max="1806" width="7.33203125" style="59" customWidth="1"/>
    <col min="1807" max="1807" width="8.88671875" style="59"/>
    <col min="1808" max="1808" width="7" style="59" customWidth="1"/>
    <col min="1809" max="1809" width="7.44140625" style="59" customWidth="1"/>
    <col min="1810" max="2048" width="8.88671875" style="59"/>
    <col min="2049" max="2049" width="4.109375" style="59" customWidth="1"/>
    <col min="2050" max="2053" width="8.88671875" style="59"/>
    <col min="2054" max="2054" width="8" style="59" customWidth="1"/>
    <col min="2055" max="2057" width="8.88671875" style="59"/>
    <col min="2058" max="2058" width="7.33203125" style="59" customWidth="1"/>
    <col min="2059" max="2061" width="8.88671875" style="59"/>
    <col min="2062" max="2062" width="7.33203125" style="59" customWidth="1"/>
    <col min="2063" max="2063" width="8.88671875" style="59"/>
    <col min="2064" max="2064" width="7" style="59" customWidth="1"/>
    <col min="2065" max="2065" width="7.44140625" style="59" customWidth="1"/>
    <col min="2066" max="2304" width="8.88671875" style="59"/>
    <col min="2305" max="2305" width="4.109375" style="59" customWidth="1"/>
    <col min="2306" max="2309" width="8.88671875" style="59"/>
    <col min="2310" max="2310" width="8" style="59" customWidth="1"/>
    <col min="2311" max="2313" width="8.88671875" style="59"/>
    <col min="2314" max="2314" width="7.33203125" style="59" customWidth="1"/>
    <col min="2315" max="2317" width="8.88671875" style="59"/>
    <col min="2318" max="2318" width="7.33203125" style="59" customWidth="1"/>
    <col min="2319" max="2319" width="8.88671875" style="59"/>
    <col min="2320" max="2320" width="7" style="59" customWidth="1"/>
    <col min="2321" max="2321" width="7.44140625" style="59" customWidth="1"/>
    <col min="2322" max="2560" width="8.88671875" style="59"/>
    <col min="2561" max="2561" width="4.109375" style="59" customWidth="1"/>
    <col min="2562" max="2565" width="8.88671875" style="59"/>
    <col min="2566" max="2566" width="8" style="59" customWidth="1"/>
    <col min="2567" max="2569" width="8.88671875" style="59"/>
    <col min="2570" max="2570" width="7.33203125" style="59" customWidth="1"/>
    <col min="2571" max="2573" width="8.88671875" style="59"/>
    <col min="2574" max="2574" width="7.33203125" style="59" customWidth="1"/>
    <col min="2575" max="2575" width="8.88671875" style="59"/>
    <col min="2576" max="2576" width="7" style="59" customWidth="1"/>
    <col min="2577" max="2577" width="7.44140625" style="59" customWidth="1"/>
    <col min="2578" max="2816" width="8.88671875" style="59"/>
    <col min="2817" max="2817" width="4.109375" style="59" customWidth="1"/>
    <col min="2818" max="2821" width="8.88671875" style="59"/>
    <col min="2822" max="2822" width="8" style="59" customWidth="1"/>
    <col min="2823" max="2825" width="8.88671875" style="59"/>
    <col min="2826" max="2826" width="7.33203125" style="59" customWidth="1"/>
    <col min="2827" max="2829" width="8.88671875" style="59"/>
    <col min="2830" max="2830" width="7.33203125" style="59" customWidth="1"/>
    <col min="2831" max="2831" width="8.88671875" style="59"/>
    <col min="2832" max="2832" width="7" style="59" customWidth="1"/>
    <col min="2833" max="2833" width="7.44140625" style="59" customWidth="1"/>
    <col min="2834" max="3072" width="8.88671875" style="59"/>
    <col min="3073" max="3073" width="4.109375" style="59" customWidth="1"/>
    <col min="3074" max="3077" width="8.88671875" style="59"/>
    <col min="3078" max="3078" width="8" style="59" customWidth="1"/>
    <col min="3079" max="3081" width="8.88671875" style="59"/>
    <col min="3082" max="3082" width="7.33203125" style="59" customWidth="1"/>
    <col min="3083" max="3085" width="8.88671875" style="59"/>
    <col min="3086" max="3086" width="7.33203125" style="59" customWidth="1"/>
    <col min="3087" max="3087" width="8.88671875" style="59"/>
    <col min="3088" max="3088" width="7" style="59" customWidth="1"/>
    <col min="3089" max="3089" width="7.44140625" style="59" customWidth="1"/>
    <col min="3090" max="3328" width="8.88671875" style="59"/>
    <col min="3329" max="3329" width="4.109375" style="59" customWidth="1"/>
    <col min="3330" max="3333" width="8.88671875" style="59"/>
    <col min="3334" max="3334" width="8" style="59" customWidth="1"/>
    <col min="3335" max="3337" width="8.88671875" style="59"/>
    <col min="3338" max="3338" width="7.33203125" style="59" customWidth="1"/>
    <col min="3339" max="3341" width="8.88671875" style="59"/>
    <col min="3342" max="3342" width="7.33203125" style="59" customWidth="1"/>
    <col min="3343" max="3343" width="8.88671875" style="59"/>
    <col min="3344" max="3344" width="7" style="59" customWidth="1"/>
    <col min="3345" max="3345" width="7.44140625" style="59" customWidth="1"/>
    <col min="3346" max="3584" width="8.88671875" style="59"/>
    <col min="3585" max="3585" width="4.109375" style="59" customWidth="1"/>
    <col min="3586" max="3589" width="8.88671875" style="59"/>
    <col min="3590" max="3590" width="8" style="59" customWidth="1"/>
    <col min="3591" max="3593" width="8.88671875" style="59"/>
    <col min="3594" max="3594" width="7.33203125" style="59" customWidth="1"/>
    <col min="3595" max="3597" width="8.88671875" style="59"/>
    <col min="3598" max="3598" width="7.33203125" style="59" customWidth="1"/>
    <col min="3599" max="3599" width="8.88671875" style="59"/>
    <col min="3600" max="3600" width="7" style="59" customWidth="1"/>
    <col min="3601" max="3601" width="7.44140625" style="59" customWidth="1"/>
    <col min="3602" max="3840" width="8.88671875" style="59"/>
    <col min="3841" max="3841" width="4.109375" style="59" customWidth="1"/>
    <col min="3842" max="3845" width="8.88671875" style="59"/>
    <col min="3846" max="3846" width="8" style="59" customWidth="1"/>
    <col min="3847" max="3849" width="8.88671875" style="59"/>
    <col min="3850" max="3850" width="7.33203125" style="59" customWidth="1"/>
    <col min="3851" max="3853" width="8.88671875" style="59"/>
    <col min="3854" max="3854" width="7.33203125" style="59" customWidth="1"/>
    <col min="3855" max="3855" width="8.88671875" style="59"/>
    <col min="3856" max="3856" width="7" style="59" customWidth="1"/>
    <col min="3857" max="3857" width="7.44140625" style="59" customWidth="1"/>
    <col min="3858" max="4096" width="8.88671875" style="59"/>
    <col min="4097" max="4097" width="4.109375" style="59" customWidth="1"/>
    <col min="4098" max="4101" width="8.88671875" style="59"/>
    <col min="4102" max="4102" width="8" style="59" customWidth="1"/>
    <col min="4103" max="4105" width="8.88671875" style="59"/>
    <col min="4106" max="4106" width="7.33203125" style="59" customWidth="1"/>
    <col min="4107" max="4109" width="8.88671875" style="59"/>
    <col min="4110" max="4110" width="7.33203125" style="59" customWidth="1"/>
    <col min="4111" max="4111" width="8.88671875" style="59"/>
    <col min="4112" max="4112" width="7" style="59" customWidth="1"/>
    <col min="4113" max="4113" width="7.44140625" style="59" customWidth="1"/>
    <col min="4114" max="4352" width="8.88671875" style="59"/>
    <col min="4353" max="4353" width="4.109375" style="59" customWidth="1"/>
    <col min="4354" max="4357" width="8.88671875" style="59"/>
    <col min="4358" max="4358" width="8" style="59" customWidth="1"/>
    <col min="4359" max="4361" width="8.88671875" style="59"/>
    <col min="4362" max="4362" width="7.33203125" style="59" customWidth="1"/>
    <col min="4363" max="4365" width="8.88671875" style="59"/>
    <col min="4366" max="4366" width="7.33203125" style="59" customWidth="1"/>
    <col min="4367" max="4367" width="8.88671875" style="59"/>
    <col min="4368" max="4368" width="7" style="59" customWidth="1"/>
    <col min="4369" max="4369" width="7.44140625" style="59" customWidth="1"/>
    <col min="4370" max="4608" width="8.88671875" style="59"/>
    <col min="4609" max="4609" width="4.109375" style="59" customWidth="1"/>
    <col min="4610" max="4613" width="8.88671875" style="59"/>
    <col min="4614" max="4614" width="8" style="59" customWidth="1"/>
    <col min="4615" max="4617" width="8.88671875" style="59"/>
    <col min="4618" max="4618" width="7.33203125" style="59" customWidth="1"/>
    <col min="4619" max="4621" width="8.88671875" style="59"/>
    <col min="4622" max="4622" width="7.33203125" style="59" customWidth="1"/>
    <col min="4623" max="4623" width="8.88671875" style="59"/>
    <col min="4624" max="4624" width="7" style="59" customWidth="1"/>
    <col min="4625" max="4625" width="7.44140625" style="59" customWidth="1"/>
    <col min="4626" max="4864" width="8.88671875" style="59"/>
    <col min="4865" max="4865" width="4.109375" style="59" customWidth="1"/>
    <col min="4866" max="4869" width="8.88671875" style="59"/>
    <col min="4870" max="4870" width="8" style="59" customWidth="1"/>
    <col min="4871" max="4873" width="8.88671875" style="59"/>
    <col min="4874" max="4874" width="7.33203125" style="59" customWidth="1"/>
    <col min="4875" max="4877" width="8.88671875" style="59"/>
    <col min="4878" max="4878" width="7.33203125" style="59" customWidth="1"/>
    <col min="4879" max="4879" width="8.88671875" style="59"/>
    <col min="4880" max="4880" width="7" style="59" customWidth="1"/>
    <col min="4881" max="4881" width="7.44140625" style="59" customWidth="1"/>
    <col min="4882" max="5120" width="8.88671875" style="59"/>
    <col min="5121" max="5121" width="4.109375" style="59" customWidth="1"/>
    <col min="5122" max="5125" width="8.88671875" style="59"/>
    <col min="5126" max="5126" width="8" style="59" customWidth="1"/>
    <col min="5127" max="5129" width="8.88671875" style="59"/>
    <col min="5130" max="5130" width="7.33203125" style="59" customWidth="1"/>
    <col min="5131" max="5133" width="8.88671875" style="59"/>
    <col min="5134" max="5134" width="7.33203125" style="59" customWidth="1"/>
    <col min="5135" max="5135" width="8.88671875" style="59"/>
    <col min="5136" max="5136" width="7" style="59" customWidth="1"/>
    <col min="5137" max="5137" width="7.44140625" style="59" customWidth="1"/>
    <col min="5138" max="5376" width="8.88671875" style="59"/>
    <col min="5377" max="5377" width="4.109375" style="59" customWidth="1"/>
    <col min="5378" max="5381" width="8.88671875" style="59"/>
    <col min="5382" max="5382" width="8" style="59" customWidth="1"/>
    <col min="5383" max="5385" width="8.88671875" style="59"/>
    <col min="5386" max="5386" width="7.33203125" style="59" customWidth="1"/>
    <col min="5387" max="5389" width="8.88671875" style="59"/>
    <col min="5390" max="5390" width="7.33203125" style="59" customWidth="1"/>
    <col min="5391" max="5391" width="8.88671875" style="59"/>
    <col min="5392" max="5392" width="7" style="59" customWidth="1"/>
    <col min="5393" max="5393" width="7.44140625" style="59" customWidth="1"/>
    <col min="5394" max="5632" width="8.88671875" style="59"/>
    <col min="5633" max="5633" width="4.109375" style="59" customWidth="1"/>
    <col min="5634" max="5637" width="8.88671875" style="59"/>
    <col min="5638" max="5638" width="8" style="59" customWidth="1"/>
    <col min="5639" max="5641" width="8.88671875" style="59"/>
    <col min="5642" max="5642" width="7.33203125" style="59" customWidth="1"/>
    <col min="5643" max="5645" width="8.88671875" style="59"/>
    <col min="5646" max="5646" width="7.33203125" style="59" customWidth="1"/>
    <col min="5647" max="5647" width="8.88671875" style="59"/>
    <col min="5648" max="5648" width="7" style="59" customWidth="1"/>
    <col min="5649" max="5649" width="7.44140625" style="59" customWidth="1"/>
    <col min="5650" max="5888" width="8.88671875" style="59"/>
    <col min="5889" max="5889" width="4.109375" style="59" customWidth="1"/>
    <col min="5890" max="5893" width="8.88671875" style="59"/>
    <col min="5894" max="5894" width="8" style="59" customWidth="1"/>
    <col min="5895" max="5897" width="8.88671875" style="59"/>
    <col min="5898" max="5898" width="7.33203125" style="59" customWidth="1"/>
    <col min="5899" max="5901" width="8.88671875" style="59"/>
    <col min="5902" max="5902" width="7.33203125" style="59" customWidth="1"/>
    <col min="5903" max="5903" width="8.88671875" style="59"/>
    <col min="5904" max="5904" width="7" style="59" customWidth="1"/>
    <col min="5905" max="5905" width="7.44140625" style="59" customWidth="1"/>
    <col min="5906" max="6144" width="8.88671875" style="59"/>
    <col min="6145" max="6145" width="4.109375" style="59" customWidth="1"/>
    <col min="6146" max="6149" width="8.88671875" style="59"/>
    <col min="6150" max="6150" width="8" style="59" customWidth="1"/>
    <col min="6151" max="6153" width="8.88671875" style="59"/>
    <col min="6154" max="6154" width="7.33203125" style="59" customWidth="1"/>
    <col min="6155" max="6157" width="8.88671875" style="59"/>
    <col min="6158" max="6158" width="7.33203125" style="59" customWidth="1"/>
    <col min="6159" max="6159" width="8.88671875" style="59"/>
    <col min="6160" max="6160" width="7" style="59" customWidth="1"/>
    <col min="6161" max="6161" width="7.44140625" style="59" customWidth="1"/>
    <col min="6162" max="6400" width="8.88671875" style="59"/>
    <col min="6401" max="6401" width="4.109375" style="59" customWidth="1"/>
    <col min="6402" max="6405" width="8.88671875" style="59"/>
    <col min="6406" max="6406" width="8" style="59" customWidth="1"/>
    <col min="6407" max="6409" width="8.88671875" style="59"/>
    <col min="6410" max="6410" width="7.33203125" style="59" customWidth="1"/>
    <col min="6411" max="6413" width="8.88671875" style="59"/>
    <col min="6414" max="6414" width="7.33203125" style="59" customWidth="1"/>
    <col min="6415" max="6415" width="8.88671875" style="59"/>
    <col min="6416" max="6416" width="7" style="59" customWidth="1"/>
    <col min="6417" max="6417" width="7.44140625" style="59" customWidth="1"/>
    <col min="6418" max="6656" width="8.88671875" style="59"/>
    <col min="6657" max="6657" width="4.109375" style="59" customWidth="1"/>
    <col min="6658" max="6661" width="8.88671875" style="59"/>
    <col min="6662" max="6662" width="8" style="59" customWidth="1"/>
    <col min="6663" max="6665" width="8.88671875" style="59"/>
    <col min="6666" max="6666" width="7.33203125" style="59" customWidth="1"/>
    <col min="6667" max="6669" width="8.88671875" style="59"/>
    <col min="6670" max="6670" width="7.33203125" style="59" customWidth="1"/>
    <col min="6671" max="6671" width="8.88671875" style="59"/>
    <col min="6672" max="6672" width="7" style="59" customWidth="1"/>
    <col min="6673" max="6673" width="7.44140625" style="59" customWidth="1"/>
    <col min="6674" max="6912" width="8.88671875" style="59"/>
    <col min="6913" max="6913" width="4.109375" style="59" customWidth="1"/>
    <col min="6914" max="6917" width="8.88671875" style="59"/>
    <col min="6918" max="6918" width="8" style="59" customWidth="1"/>
    <col min="6919" max="6921" width="8.88671875" style="59"/>
    <col min="6922" max="6922" width="7.33203125" style="59" customWidth="1"/>
    <col min="6923" max="6925" width="8.88671875" style="59"/>
    <col min="6926" max="6926" width="7.33203125" style="59" customWidth="1"/>
    <col min="6927" max="6927" width="8.88671875" style="59"/>
    <col min="6928" max="6928" width="7" style="59" customWidth="1"/>
    <col min="6929" max="6929" width="7.44140625" style="59" customWidth="1"/>
    <col min="6930" max="7168" width="8.88671875" style="59"/>
    <col min="7169" max="7169" width="4.109375" style="59" customWidth="1"/>
    <col min="7170" max="7173" width="8.88671875" style="59"/>
    <col min="7174" max="7174" width="8" style="59" customWidth="1"/>
    <col min="7175" max="7177" width="8.88671875" style="59"/>
    <col min="7178" max="7178" width="7.33203125" style="59" customWidth="1"/>
    <col min="7179" max="7181" width="8.88671875" style="59"/>
    <col min="7182" max="7182" width="7.33203125" style="59" customWidth="1"/>
    <col min="7183" max="7183" width="8.88671875" style="59"/>
    <col min="7184" max="7184" width="7" style="59" customWidth="1"/>
    <col min="7185" max="7185" width="7.44140625" style="59" customWidth="1"/>
    <col min="7186" max="7424" width="8.88671875" style="59"/>
    <col min="7425" max="7425" width="4.109375" style="59" customWidth="1"/>
    <col min="7426" max="7429" width="8.88671875" style="59"/>
    <col min="7430" max="7430" width="8" style="59" customWidth="1"/>
    <col min="7431" max="7433" width="8.88671875" style="59"/>
    <col min="7434" max="7434" width="7.33203125" style="59" customWidth="1"/>
    <col min="7435" max="7437" width="8.88671875" style="59"/>
    <col min="7438" max="7438" width="7.33203125" style="59" customWidth="1"/>
    <col min="7439" max="7439" width="8.88671875" style="59"/>
    <col min="7440" max="7440" width="7" style="59" customWidth="1"/>
    <col min="7441" max="7441" width="7.44140625" style="59" customWidth="1"/>
    <col min="7442" max="7680" width="8.88671875" style="59"/>
    <col min="7681" max="7681" width="4.109375" style="59" customWidth="1"/>
    <col min="7682" max="7685" width="8.88671875" style="59"/>
    <col min="7686" max="7686" width="8" style="59" customWidth="1"/>
    <col min="7687" max="7689" width="8.88671875" style="59"/>
    <col min="7690" max="7690" width="7.33203125" style="59" customWidth="1"/>
    <col min="7691" max="7693" width="8.88671875" style="59"/>
    <col min="7694" max="7694" width="7.33203125" style="59" customWidth="1"/>
    <col min="7695" max="7695" width="8.88671875" style="59"/>
    <col min="7696" max="7696" width="7" style="59" customWidth="1"/>
    <col min="7697" max="7697" width="7.44140625" style="59" customWidth="1"/>
    <col min="7698" max="7936" width="8.88671875" style="59"/>
    <col min="7937" max="7937" width="4.109375" style="59" customWidth="1"/>
    <col min="7938" max="7941" width="8.88671875" style="59"/>
    <col min="7942" max="7942" width="8" style="59" customWidth="1"/>
    <col min="7943" max="7945" width="8.88671875" style="59"/>
    <col min="7946" max="7946" width="7.33203125" style="59" customWidth="1"/>
    <col min="7947" max="7949" width="8.88671875" style="59"/>
    <col min="7950" max="7950" width="7.33203125" style="59" customWidth="1"/>
    <col min="7951" max="7951" width="8.88671875" style="59"/>
    <col min="7952" max="7952" width="7" style="59" customWidth="1"/>
    <col min="7953" max="7953" width="7.44140625" style="59" customWidth="1"/>
    <col min="7954" max="8192" width="8.88671875" style="59"/>
    <col min="8193" max="8193" width="4.109375" style="59" customWidth="1"/>
    <col min="8194" max="8197" width="8.88671875" style="59"/>
    <col min="8198" max="8198" width="8" style="59" customWidth="1"/>
    <col min="8199" max="8201" width="8.88671875" style="59"/>
    <col min="8202" max="8202" width="7.33203125" style="59" customWidth="1"/>
    <col min="8203" max="8205" width="8.88671875" style="59"/>
    <col min="8206" max="8206" width="7.33203125" style="59" customWidth="1"/>
    <col min="8207" max="8207" width="8.88671875" style="59"/>
    <col min="8208" max="8208" width="7" style="59" customWidth="1"/>
    <col min="8209" max="8209" width="7.44140625" style="59" customWidth="1"/>
    <col min="8210" max="8448" width="8.88671875" style="59"/>
    <col min="8449" max="8449" width="4.109375" style="59" customWidth="1"/>
    <col min="8450" max="8453" width="8.88671875" style="59"/>
    <col min="8454" max="8454" width="8" style="59" customWidth="1"/>
    <col min="8455" max="8457" width="8.88671875" style="59"/>
    <col min="8458" max="8458" width="7.33203125" style="59" customWidth="1"/>
    <col min="8459" max="8461" width="8.88671875" style="59"/>
    <col min="8462" max="8462" width="7.33203125" style="59" customWidth="1"/>
    <col min="8463" max="8463" width="8.88671875" style="59"/>
    <col min="8464" max="8464" width="7" style="59" customWidth="1"/>
    <col min="8465" max="8465" width="7.44140625" style="59" customWidth="1"/>
    <col min="8466" max="8704" width="8.88671875" style="59"/>
    <col min="8705" max="8705" width="4.109375" style="59" customWidth="1"/>
    <col min="8706" max="8709" width="8.88671875" style="59"/>
    <col min="8710" max="8710" width="8" style="59" customWidth="1"/>
    <col min="8711" max="8713" width="8.88671875" style="59"/>
    <col min="8714" max="8714" width="7.33203125" style="59" customWidth="1"/>
    <col min="8715" max="8717" width="8.88671875" style="59"/>
    <col min="8718" max="8718" width="7.33203125" style="59" customWidth="1"/>
    <col min="8719" max="8719" width="8.88671875" style="59"/>
    <col min="8720" max="8720" width="7" style="59" customWidth="1"/>
    <col min="8721" max="8721" width="7.44140625" style="59" customWidth="1"/>
    <col min="8722" max="8960" width="8.88671875" style="59"/>
    <col min="8961" max="8961" width="4.109375" style="59" customWidth="1"/>
    <col min="8962" max="8965" width="8.88671875" style="59"/>
    <col min="8966" max="8966" width="8" style="59" customWidth="1"/>
    <col min="8967" max="8969" width="8.88671875" style="59"/>
    <col min="8970" max="8970" width="7.33203125" style="59" customWidth="1"/>
    <col min="8971" max="8973" width="8.88671875" style="59"/>
    <col min="8974" max="8974" width="7.33203125" style="59" customWidth="1"/>
    <col min="8975" max="8975" width="8.88671875" style="59"/>
    <col min="8976" max="8976" width="7" style="59" customWidth="1"/>
    <col min="8977" max="8977" width="7.44140625" style="59" customWidth="1"/>
    <col min="8978" max="9216" width="8.88671875" style="59"/>
    <col min="9217" max="9217" width="4.109375" style="59" customWidth="1"/>
    <col min="9218" max="9221" width="8.88671875" style="59"/>
    <col min="9222" max="9222" width="8" style="59" customWidth="1"/>
    <col min="9223" max="9225" width="8.88671875" style="59"/>
    <col min="9226" max="9226" width="7.33203125" style="59" customWidth="1"/>
    <col min="9227" max="9229" width="8.88671875" style="59"/>
    <col min="9230" max="9230" width="7.33203125" style="59" customWidth="1"/>
    <col min="9231" max="9231" width="8.88671875" style="59"/>
    <col min="9232" max="9232" width="7" style="59" customWidth="1"/>
    <col min="9233" max="9233" width="7.44140625" style="59" customWidth="1"/>
    <col min="9234" max="9472" width="8.88671875" style="59"/>
    <col min="9473" max="9473" width="4.109375" style="59" customWidth="1"/>
    <col min="9474" max="9477" width="8.88671875" style="59"/>
    <col min="9478" max="9478" width="8" style="59" customWidth="1"/>
    <col min="9479" max="9481" width="8.88671875" style="59"/>
    <col min="9482" max="9482" width="7.33203125" style="59" customWidth="1"/>
    <col min="9483" max="9485" width="8.88671875" style="59"/>
    <col min="9486" max="9486" width="7.33203125" style="59" customWidth="1"/>
    <col min="9487" max="9487" width="8.88671875" style="59"/>
    <col min="9488" max="9488" width="7" style="59" customWidth="1"/>
    <col min="9489" max="9489" width="7.44140625" style="59" customWidth="1"/>
    <col min="9490" max="9728" width="8.88671875" style="59"/>
    <col min="9729" max="9729" width="4.109375" style="59" customWidth="1"/>
    <col min="9730" max="9733" width="8.88671875" style="59"/>
    <col min="9734" max="9734" width="8" style="59" customWidth="1"/>
    <col min="9735" max="9737" width="8.88671875" style="59"/>
    <col min="9738" max="9738" width="7.33203125" style="59" customWidth="1"/>
    <col min="9739" max="9741" width="8.88671875" style="59"/>
    <col min="9742" max="9742" width="7.33203125" style="59" customWidth="1"/>
    <col min="9743" max="9743" width="8.88671875" style="59"/>
    <col min="9744" max="9744" width="7" style="59" customWidth="1"/>
    <col min="9745" max="9745" width="7.44140625" style="59" customWidth="1"/>
    <col min="9746" max="9984" width="8.88671875" style="59"/>
    <col min="9985" max="9985" width="4.109375" style="59" customWidth="1"/>
    <col min="9986" max="9989" width="8.88671875" style="59"/>
    <col min="9990" max="9990" width="8" style="59" customWidth="1"/>
    <col min="9991" max="9993" width="8.88671875" style="59"/>
    <col min="9994" max="9994" width="7.33203125" style="59" customWidth="1"/>
    <col min="9995" max="9997" width="8.88671875" style="59"/>
    <col min="9998" max="9998" width="7.33203125" style="59" customWidth="1"/>
    <col min="9999" max="9999" width="8.88671875" style="59"/>
    <col min="10000" max="10000" width="7" style="59" customWidth="1"/>
    <col min="10001" max="10001" width="7.44140625" style="59" customWidth="1"/>
    <col min="10002" max="10240" width="8.88671875" style="59"/>
    <col min="10241" max="10241" width="4.109375" style="59" customWidth="1"/>
    <col min="10242" max="10245" width="8.88671875" style="59"/>
    <col min="10246" max="10246" width="8" style="59" customWidth="1"/>
    <col min="10247" max="10249" width="8.88671875" style="59"/>
    <col min="10250" max="10250" width="7.33203125" style="59" customWidth="1"/>
    <col min="10251" max="10253" width="8.88671875" style="59"/>
    <col min="10254" max="10254" width="7.33203125" style="59" customWidth="1"/>
    <col min="10255" max="10255" width="8.88671875" style="59"/>
    <col min="10256" max="10256" width="7" style="59" customWidth="1"/>
    <col min="10257" max="10257" width="7.44140625" style="59" customWidth="1"/>
    <col min="10258" max="10496" width="8.88671875" style="59"/>
    <col min="10497" max="10497" width="4.109375" style="59" customWidth="1"/>
    <col min="10498" max="10501" width="8.88671875" style="59"/>
    <col min="10502" max="10502" width="8" style="59" customWidth="1"/>
    <col min="10503" max="10505" width="8.88671875" style="59"/>
    <col min="10506" max="10506" width="7.33203125" style="59" customWidth="1"/>
    <col min="10507" max="10509" width="8.88671875" style="59"/>
    <col min="10510" max="10510" width="7.33203125" style="59" customWidth="1"/>
    <col min="10511" max="10511" width="8.88671875" style="59"/>
    <col min="10512" max="10512" width="7" style="59" customWidth="1"/>
    <col min="10513" max="10513" width="7.44140625" style="59" customWidth="1"/>
    <col min="10514" max="10752" width="8.88671875" style="59"/>
    <col min="10753" max="10753" width="4.109375" style="59" customWidth="1"/>
    <col min="10754" max="10757" width="8.88671875" style="59"/>
    <col min="10758" max="10758" width="8" style="59" customWidth="1"/>
    <col min="10759" max="10761" width="8.88671875" style="59"/>
    <col min="10762" max="10762" width="7.33203125" style="59" customWidth="1"/>
    <col min="10763" max="10765" width="8.88671875" style="59"/>
    <col min="10766" max="10766" width="7.33203125" style="59" customWidth="1"/>
    <col min="10767" max="10767" width="8.88671875" style="59"/>
    <col min="10768" max="10768" width="7" style="59" customWidth="1"/>
    <col min="10769" max="10769" width="7.44140625" style="59" customWidth="1"/>
    <col min="10770" max="11008" width="8.88671875" style="59"/>
    <col min="11009" max="11009" width="4.109375" style="59" customWidth="1"/>
    <col min="11010" max="11013" width="8.88671875" style="59"/>
    <col min="11014" max="11014" width="8" style="59" customWidth="1"/>
    <col min="11015" max="11017" width="8.88671875" style="59"/>
    <col min="11018" max="11018" width="7.33203125" style="59" customWidth="1"/>
    <col min="11019" max="11021" width="8.88671875" style="59"/>
    <col min="11022" max="11022" width="7.33203125" style="59" customWidth="1"/>
    <col min="11023" max="11023" width="8.88671875" style="59"/>
    <col min="11024" max="11024" width="7" style="59" customWidth="1"/>
    <col min="11025" max="11025" width="7.44140625" style="59" customWidth="1"/>
    <col min="11026" max="11264" width="8.88671875" style="59"/>
    <col min="11265" max="11265" width="4.109375" style="59" customWidth="1"/>
    <col min="11266" max="11269" width="8.88671875" style="59"/>
    <col min="11270" max="11270" width="8" style="59" customWidth="1"/>
    <col min="11271" max="11273" width="8.88671875" style="59"/>
    <col min="11274" max="11274" width="7.33203125" style="59" customWidth="1"/>
    <col min="11275" max="11277" width="8.88671875" style="59"/>
    <col min="11278" max="11278" width="7.33203125" style="59" customWidth="1"/>
    <col min="11279" max="11279" width="8.88671875" style="59"/>
    <col min="11280" max="11280" width="7" style="59" customWidth="1"/>
    <col min="11281" max="11281" width="7.44140625" style="59" customWidth="1"/>
    <col min="11282" max="11520" width="8.88671875" style="59"/>
    <col min="11521" max="11521" width="4.109375" style="59" customWidth="1"/>
    <col min="11522" max="11525" width="8.88671875" style="59"/>
    <col min="11526" max="11526" width="8" style="59" customWidth="1"/>
    <col min="11527" max="11529" width="8.88671875" style="59"/>
    <col min="11530" max="11530" width="7.33203125" style="59" customWidth="1"/>
    <col min="11531" max="11533" width="8.88671875" style="59"/>
    <col min="11534" max="11534" width="7.33203125" style="59" customWidth="1"/>
    <col min="11535" max="11535" width="8.88671875" style="59"/>
    <col min="11536" max="11536" width="7" style="59" customWidth="1"/>
    <col min="11537" max="11537" width="7.44140625" style="59" customWidth="1"/>
    <col min="11538" max="11776" width="8.88671875" style="59"/>
    <col min="11777" max="11777" width="4.109375" style="59" customWidth="1"/>
    <col min="11778" max="11781" width="8.88671875" style="59"/>
    <col min="11782" max="11782" width="8" style="59" customWidth="1"/>
    <col min="11783" max="11785" width="8.88671875" style="59"/>
    <col min="11786" max="11786" width="7.33203125" style="59" customWidth="1"/>
    <col min="11787" max="11789" width="8.88671875" style="59"/>
    <col min="11790" max="11790" width="7.33203125" style="59" customWidth="1"/>
    <col min="11791" max="11791" width="8.88671875" style="59"/>
    <col min="11792" max="11792" width="7" style="59" customWidth="1"/>
    <col min="11793" max="11793" width="7.44140625" style="59" customWidth="1"/>
    <col min="11794" max="12032" width="8.88671875" style="59"/>
    <col min="12033" max="12033" width="4.109375" style="59" customWidth="1"/>
    <col min="12034" max="12037" width="8.88671875" style="59"/>
    <col min="12038" max="12038" width="8" style="59" customWidth="1"/>
    <col min="12039" max="12041" width="8.88671875" style="59"/>
    <col min="12042" max="12042" width="7.33203125" style="59" customWidth="1"/>
    <col min="12043" max="12045" width="8.88671875" style="59"/>
    <col min="12046" max="12046" width="7.33203125" style="59" customWidth="1"/>
    <col min="12047" max="12047" width="8.88671875" style="59"/>
    <col min="12048" max="12048" width="7" style="59" customWidth="1"/>
    <col min="12049" max="12049" width="7.44140625" style="59" customWidth="1"/>
    <col min="12050" max="12288" width="8.88671875" style="59"/>
    <col min="12289" max="12289" width="4.109375" style="59" customWidth="1"/>
    <col min="12290" max="12293" width="8.88671875" style="59"/>
    <col min="12294" max="12294" width="8" style="59" customWidth="1"/>
    <col min="12295" max="12297" width="8.88671875" style="59"/>
    <col min="12298" max="12298" width="7.33203125" style="59" customWidth="1"/>
    <col min="12299" max="12301" width="8.88671875" style="59"/>
    <col min="12302" max="12302" width="7.33203125" style="59" customWidth="1"/>
    <col min="12303" max="12303" width="8.88671875" style="59"/>
    <col min="12304" max="12304" width="7" style="59" customWidth="1"/>
    <col min="12305" max="12305" width="7.44140625" style="59" customWidth="1"/>
    <col min="12306" max="12544" width="8.88671875" style="59"/>
    <col min="12545" max="12545" width="4.109375" style="59" customWidth="1"/>
    <col min="12546" max="12549" width="8.88671875" style="59"/>
    <col min="12550" max="12550" width="8" style="59" customWidth="1"/>
    <col min="12551" max="12553" width="8.88671875" style="59"/>
    <col min="12554" max="12554" width="7.33203125" style="59" customWidth="1"/>
    <col min="12555" max="12557" width="8.88671875" style="59"/>
    <col min="12558" max="12558" width="7.33203125" style="59" customWidth="1"/>
    <col min="12559" max="12559" width="8.88671875" style="59"/>
    <col min="12560" max="12560" width="7" style="59" customWidth="1"/>
    <col min="12561" max="12561" width="7.44140625" style="59" customWidth="1"/>
    <col min="12562" max="12800" width="8.88671875" style="59"/>
    <col min="12801" max="12801" width="4.109375" style="59" customWidth="1"/>
    <col min="12802" max="12805" width="8.88671875" style="59"/>
    <col min="12806" max="12806" width="8" style="59" customWidth="1"/>
    <col min="12807" max="12809" width="8.88671875" style="59"/>
    <col min="12810" max="12810" width="7.33203125" style="59" customWidth="1"/>
    <col min="12811" max="12813" width="8.88671875" style="59"/>
    <col min="12814" max="12814" width="7.33203125" style="59" customWidth="1"/>
    <col min="12815" max="12815" width="8.88671875" style="59"/>
    <col min="12816" max="12816" width="7" style="59" customWidth="1"/>
    <col min="12817" max="12817" width="7.44140625" style="59" customWidth="1"/>
    <col min="12818" max="13056" width="8.88671875" style="59"/>
    <col min="13057" max="13057" width="4.109375" style="59" customWidth="1"/>
    <col min="13058" max="13061" width="8.88671875" style="59"/>
    <col min="13062" max="13062" width="8" style="59" customWidth="1"/>
    <col min="13063" max="13065" width="8.88671875" style="59"/>
    <col min="13066" max="13066" width="7.33203125" style="59" customWidth="1"/>
    <col min="13067" max="13069" width="8.88671875" style="59"/>
    <col min="13070" max="13070" width="7.33203125" style="59" customWidth="1"/>
    <col min="13071" max="13071" width="8.88671875" style="59"/>
    <col min="13072" max="13072" width="7" style="59" customWidth="1"/>
    <col min="13073" max="13073" width="7.44140625" style="59" customWidth="1"/>
    <col min="13074" max="13312" width="8.88671875" style="59"/>
    <col min="13313" max="13313" width="4.109375" style="59" customWidth="1"/>
    <col min="13314" max="13317" width="8.88671875" style="59"/>
    <col min="13318" max="13318" width="8" style="59" customWidth="1"/>
    <col min="13319" max="13321" width="8.88671875" style="59"/>
    <col min="13322" max="13322" width="7.33203125" style="59" customWidth="1"/>
    <col min="13323" max="13325" width="8.88671875" style="59"/>
    <col min="13326" max="13326" width="7.33203125" style="59" customWidth="1"/>
    <col min="13327" max="13327" width="8.88671875" style="59"/>
    <col min="13328" max="13328" width="7" style="59" customWidth="1"/>
    <col min="13329" max="13329" width="7.44140625" style="59" customWidth="1"/>
    <col min="13330" max="13568" width="8.88671875" style="59"/>
    <col min="13569" max="13569" width="4.109375" style="59" customWidth="1"/>
    <col min="13570" max="13573" width="8.88671875" style="59"/>
    <col min="13574" max="13574" width="8" style="59" customWidth="1"/>
    <col min="13575" max="13577" width="8.88671875" style="59"/>
    <col min="13578" max="13578" width="7.33203125" style="59" customWidth="1"/>
    <col min="13579" max="13581" width="8.88671875" style="59"/>
    <col min="13582" max="13582" width="7.33203125" style="59" customWidth="1"/>
    <col min="13583" max="13583" width="8.88671875" style="59"/>
    <col min="13584" max="13584" width="7" style="59" customWidth="1"/>
    <col min="13585" max="13585" width="7.44140625" style="59" customWidth="1"/>
    <col min="13586" max="13824" width="8.88671875" style="59"/>
    <col min="13825" max="13825" width="4.109375" style="59" customWidth="1"/>
    <col min="13826" max="13829" width="8.88671875" style="59"/>
    <col min="13830" max="13830" width="8" style="59" customWidth="1"/>
    <col min="13831" max="13833" width="8.88671875" style="59"/>
    <col min="13834" max="13834" width="7.33203125" style="59" customWidth="1"/>
    <col min="13835" max="13837" width="8.88671875" style="59"/>
    <col min="13838" max="13838" width="7.33203125" style="59" customWidth="1"/>
    <col min="13839" max="13839" width="8.88671875" style="59"/>
    <col min="13840" max="13840" width="7" style="59" customWidth="1"/>
    <col min="13841" max="13841" width="7.44140625" style="59" customWidth="1"/>
    <col min="13842" max="14080" width="8.88671875" style="59"/>
    <col min="14081" max="14081" width="4.109375" style="59" customWidth="1"/>
    <col min="14082" max="14085" width="8.88671875" style="59"/>
    <col min="14086" max="14086" width="8" style="59" customWidth="1"/>
    <col min="14087" max="14089" width="8.88671875" style="59"/>
    <col min="14090" max="14090" width="7.33203125" style="59" customWidth="1"/>
    <col min="14091" max="14093" width="8.88671875" style="59"/>
    <col min="14094" max="14094" width="7.33203125" style="59" customWidth="1"/>
    <col min="14095" max="14095" width="8.88671875" style="59"/>
    <col min="14096" max="14096" width="7" style="59" customWidth="1"/>
    <col min="14097" max="14097" width="7.44140625" style="59" customWidth="1"/>
    <col min="14098" max="14336" width="8.88671875" style="59"/>
    <col min="14337" max="14337" width="4.109375" style="59" customWidth="1"/>
    <col min="14338" max="14341" width="8.88671875" style="59"/>
    <col min="14342" max="14342" width="8" style="59" customWidth="1"/>
    <col min="14343" max="14345" width="8.88671875" style="59"/>
    <col min="14346" max="14346" width="7.33203125" style="59" customWidth="1"/>
    <col min="14347" max="14349" width="8.88671875" style="59"/>
    <col min="14350" max="14350" width="7.33203125" style="59" customWidth="1"/>
    <col min="14351" max="14351" width="8.88671875" style="59"/>
    <col min="14352" max="14352" width="7" style="59" customWidth="1"/>
    <col min="14353" max="14353" width="7.44140625" style="59" customWidth="1"/>
    <col min="14354" max="14592" width="8.88671875" style="59"/>
    <col min="14593" max="14593" width="4.109375" style="59" customWidth="1"/>
    <col min="14594" max="14597" width="8.88671875" style="59"/>
    <col min="14598" max="14598" width="8" style="59" customWidth="1"/>
    <col min="14599" max="14601" width="8.88671875" style="59"/>
    <col min="14602" max="14602" width="7.33203125" style="59" customWidth="1"/>
    <col min="14603" max="14605" width="8.88671875" style="59"/>
    <col min="14606" max="14606" width="7.33203125" style="59" customWidth="1"/>
    <col min="14607" max="14607" width="8.88671875" style="59"/>
    <col min="14608" max="14608" width="7" style="59" customWidth="1"/>
    <col min="14609" max="14609" width="7.44140625" style="59" customWidth="1"/>
    <col min="14610" max="14848" width="8.88671875" style="59"/>
    <col min="14849" max="14849" width="4.109375" style="59" customWidth="1"/>
    <col min="14850" max="14853" width="8.88671875" style="59"/>
    <col min="14854" max="14854" width="8" style="59" customWidth="1"/>
    <col min="14855" max="14857" width="8.88671875" style="59"/>
    <col min="14858" max="14858" width="7.33203125" style="59" customWidth="1"/>
    <col min="14859" max="14861" width="8.88671875" style="59"/>
    <col min="14862" max="14862" width="7.33203125" style="59" customWidth="1"/>
    <col min="14863" max="14863" width="8.88671875" style="59"/>
    <col min="14864" max="14864" width="7" style="59" customWidth="1"/>
    <col min="14865" max="14865" width="7.44140625" style="59" customWidth="1"/>
    <col min="14866" max="15104" width="8.88671875" style="59"/>
    <col min="15105" max="15105" width="4.109375" style="59" customWidth="1"/>
    <col min="15106" max="15109" width="8.88671875" style="59"/>
    <col min="15110" max="15110" width="8" style="59" customWidth="1"/>
    <col min="15111" max="15113" width="8.88671875" style="59"/>
    <col min="15114" max="15114" width="7.33203125" style="59" customWidth="1"/>
    <col min="15115" max="15117" width="8.88671875" style="59"/>
    <col min="15118" max="15118" width="7.33203125" style="59" customWidth="1"/>
    <col min="15119" max="15119" width="8.88671875" style="59"/>
    <col min="15120" max="15120" width="7" style="59" customWidth="1"/>
    <col min="15121" max="15121" width="7.44140625" style="59" customWidth="1"/>
    <col min="15122" max="15360" width="8.88671875" style="59"/>
    <col min="15361" max="15361" width="4.109375" style="59" customWidth="1"/>
    <col min="15362" max="15365" width="8.88671875" style="59"/>
    <col min="15366" max="15366" width="8" style="59" customWidth="1"/>
    <col min="15367" max="15369" width="8.88671875" style="59"/>
    <col min="15370" max="15370" width="7.33203125" style="59" customWidth="1"/>
    <col min="15371" max="15373" width="8.88671875" style="59"/>
    <col min="15374" max="15374" width="7.33203125" style="59" customWidth="1"/>
    <col min="15375" max="15375" width="8.88671875" style="59"/>
    <col min="15376" max="15376" width="7" style="59" customWidth="1"/>
    <col min="15377" max="15377" width="7.44140625" style="59" customWidth="1"/>
    <col min="15378" max="15616" width="8.88671875" style="59"/>
    <col min="15617" max="15617" width="4.109375" style="59" customWidth="1"/>
    <col min="15618" max="15621" width="8.88671875" style="59"/>
    <col min="15622" max="15622" width="8" style="59" customWidth="1"/>
    <col min="15623" max="15625" width="8.88671875" style="59"/>
    <col min="15626" max="15626" width="7.33203125" style="59" customWidth="1"/>
    <col min="15627" max="15629" width="8.88671875" style="59"/>
    <col min="15630" max="15630" width="7.33203125" style="59" customWidth="1"/>
    <col min="15631" max="15631" width="8.88671875" style="59"/>
    <col min="15632" max="15632" width="7" style="59" customWidth="1"/>
    <col min="15633" max="15633" width="7.44140625" style="59" customWidth="1"/>
    <col min="15634" max="15872" width="8.88671875" style="59"/>
    <col min="15873" max="15873" width="4.109375" style="59" customWidth="1"/>
    <col min="15874" max="15877" width="8.88671875" style="59"/>
    <col min="15878" max="15878" width="8" style="59" customWidth="1"/>
    <col min="15879" max="15881" width="8.88671875" style="59"/>
    <col min="15882" max="15882" width="7.33203125" style="59" customWidth="1"/>
    <col min="15883" max="15885" width="8.88671875" style="59"/>
    <col min="15886" max="15886" width="7.33203125" style="59" customWidth="1"/>
    <col min="15887" max="15887" width="8.88671875" style="59"/>
    <col min="15888" max="15888" width="7" style="59" customWidth="1"/>
    <col min="15889" max="15889" width="7.44140625" style="59" customWidth="1"/>
    <col min="15890" max="16128" width="8.88671875" style="59"/>
    <col min="16129" max="16129" width="4.109375" style="59" customWidth="1"/>
    <col min="16130" max="16133" width="8.88671875" style="59"/>
    <col min="16134" max="16134" width="8" style="59" customWidth="1"/>
    <col min="16135" max="16137" width="8.88671875" style="59"/>
    <col min="16138" max="16138" width="7.33203125" style="59" customWidth="1"/>
    <col min="16139" max="16141" width="8.88671875" style="59"/>
    <col min="16142" max="16142" width="7.33203125" style="59" customWidth="1"/>
    <col min="16143" max="16143" width="8.88671875" style="59"/>
    <col min="16144" max="16144" width="7" style="59" customWidth="1"/>
    <col min="16145" max="16145" width="7.44140625" style="59" customWidth="1"/>
    <col min="16146" max="16384" width="8.88671875" style="59"/>
  </cols>
  <sheetData>
    <row r="1" spans="1:18" ht="21">
      <c r="A1" s="53" t="s">
        <v>38</v>
      </c>
      <c r="B1" s="267"/>
      <c r="C1" s="267"/>
      <c r="D1" s="267"/>
      <c r="E1" s="267"/>
      <c r="F1" s="267"/>
      <c r="G1" s="267"/>
      <c r="H1" s="267"/>
      <c r="I1" s="267"/>
      <c r="J1" s="267"/>
      <c r="K1" s="267"/>
      <c r="L1" s="267"/>
      <c r="M1" s="267"/>
      <c r="N1" s="267"/>
      <c r="O1" s="267"/>
    </row>
    <row r="2" spans="1:18" ht="14.4">
      <c r="A2" s="266" t="s">
        <v>91</v>
      </c>
    </row>
    <row r="3" spans="1:18" ht="13.8" thickBot="1"/>
    <row r="4" spans="1:18">
      <c r="A4" s="60" t="s">
        <v>64</v>
      </c>
      <c r="B4" s="61">
        <v>0.23</v>
      </c>
      <c r="C4" s="62"/>
      <c r="D4" s="62"/>
      <c r="E4" s="62"/>
      <c r="F4" s="63"/>
      <c r="G4" s="64"/>
      <c r="H4" s="62"/>
      <c r="I4" s="62"/>
      <c r="J4" s="65"/>
      <c r="K4" s="66"/>
      <c r="L4" s="65"/>
      <c r="M4" s="65"/>
      <c r="N4" s="67"/>
      <c r="O4" s="67"/>
      <c r="P4" s="67"/>
      <c r="Q4" s="68"/>
      <c r="R4" s="69"/>
    </row>
    <row r="5" spans="1:18" ht="13.8" thickBot="1">
      <c r="A5" s="70" t="s">
        <v>88</v>
      </c>
      <c r="B5" s="71">
        <v>20</v>
      </c>
      <c r="C5" s="62"/>
      <c r="D5" s="62"/>
      <c r="E5" s="62"/>
      <c r="F5" s="63"/>
      <c r="G5" s="64"/>
      <c r="H5" s="62"/>
      <c r="I5" s="62"/>
      <c r="J5" s="65"/>
      <c r="K5" s="66"/>
      <c r="L5" s="65"/>
      <c r="M5" s="65"/>
      <c r="N5" s="67"/>
      <c r="O5" s="67"/>
      <c r="P5" s="67"/>
      <c r="Q5" s="68"/>
      <c r="R5" s="69"/>
    </row>
    <row r="6" spans="1:18" ht="13.8" thickBot="1">
      <c r="A6" s="72" t="s">
        <v>2</v>
      </c>
      <c r="B6" s="73">
        <v>2200</v>
      </c>
      <c r="C6" s="62"/>
      <c r="D6" s="62"/>
      <c r="E6" s="62"/>
      <c r="F6" s="63"/>
      <c r="G6" s="64"/>
      <c r="H6" s="62"/>
      <c r="I6" s="62"/>
      <c r="J6" s="65"/>
      <c r="K6" s="66"/>
      <c r="L6" s="65"/>
      <c r="M6" s="65"/>
      <c r="N6" s="67"/>
      <c r="O6" s="67"/>
      <c r="P6" s="67"/>
      <c r="Q6" s="68"/>
      <c r="R6" s="69"/>
    </row>
    <row r="7" spans="1:18" ht="16.2" thickBot="1">
      <c r="A7" s="262" t="s">
        <v>89</v>
      </c>
      <c r="B7" s="263"/>
      <c r="C7" s="77">
        <v>15</v>
      </c>
      <c r="E7" s="62"/>
      <c r="F7" s="63"/>
      <c r="G7" s="64"/>
      <c r="H7" s="62"/>
      <c r="I7" s="62"/>
      <c r="J7" s="65"/>
      <c r="K7" s="66"/>
      <c r="L7" s="65"/>
      <c r="M7" s="65"/>
      <c r="N7" s="67"/>
      <c r="O7" s="67"/>
      <c r="P7" s="67"/>
      <c r="Q7" s="68"/>
      <c r="R7" s="69"/>
    </row>
    <row r="8" spans="1:18" ht="16.2" thickBot="1">
      <c r="A8" s="262" t="s">
        <v>39</v>
      </c>
      <c r="B8" s="263"/>
      <c r="C8" s="79">
        <v>65</v>
      </c>
      <c r="E8" s="62"/>
      <c r="F8" s="63"/>
      <c r="G8" s="64"/>
      <c r="H8" s="62"/>
      <c r="I8" s="62"/>
      <c r="J8" s="65"/>
      <c r="K8" s="66"/>
      <c r="L8" s="65"/>
      <c r="M8" s="65"/>
      <c r="N8" s="67"/>
      <c r="O8" s="67"/>
      <c r="P8" s="67"/>
      <c r="Q8" s="68"/>
      <c r="R8" s="69"/>
    </row>
    <row r="9" spans="1:18" ht="15" customHeight="1" thickBot="1">
      <c r="A9" s="264" t="s">
        <v>36</v>
      </c>
      <c r="B9" s="265"/>
      <c r="C9" s="79">
        <v>5</v>
      </c>
      <c r="E9" s="62"/>
      <c r="F9" s="63"/>
      <c r="G9" s="64"/>
      <c r="H9" s="62"/>
      <c r="I9" s="62"/>
      <c r="J9" s="65"/>
      <c r="K9" s="66"/>
      <c r="L9" s="65"/>
      <c r="M9" s="65"/>
      <c r="N9" s="67"/>
      <c r="O9" s="67"/>
      <c r="P9" s="67"/>
      <c r="Q9" s="68"/>
      <c r="R9" s="69"/>
    </row>
    <row r="10" spans="1:18">
      <c r="A10" s="65"/>
      <c r="B10" s="80"/>
      <c r="C10" s="62"/>
      <c r="D10" s="62"/>
      <c r="E10" s="62"/>
      <c r="F10" s="63"/>
      <c r="G10" s="64"/>
      <c r="H10" s="62"/>
      <c r="I10" s="62"/>
      <c r="J10" s="65"/>
      <c r="K10" s="66"/>
      <c r="L10" s="65"/>
      <c r="M10" s="65"/>
      <c r="N10" s="67"/>
      <c r="O10" s="67"/>
      <c r="P10" s="67"/>
      <c r="Q10" s="68"/>
      <c r="R10" s="69"/>
    </row>
    <row r="11" spans="1:18" ht="13.8" thickBot="1">
      <c r="A11" s="81"/>
      <c r="B11" s="62"/>
      <c r="C11" s="62"/>
      <c r="D11" s="62"/>
      <c r="E11" s="62"/>
      <c r="F11" s="63"/>
      <c r="G11" s="64"/>
      <c r="H11" s="62"/>
      <c r="I11" s="62"/>
      <c r="J11" s="67"/>
      <c r="K11" s="67"/>
      <c r="L11" s="67"/>
      <c r="M11" s="67"/>
      <c r="N11" s="67"/>
      <c r="O11" s="82"/>
      <c r="P11" s="82"/>
      <c r="Q11" s="83"/>
      <c r="R11" s="83"/>
    </row>
    <row r="12" spans="1:18" ht="13.8" thickBot="1">
      <c r="A12" s="216" t="s">
        <v>0</v>
      </c>
      <c r="B12" s="218" t="s">
        <v>69</v>
      </c>
      <c r="C12" s="218"/>
      <c r="D12" s="218"/>
      <c r="E12" s="219"/>
      <c r="F12" s="218"/>
      <c r="G12" s="220" t="s">
        <v>70</v>
      </c>
      <c r="H12" s="221"/>
      <c r="I12" s="221"/>
      <c r="J12" s="222"/>
      <c r="K12" s="220" t="s">
        <v>71</v>
      </c>
      <c r="L12" s="221"/>
      <c r="M12" s="221"/>
      <c r="N12" s="222"/>
      <c r="O12" s="223" t="s">
        <v>6</v>
      </c>
      <c r="P12" s="225" t="s">
        <v>56</v>
      </c>
      <c r="Q12" s="226"/>
      <c r="R12" s="82"/>
    </row>
    <row r="13" spans="1:18" s="91" customFormat="1" ht="16.2" thickBot="1">
      <c r="A13" s="217"/>
      <c r="B13" s="84" t="s">
        <v>1</v>
      </c>
      <c r="C13" s="85" t="s">
        <v>2</v>
      </c>
      <c r="D13" s="85" t="s">
        <v>3</v>
      </c>
      <c r="E13" s="86" t="s">
        <v>57</v>
      </c>
      <c r="F13" s="85" t="s">
        <v>58</v>
      </c>
      <c r="G13" s="87" t="s">
        <v>60</v>
      </c>
      <c r="H13" s="88" t="s">
        <v>3</v>
      </c>
      <c r="I13" s="88" t="s">
        <v>72</v>
      </c>
      <c r="J13" s="86" t="s">
        <v>59</v>
      </c>
      <c r="K13" s="85" t="s">
        <v>73</v>
      </c>
      <c r="L13" s="85" t="s">
        <v>74</v>
      </c>
      <c r="M13" s="85" t="s">
        <v>75</v>
      </c>
      <c r="N13" s="85" t="s">
        <v>76</v>
      </c>
      <c r="O13" s="224"/>
      <c r="P13" s="89" t="s">
        <v>61</v>
      </c>
      <c r="Q13" s="89" t="s">
        <v>62</v>
      </c>
      <c r="R13" s="90" t="s">
        <v>77</v>
      </c>
    </row>
    <row r="14" spans="1:18" s="91" customFormat="1" ht="13.8" thickBot="1">
      <c r="A14" s="92">
        <v>15</v>
      </c>
      <c r="B14" s="93">
        <f>EXP(4.04764-8.75819/A14^0.56087)+1.19874*(1-EXP(-0.081*A14))^2.99578*($B$5-17.38)</f>
        <v>9.5085291059454633</v>
      </c>
      <c r="C14" s="94"/>
      <c r="D14" s="94"/>
      <c r="E14" s="94"/>
      <c r="F14" s="94"/>
      <c r="G14" s="95"/>
      <c r="H14" s="94"/>
      <c r="I14" s="94"/>
      <c r="J14" s="94"/>
      <c r="K14" s="96"/>
      <c r="L14" s="94"/>
      <c r="M14" s="94"/>
      <c r="N14" s="94"/>
      <c r="O14" s="97"/>
      <c r="P14" s="90"/>
      <c r="Q14" s="98"/>
      <c r="R14" s="90"/>
    </row>
    <row r="15" spans="1:18">
      <c r="A15" s="99">
        <v>15</v>
      </c>
      <c r="B15" s="93">
        <f>EXP(4.04764-8.75819/A15^0.56087)+1.19874*(1-EXP(-0.081*A15))^2.99578*($B$5-17.38)</f>
        <v>9.5085291059454633</v>
      </c>
      <c r="C15" s="100"/>
      <c r="D15" s="101"/>
      <c r="E15" s="101"/>
      <c r="F15" s="101"/>
      <c r="G15" s="102"/>
      <c r="H15" s="103"/>
      <c r="I15" s="101"/>
      <c r="J15" s="101"/>
      <c r="K15" s="104"/>
      <c r="L15" s="101"/>
      <c r="M15" s="101"/>
      <c r="N15" s="101"/>
      <c r="O15" s="105"/>
      <c r="P15" s="106"/>
      <c r="Q15" s="107"/>
      <c r="R15" s="82"/>
    </row>
    <row r="16" spans="1:18">
      <c r="A16" s="108">
        <f>A15+pdesb</f>
        <v>20</v>
      </c>
      <c r="B16" s="109">
        <f t="shared" ref="B16:B27" si="0">EXP(4.04764-8.75819/A16^0.56087)+1.19874*(1-EXP(-0.081*A16))^2.99578*($B$5-17.38)</f>
        <v>12.819794801507502</v>
      </c>
      <c r="C16" s="110"/>
      <c r="D16" s="111"/>
      <c r="E16" s="111"/>
      <c r="F16" s="111"/>
      <c r="G16" s="112"/>
      <c r="H16" s="113"/>
      <c r="I16" s="111"/>
      <c r="J16" s="111"/>
      <c r="K16" s="114"/>
      <c r="L16" s="111"/>
      <c r="M16" s="111"/>
      <c r="N16" s="111"/>
      <c r="O16" s="115"/>
      <c r="P16" s="116"/>
      <c r="Q16" s="117"/>
      <c r="R16" s="82"/>
    </row>
    <row r="17" spans="1:18">
      <c r="A17" s="108">
        <f t="shared" ref="A17:A25" si="1">A16+pdesb</f>
        <v>25</v>
      </c>
      <c r="B17" s="109">
        <f t="shared" si="0"/>
        <v>15.622678395248585</v>
      </c>
      <c r="C17" s="110"/>
      <c r="D17" s="111"/>
      <c r="E17" s="111"/>
      <c r="F17" s="111"/>
      <c r="G17" s="112"/>
      <c r="H17" s="113"/>
      <c r="I17" s="111"/>
      <c r="J17" s="111"/>
      <c r="K17" s="114"/>
      <c r="L17" s="111"/>
      <c r="M17" s="111"/>
      <c r="N17" s="111"/>
      <c r="O17" s="115"/>
      <c r="P17" s="116"/>
      <c r="Q17" s="117"/>
      <c r="R17" s="82"/>
    </row>
    <row r="18" spans="1:18">
      <c r="A18" s="108">
        <f t="shared" si="1"/>
        <v>30</v>
      </c>
      <c r="B18" s="109">
        <f t="shared" si="0"/>
        <v>17.988868326662203</v>
      </c>
      <c r="C18" s="110"/>
      <c r="D18" s="111"/>
      <c r="E18" s="111"/>
      <c r="F18" s="111"/>
      <c r="G18" s="112"/>
      <c r="H18" s="113"/>
      <c r="I18" s="111"/>
      <c r="J18" s="111"/>
      <c r="K18" s="114"/>
      <c r="L18" s="111"/>
      <c r="M18" s="111"/>
      <c r="N18" s="111"/>
      <c r="O18" s="115"/>
      <c r="P18" s="116"/>
      <c r="Q18" s="117"/>
      <c r="R18" s="82"/>
    </row>
    <row r="19" spans="1:18">
      <c r="A19" s="108">
        <f t="shared" si="1"/>
        <v>35</v>
      </c>
      <c r="B19" s="109">
        <f t="shared" si="0"/>
        <v>19.99996006609496</v>
      </c>
      <c r="C19" s="118"/>
      <c r="D19" s="119"/>
      <c r="E19" s="120"/>
      <c r="F19" s="120"/>
      <c r="G19" s="118"/>
      <c r="H19" s="121"/>
      <c r="I19" s="120"/>
      <c r="J19" s="120"/>
      <c r="K19" s="114"/>
      <c r="L19" s="111"/>
      <c r="M19" s="111"/>
      <c r="N19" s="111"/>
      <c r="O19" s="115"/>
      <c r="P19" s="116"/>
      <c r="Q19" s="117"/>
      <c r="R19" s="82"/>
    </row>
    <row r="20" spans="1:18">
      <c r="A20" s="108">
        <f t="shared" si="1"/>
        <v>40</v>
      </c>
      <c r="B20" s="109">
        <f t="shared" si="0"/>
        <v>21.727922598897567</v>
      </c>
      <c r="C20" s="118"/>
      <c r="D20" s="120"/>
      <c r="E20" s="120"/>
      <c r="F20" s="120"/>
      <c r="G20" s="118"/>
      <c r="H20" s="121"/>
      <c r="I20" s="120"/>
      <c r="J20" s="120"/>
      <c r="K20" s="114"/>
      <c r="L20" s="111"/>
      <c r="M20" s="111"/>
      <c r="N20" s="111"/>
      <c r="O20" s="115"/>
      <c r="P20" s="116"/>
      <c r="Q20" s="117"/>
      <c r="R20" s="82"/>
    </row>
    <row r="21" spans="1:18">
      <c r="A21" s="108">
        <f t="shared" si="1"/>
        <v>45</v>
      </c>
      <c r="B21" s="109">
        <f t="shared" si="0"/>
        <v>23.230832101091192</v>
      </c>
      <c r="C21" s="118"/>
      <c r="D21" s="120"/>
      <c r="E21" s="120"/>
      <c r="F21" s="120"/>
      <c r="G21" s="118"/>
      <c r="H21" s="121"/>
      <c r="I21" s="120"/>
      <c r="J21" s="120"/>
      <c r="K21" s="114"/>
      <c r="L21" s="111"/>
      <c r="M21" s="111"/>
      <c r="N21" s="111"/>
      <c r="O21" s="115"/>
      <c r="P21" s="116"/>
      <c r="Q21" s="117"/>
      <c r="R21" s="82"/>
    </row>
    <row r="22" spans="1:18">
      <c r="A22" s="108">
        <f t="shared" si="1"/>
        <v>50</v>
      </c>
      <c r="B22" s="109">
        <f t="shared" si="0"/>
        <v>24.553801733943406</v>
      </c>
      <c r="C22" s="118"/>
      <c r="D22" s="120"/>
      <c r="E22" s="120"/>
      <c r="F22" s="120"/>
      <c r="G22" s="118"/>
      <c r="H22" s="121"/>
      <c r="I22" s="120"/>
      <c r="J22" s="120"/>
      <c r="K22" s="114"/>
      <c r="L22" s="111"/>
      <c r="M22" s="111"/>
      <c r="N22" s="111"/>
      <c r="O22" s="115"/>
      <c r="P22" s="116"/>
      <c r="Q22" s="117"/>
      <c r="R22" s="82"/>
    </row>
    <row r="23" spans="1:18">
      <c r="A23" s="108">
        <f t="shared" si="1"/>
        <v>55</v>
      </c>
      <c r="B23" s="109">
        <f t="shared" si="0"/>
        <v>25.731357111216642</v>
      </c>
      <c r="C23" s="110"/>
      <c r="D23" s="111"/>
      <c r="E23" s="111"/>
      <c r="F23" s="111"/>
      <c r="G23" s="112"/>
      <c r="H23" s="113"/>
      <c r="I23" s="111"/>
      <c r="J23" s="111"/>
      <c r="K23" s="114"/>
      <c r="L23" s="111"/>
      <c r="M23" s="111"/>
      <c r="N23" s="111"/>
      <c r="O23" s="115"/>
      <c r="P23" s="116"/>
      <c r="Q23" s="117"/>
      <c r="R23" s="82"/>
    </row>
    <row r="24" spans="1:18">
      <c r="A24" s="108">
        <f t="shared" si="1"/>
        <v>60</v>
      </c>
      <c r="B24" s="109">
        <f t="shared" si="0"/>
        <v>26.789862111400492</v>
      </c>
      <c r="C24" s="110"/>
      <c r="D24" s="111"/>
      <c r="E24" s="111"/>
      <c r="F24" s="111"/>
      <c r="G24" s="112"/>
      <c r="H24" s="113"/>
      <c r="I24" s="111"/>
      <c r="J24" s="111"/>
      <c r="K24" s="114"/>
      <c r="L24" s="111"/>
      <c r="M24" s="111"/>
      <c r="N24" s="111"/>
      <c r="O24" s="115"/>
      <c r="P24" s="116"/>
      <c r="Q24" s="117"/>
      <c r="R24" s="82"/>
    </row>
    <row r="25" spans="1:18">
      <c r="A25" s="108">
        <f t="shared" si="1"/>
        <v>65</v>
      </c>
      <c r="B25" s="109">
        <f t="shared" si="0"/>
        <v>27.749553664181299</v>
      </c>
      <c r="C25" s="110"/>
      <c r="D25" s="111"/>
      <c r="E25" s="111"/>
      <c r="F25" s="111"/>
      <c r="G25" s="112"/>
      <c r="H25" s="113"/>
      <c r="I25" s="111"/>
      <c r="J25" s="111"/>
      <c r="K25" s="114"/>
      <c r="L25" s="111"/>
      <c r="M25" s="111"/>
      <c r="N25" s="111"/>
      <c r="O25" s="115"/>
      <c r="P25" s="116"/>
      <c r="Q25" s="117"/>
      <c r="R25" s="82"/>
    </row>
    <row r="26" spans="1:18">
      <c r="A26" s="108">
        <v>70</v>
      </c>
      <c r="B26" s="109">
        <f t="shared" si="0"/>
        <v>28.626116569254211</v>
      </c>
      <c r="C26" s="110"/>
      <c r="D26" s="122"/>
      <c r="E26" s="122"/>
      <c r="F26" s="122"/>
      <c r="G26" s="123"/>
      <c r="H26" s="124"/>
      <c r="I26" s="124"/>
      <c r="J26" s="124"/>
      <c r="K26" s="125"/>
      <c r="L26" s="82"/>
      <c r="M26" s="82"/>
      <c r="N26" s="82"/>
      <c r="O26" s="126"/>
      <c r="P26" s="82"/>
      <c r="Q26" s="127"/>
      <c r="R26" s="83"/>
    </row>
    <row r="27" spans="1:18" ht="13.8" thickBot="1">
      <c r="A27" s="128">
        <v>75</v>
      </c>
      <c r="B27" s="129">
        <f t="shared" si="0"/>
        <v>29.431856571860372</v>
      </c>
      <c r="C27" s="130"/>
      <c r="D27" s="131"/>
      <c r="E27" s="131"/>
      <c r="F27" s="131"/>
      <c r="G27" s="132"/>
      <c r="H27" s="133"/>
      <c r="I27" s="133"/>
      <c r="J27" s="133"/>
      <c r="K27" s="134"/>
      <c r="L27" s="135"/>
      <c r="M27" s="135"/>
      <c r="N27" s="135"/>
      <c r="O27" s="136"/>
      <c r="P27" s="135"/>
      <c r="Q27" s="137"/>
      <c r="R27" s="83"/>
    </row>
    <row r="28" spans="1:18">
      <c r="A28" s="138"/>
      <c r="B28" s="109"/>
      <c r="C28" s="110"/>
      <c r="D28" s="122"/>
      <c r="E28" s="122"/>
      <c r="F28" s="122"/>
      <c r="G28" s="139"/>
      <c r="H28" s="124"/>
      <c r="I28" s="124"/>
      <c r="J28" s="124"/>
      <c r="K28" s="124"/>
      <c r="L28" s="82"/>
      <c r="M28" s="82"/>
      <c r="N28" s="82"/>
      <c r="O28" s="82"/>
      <c r="P28" s="82"/>
      <c r="Q28" s="83"/>
      <c r="R28" s="83"/>
    </row>
    <row r="29" spans="1:18" ht="13.8" thickBot="1">
      <c r="A29" s="138"/>
      <c r="B29" s="109"/>
      <c r="C29" s="110"/>
      <c r="D29" s="122"/>
      <c r="E29" s="122"/>
      <c r="F29" s="122"/>
      <c r="G29" s="139"/>
      <c r="H29" s="124"/>
      <c r="I29" s="124"/>
      <c r="J29" s="124"/>
      <c r="K29" s="124"/>
      <c r="L29" s="82"/>
      <c r="M29" s="82"/>
      <c r="N29" s="82"/>
      <c r="O29" s="82"/>
      <c r="P29" s="82"/>
      <c r="Q29" s="83"/>
      <c r="R29" s="83"/>
    </row>
    <row r="30" spans="1:18" ht="13.8" thickBot="1">
      <c r="A30" s="216" t="s">
        <v>0</v>
      </c>
      <c r="B30" s="218" t="s">
        <v>69</v>
      </c>
      <c r="C30" s="218"/>
      <c r="D30" s="218"/>
      <c r="E30" s="219"/>
      <c r="F30" s="218"/>
      <c r="G30" s="220" t="s">
        <v>70</v>
      </c>
      <c r="H30" s="221"/>
      <c r="I30" s="221"/>
      <c r="J30" s="222"/>
      <c r="K30" s="220" t="s">
        <v>71</v>
      </c>
      <c r="L30" s="221"/>
      <c r="M30" s="221"/>
      <c r="N30" s="222"/>
      <c r="O30" s="223" t="s">
        <v>6</v>
      </c>
      <c r="P30" s="225" t="s">
        <v>56</v>
      </c>
      <c r="Q30" s="226"/>
      <c r="R30" s="82"/>
    </row>
    <row r="31" spans="1:18" ht="16.2" thickBot="1">
      <c r="A31" s="217"/>
      <c r="B31" s="84" t="s">
        <v>1</v>
      </c>
      <c r="C31" s="85" t="s">
        <v>2</v>
      </c>
      <c r="D31" s="85" t="s">
        <v>3</v>
      </c>
      <c r="E31" s="86" t="s">
        <v>57</v>
      </c>
      <c r="F31" s="85" t="s">
        <v>58</v>
      </c>
      <c r="G31" s="87" t="s">
        <v>60</v>
      </c>
      <c r="H31" s="88" t="s">
        <v>3</v>
      </c>
      <c r="I31" s="88" t="s">
        <v>72</v>
      </c>
      <c r="J31" s="86" t="s">
        <v>59</v>
      </c>
      <c r="K31" s="85" t="s">
        <v>73</v>
      </c>
      <c r="L31" s="85" t="s">
        <v>74</v>
      </c>
      <c r="M31" s="85" t="s">
        <v>75</v>
      </c>
      <c r="N31" s="85" t="s">
        <v>76</v>
      </c>
      <c r="O31" s="224"/>
      <c r="P31" s="89" t="s">
        <v>61</v>
      </c>
      <c r="Q31" s="89" t="s">
        <v>62</v>
      </c>
      <c r="R31" s="90" t="s">
        <v>77</v>
      </c>
    </row>
    <row r="32" spans="1:18" ht="13.8" thickBot="1">
      <c r="A32" s="140">
        <v>15</v>
      </c>
      <c r="B32" s="93">
        <f>EXP(4.04764-8.75819/A32^0.56087)+1.19874*(1-EXP(-0.081*A32))^2.99578*($B$5-17.38)</f>
        <v>9.5085291059454633</v>
      </c>
      <c r="C32" s="141">
        <f>$B$6</f>
        <v>2200</v>
      </c>
      <c r="D32" s="142"/>
      <c r="E32" s="94"/>
      <c r="F32" s="142"/>
      <c r="G32" s="143"/>
      <c r="H32" s="94"/>
      <c r="I32" s="142"/>
      <c r="J32" s="94"/>
      <c r="K32" s="144"/>
      <c r="L32" s="94"/>
      <c r="M32" s="142"/>
      <c r="N32" s="94"/>
      <c r="O32" s="97"/>
      <c r="P32" s="90"/>
      <c r="Q32" s="98"/>
      <c r="R32" s="90"/>
    </row>
    <row r="33" spans="1:18">
      <c r="A33" s="99">
        <v>15</v>
      </c>
      <c r="B33" s="93">
        <f>EXP(4.04764-8.75819/A33^0.56087)+1.19874*(1-EXP(-0.081*A33))^2.99578*($B$5-17.38)</f>
        <v>9.5085291059454633</v>
      </c>
      <c r="C33" s="145">
        <f>IF(A33&lt;=$C$8,100^2/($B$4^2*B33^2),C32)</f>
        <v>2090.8248228660891</v>
      </c>
      <c r="D33" s="101"/>
      <c r="E33" s="101"/>
      <c r="F33" s="101"/>
      <c r="G33" s="102"/>
      <c r="H33" s="103"/>
      <c r="I33" s="101"/>
      <c r="J33" s="101"/>
      <c r="K33" s="104"/>
      <c r="L33" s="101"/>
      <c r="M33" s="101"/>
      <c r="N33" s="101"/>
      <c r="O33" s="105"/>
      <c r="P33" s="106"/>
      <c r="Q33" s="107"/>
      <c r="R33" s="82"/>
    </row>
    <row r="34" spans="1:18">
      <c r="A34" s="108">
        <f>A33+pdesb</f>
        <v>20</v>
      </c>
      <c r="B34" s="109">
        <f t="shared" ref="B34:B45" si="2">EXP(4.04764-8.75819/A34^0.56087)+1.19874*(1-EXP(-0.081*A34))^2.99578*($B$5-17.38)</f>
        <v>12.819794801507502</v>
      </c>
      <c r="C34" s="145">
        <f>IF(A34&lt;=$C$8,100^2/($B$4^2*B34^2),C33)</f>
        <v>1150.22335197803</v>
      </c>
      <c r="D34" s="111"/>
      <c r="E34" s="111"/>
      <c r="F34" s="111"/>
      <c r="G34" s="112"/>
      <c r="H34" s="113"/>
      <c r="I34" s="111"/>
      <c r="J34" s="111"/>
      <c r="K34" s="114"/>
      <c r="L34" s="111"/>
      <c r="M34" s="111"/>
      <c r="N34" s="111"/>
      <c r="O34" s="115"/>
      <c r="P34" s="116"/>
      <c r="Q34" s="117"/>
      <c r="R34" s="82"/>
    </row>
    <row r="35" spans="1:18">
      <c r="A35" s="108">
        <f t="shared" ref="A35:A43" si="3">A34+pdesb</f>
        <v>25</v>
      </c>
      <c r="B35" s="109">
        <f t="shared" si="2"/>
        <v>15.622678395248585</v>
      </c>
      <c r="C35" s="145">
        <f>IF(A35&lt;=$C$8,100^2/($B$4^2*B35^2),C34)</f>
        <v>774.52125913905991</v>
      </c>
      <c r="D35" s="111"/>
      <c r="E35" s="111"/>
      <c r="F35" s="111"/>
      <c r="G35" s="112"/>
      <c r="H35" s="113"/>
      <c r="I35" s="111"/>
      <c r="J35" s="111"/>
      <c r="K35" s="114"/>
      <c r="L35" s="111"/>
      <c r="M35" s="111"/>
      <c r="N35" s="111"/>
      <c r="O35" s="115"/>
      <c r="P35" s="116"/>
      <c r="Q35" s="117"/>
      <c r="R35" s="82"/>
    </row>
    <row r="36" spans="1:18">
      <c r="A36" s="108">
        <f t="shared" si="3"/>
        <v>30</v>
      </c>
      <c r="B36" s="109">
        <f t="shared" si="2"/>
        <v>17.988868326662203</v>
      </c>
      <c r="C36" s="145">
        <f>IF(A36&lt;=$C$8,100^2/($B$4^2*B36^2),C35)</f>
        <v>584.16649215451025</v>
      </c>
      <c r="D36" s="111"/>
      <c r="E36" s="111"/>
      <c r="F36" s="111"/>
      <c r="G36" s="112"/>
      <c r="H36" s="113"/>
      <c r="I36" s="111"/>
      <c r="J36" s="111"/>
      <c r="K36" s="114"/>
      <c r="L36" s="111"/>
      <c r="M36" s="111"/>
      <c r="N36" s="111"/>
      <c r="O36" s="115"/>
      <c r="P36" s="116"/>
      <c r="Q36" s="117"/>
      <c r="R36" s="82"/>
    </row>
    <row r="37" spans="1:18">
      <c r="A37" s="108">
        <f t="shared" si="3"/>
        <v>35</v>
      </c>
      <c r="B37" s="109">
        <f t="shared" si="2"/>
        <v>19.99996006609496</v>
      </c>
      <c r="C37" s="145">
        <f>IF(A37&lt;=$C$8,100^2/($B$4^2*B37^2),C36)</f>
        <v>472.59167930173169</v>
      </c>
      <c r="D37" s="119"/>
      <c r="E37" s="120"/>
      <c r="F37" s="120"/>
      <c r="G37" s="118"/>
      <c r="H37" s="121"/>
      <c r="I37" s="111"/>
      <c r="J37" s="111"/>
      <c r="K37" s="114"/>
      <c r="L37" s="111"/>
      <c r="M37" s="111"/>
      <c r="N37" s="111"/>
      <c r="O37" s="115"/>
      <c r="P37" s="116"/>
      <c r="Q37" s="117"/>
      <c r="R37" s="82"/>
    </row>
    <row r="38" spans="1:18">
      <c r="A38" s="108">
        <f t="shared" si="3"/>
        <v>40</v>
      </c>
      <c r="B38" s="109">
        <f t="shared" si="2"/>
        <v>21.727922598897567</v>
      </c>
      <c r="C38" s="145">
        <f>IF(A38&lt;=$C$8,100^2/($B$4^2*B38^2),C37)</f>
        <v>400.41276754306455</v>
      </c>
      <c r="D38" s="120"/>
      <c r="E38" s="120"/>
      <c r="F38" s="120"/>
      <c r="G38" s="118"/>
      <c r="H38" s="121"/>
      <c r="I38" s="111"/>
      <c r="J38" s="111"/>
      <c r="K38" s="114"/>
      <c r="L38" s="111"/>
      <c r="M38" s="111"/>
      <c r="N38" s="111"/>
      <c r="O38" s="115"/>
      <c r="P38" s="116"/>
      <c r="Q38" s="117"/>
      <c r="R38" s="82"/>
    </row>
    <row r="39" spans="1:18">
      <c r="A39" s="108">
        <f t="shared" si="3"/>
        <v>45</v>
      </c>
      <c r="B39" s="109">
        <f t="shared" si="2"/>
        <v>23.230832101091192</v>
      </c>
      <c r="C39" s="145">
        <f>IF(A39&lt;=$C$8,100^2/($B$4^2*B39^2),C38)</f>
        <v>350.27956037925168</v>
      </c>
      <c r="D39" s="120"/>
      <c r="E39" s="120"/>
      <c r="F39" s="120"/>
      <c r="G39" s="118"/>
      <c r="H39" s="121"/>
      <c r="I39" s="111"/>
      <c r="J39" s="111"/>
      <c r="K39" s="114"/>
      <c r="L39" s="111"/>
      <c r="M39" s="111"/>
      <c r="N39" s="111"/>
      <c r="O39" s="115"/>
      <c r="P39" s="116"/>
      <c r="Q39" s="117"/>
      <c r="R39" s="82"/>
    </row>
    <row r="40" spans="1:18">
      <c r="A40" s="108">
        <f t="shared" si="3"/>
        <v>50</v>
      </c>
      <c r="B40" s="109">
        <f t="shared" si="2"/>
        <v>24.553801733943406</v>
      </c>
      <c r="C40" s="145">
        <f>IF(A40&lt;=$C$8,100^2/($B$4^2*B40^2),C39)</f>
        <v>313.55002415670174</v>
      </c>
      <c r="D40" s="120"/>
      <c r="E40" s="120"/>
      <c r="F40" s="120"/>
      <c r="G40" s="118"/>
      <c r="H40" s="121"/>
      <c r="I40" s="111"/>
      <c r="J40" s="111"/>
      <c r="K40" s="114"/>
      <c r="L40" s="111"/>
      <c r="M40" s="111"/>
      <c r="N40" s="111"/>
      <c r="O40" s="115"/>
      <c r="P40" s="116"/>
      <c r="Q40" s="117"/>
      <c r="R40" s="82"/>
    </row>
    <row r="41" spans="1:18">
      <c r="A41" s="108">
        <f t="shared" si="3"/>
        <v>55</v>
      </c>
      <c r="B41" s="109">
        <f t="shared" si="2"/>
        <v>25.731357111216642</v>
      </c>
      <c r="C41" s="145">
        <f>IF(A41&lt;=$C$8,100^2/($B$4^2*B41^2),C40)</f>
        <v>285.50843509740042</v>
      </c>
      <c r="D41" s="111"/>
      <c r="E41" s="111"/>
      <c r="F41" s="111"/>
      <c r="G41" s="112"/>
      <c r="H41" s="113"/>
      <c r="I41" s="111"/>
      <c r="J41" s="111"/>
      <c r="K41" s="114"/>
      <c r="L41" s="111"/>
      <c r="M41" s="111"/>
      <c r="N41" s="111"/>
      <c r="O41" s="115"/>
      <c r="P41" s="116"/>
      <c r="Q41" s="117"/>
      <c r="R41" s="82"/>
    </row>
    <row r="42" spans="1:18" ht="13.5" customHeight="1">
      <c r="A42" s="108">
        <f t="shared" si="3"/>
        <v>60</v>
      </c>
      <c r="B42" s="109">
        <f t="shared" si="2"/>
        <v>26.789862111400492</v>
      </c>
      <c r="C42" s="145">
        <f>IF(A42&lt;=$C$8,100^2/($B$4^2*B42^2),C41)</f>
        <v>263.39247996712578</v>
      </c>
      <c r="D42" s="111"/>
      <c r="E42" s="111"/>
      <c r="F42" s="111"/>
      <c r="G42" s="112"/>
      <c r="H42" s="113"/>
      <c r="I42" s="111"/>
      <c r="J42" s="111"/>
      <c r="K42" s="114"/>
      <c r="L42" s="111"/>
      <c r="M42" s="111"/>
      <c r="N42" s="111"/>
      <c r="O42" s="115"/>
      <c r="P42" s="116"/>
      <c r="Q42" s="117"/>
      <c r="R42" s="82"/>
    </row>
    <row r="43" spans="1:18">
      <c r="A43" s="108">
        <f t="shared" si="3"/>
        <v>65</v>
      </c>
      <c r="B43" s="109">
        <f t="shared" si="2"/>
        <v>27.749553664181299</v>
      </c>
      <c r="C43" s="145">
        <f>IF(A43&lt;=$C$8,100^2/($B$4^2*B43^2),C42)</f>
        <v>245.48916217051769</v>
      </c>
      <c r="D43" s="111"/>
      <c r="E43" s="111"/>
      <c r="F43" s="111"/>
      <c r="G43" s="112"/>
      <c r="H43" s="113"/>
      <c r="I43" s="111"/>
      <c r="J43" s="111"/>
      <c r="K43" s="114"/>
      <c r="L43" s="111"/>
      <c r="M43" s="111"/>
      <c r="N43" s="111"/>
      <c r="O43" s="115"/>
      <c r="P43" s="116"/>
      <c r="Q43" s="117"/>
      <c r="R43" s="82"/>
    </row>
    <row r="44" spans="1:18">
      <c r="A44" s="108">
        <v>70</v>
      </c>
      <c r="B44" s="109">
        <f t="shared" si="2"/>
        <v>28.626116569254211</v>
      </c>
      <c r="C44" s="146">
        <f>IF(A44&lt;=$C$8,100^2/($B$4^2*B44^2),C43)</f>
        <v>245.48916217051769</v>
      </c>
      <c r="D44" s="122"/>
      <c r="E44" s="122"/>
      <c r="F44" s="122"/>
      <c r="G44" s="123"/>
      <c r="H44" s="124"/>
      <c r="I44" s="124"/>
      <c r="J44" s="124"/>
      <c r="K44" s="125"/>
      <c r="L44" s="82"/>
      <c r="M44" s="82"/>
      <c r="N44" s="82"/>
      <c r="O44" s="126"/>
      <c r="P44" s="82"/>
      <c r="Q44" s="127"/>
      <c r="R44" s="83"/>
    </row>
    <row r="45" spans="1:18" ht="13.8" thickBot="1">
      <c r="A45" s="128">
        <v>75</v>
      </c>
      <c r="B45" s="129">
        <f t="shared" si="2"/>
        <v>29.431856571860372</v>
      </c>
      <c r="C45" s="146">
        <f>IF(A45&lt;=$C$8,100^2/($B$4^2*B45^2),C44)</f>
        <v>245.48916217051769</v>
      </c>
      <c r="D45" s="131"/>
      <c r="E45" s="131"/>
      <c r="F45" s="131"/>
      <c r="G45" s="132"/>
      <c r="H45" s="133"/>
      <c r="I45" s="133"/>
      <c r="J45" s="133"/>
      <c r="K45" s="134"/>
      <c r="L45" s="135"/>
      <c r="M45" s="135"/>
      <c r="N45" s="135"/>
      <c r="O45" s="136"/>
      <c r="P45" s="135"/>
      <c r="Q45" s="137"/>
      <c r="R45" s="83"/>
    </row>
    <row r="46" spans="1:18">
      <c r="A46" s="138"/>
      <c r="B46" s="109"/>
      <c r="C46" s="110"/>
      <c r="D46" s="122"/>
      <c r="E46" s="122"/>
      <c r="F46" s="122"/>
      <c r="G46" s="139"/>
      <c r="H46" s="124"/>
      <c r="I46" s="124"/>
      <c r="J46" s="124"/>
      <c r="K46" s="124"/>
      <c r="L46" s="82"/>
      <c r="M46" s="82"/>
      <c r="N46" s="82"/>
      <c r="O46" s="82"/>
      <c r="P46" s="82"/>
      <c r="Q46" s="83"/>
      <c r="R46" s="83"/>
    </row>
    <row r="47" spans="1:18">
      <c r="A47" s="138"/>
      <c r="B47" s="109"/>
      <c r="C47" s="110"/>
      <c r="D47" s="122"/>
      <c r="E47" s="122"/>
      <c r="F47" s="122"/>
      <c r="G47" s="139"/>
      <c r="H47" s="124"/>
      <c r="I47" s="124"/>
      <c r="J47" s="124"/>
      <c r="K47" s="124"/>
      <c r="L47" s="82"/>
      <c r="M47" s="82"/>
      <c r="N47" s="82"/>
      <c r="O47" s="82"/>
      <c r="P47" s="82"/>
      <c r="Q47" s="83"/>
      <c r="R47" s="83"/>
    </row>
    <row r="48" spans="1:18">
      <c r="A48" s="138"/>
      <c r="B48" s="109"/>
      <c r="C48" s="110"/>
      <c r="D48" s="122"/>
      <c r="E48" s="122"/>
      <c r="F48" s="122"/>
      <c r="G48" s="139"/>
      <c r="H48" s="124"/>
      <c r="I48" s="124"/>
      <c r="J48" s="124"/>
      <c r="K48" s="124"/>
      <c r="L48" s="82"/>
      <c r="M48" s="82"/>
      <c r="N48" s="82"/>
      <c r="O48" s="82"/>
      <c r="P48" s="82"/>
      <c r="Q48" s="83"/>
      <c r="R48" s="83"/>
    </row>
    <row r="49" spans="1:18">
      <c r="A49" s="138"/>
      <c r="B49" s="109"/>
      <c r="C49" s="110"/>
      <c r="D49" s="122"/>
      <c r="E49" s="122"/>
      <c r="F49" s="122"/>
      <c r="G49" s="139"/>
      <c r="H49" s="124"/>
      <c r="I49" s="124"/>
      <c r="J49" s="124"/>
      <c r="K49" s="124"/>
      <c r="L49" s="82"/>
      <c r="M49" s="82"/>
      <c r="N49" s="82"/>
      <c r="O49" s="82"/>
      <c r="P49" s="82"/>
      <c r="Q49" s="83"/>
      <c r="R49" s="83"/>
    </row>
    <row r="50" spans="1:18" ht="13.8" thickBot="1">
      <c r="A50" s="138"/>
      <c r="B50" s="109"/>
      <c r="C50" s="110"/>
      <c r="D50" s="122"/>
      <c r="E50" s="122"/>
      <c r="F50" s="122"/>
      <c r="G50" s="139"/>
      <c r="H50" s="124"/>
      <c r="I50" s="124"/>
      <c r="J50" s="124"/>
      <c r="K50" s="124"/>
      <c r="L50" s="82"/>
      <c r="M50" s="82"/>
      <c r="N50" s="82"/>
      <c r="O50" s="82"/>
      <c r="P50" s="82"/>
      <c r="Q50" s="83"/>
      <c r="R50" s="83"/>
    </row>
    <row r="51" spans="1:18" ht="13.8" thickBot="1">
      <c r="A51" s="216" t="s">
        <v>0</v>
      </c>
      <c r="B51" s="218" t="s">
        <v>69</v>
      </c>
      <c r="C51" s="218"/>
      <c r="D51" s="218"/>
      <c r="E51" s="219"/>
      <c r="F51" s="218"/>
      <c r="G51" s="220" t="s">
        <v>70</v>
      </c>
      <c r="H51" s="221"/>
      <c r="I51" s="221"/>
      <c r="J51" s="222"/>
      <c r="K51" s="220" t="s">
        <v>71</v>
      </c>
      <c r="L51" s="221"/>
      <c r="M51" s="221"/>
      <c r="N51" s="222"/>
      <c r="O51" s="223" t="s">
        <v>6</v>
      </c>
      <c r="P51" s="225" t="s">
        <v>56</v>
      </c>
      <c r="Q51" s="226"/>
      <c r="R51" s="82"/>
    </row>
    <row r="52" spans="1:18" ht="16.2" thickBot="1">
      <c r="A52" s="217"/>
      <c r="B52" s="84" t="s">
        <v>1</v>
      </c>
      <c r="C52" s="85" t="s">
        <v>2</v>
      </c>
      <c r="D52" s="85" t="s">
        <v>3</v>
      </c>
      <c r="E52" s="86" t="s">
        <v>57</v>
      </c>
      <c r="F52" s="85" t="s">
        <v>58</v>
      </c>
      <c r="G52" s="87" t="s">
        <v>60</v>
      </c>
      <c r="H52" s="88" t="s">
        <v>3</v>
      </c>
      <c r="I52" s="88" t="s">
        <v>72</v>
      </c>
      <c r="J52" s="86" t="s">
        <v>59</v>
      </c>
      <c r="K52" s="85" t="s">
        <v>73</v>
      </c>
      <c r="L52" s="85" t="s">
        <v>74</v>
      </c>
      <c r="M52" s="85" t="s">
        <v>75</v>
      </c>
      <c r="N52" s="85" t="s">
        <v>76</v>
      </c>
      <c r="O52" s="224"/>
      <c r="P52" s="89" t="s">
        <v>61</v>
      </c>
      <c r="Q52" s="89" t="s">
        <v>62</v>
      </c>
      <c r="R52" s="90" t="s">
        <v>77</v>
      </c>
    </row>
    <row r="53" spans="1:18" ht="13.8" thickBot="1">
      <c r="A53" s="140">
        <v>15</v>
      </c>
      <c r="B53" s="93">
        <f>EXP(4.04764-8.75819/A53^0.56087)+1.19874*(1-EXP(-0.081*A53))^2.99578*($B$5-17.38)</f>
        <v>9.5085291059454633</v>
      </c>
      <c r="C53" s="141">
        <f>$B$6</f>
        <v>2200</v>
      </c>
      <c r="D53" s="142"/>
      <c r="E53" s="94"/>
      <c r="F53" s="147"/>
      <c r="G53" s="148"/>
      <c r="H53" s="94"/>
      <c r="I53" s="142"/>
      <c r="J53" s="94"/>
      <c r="K53" s="144"/>
      <c r="L53" s="94"/>
      <c r="M53" s="142"/>
      <c r="N53" s="94"/>
      <c r="O53" s="97"/>
      <c r="P53" s="90"/>
      <c r="Q53" s="98"/>
      <c r="R53" s="90"/>
    </row>
    <row r="54" spans="1:18">
      <c r="A54" s="99">
        <v>15</v>
      </c>
      <c r="B54" s="149">
        <f>EXP(4.04764-8.75819/A54^0.56087)+1.19874*(1-EXP(-0.081*A54))^2.99578*($B$5-17.38)</f>
        <v>9.5085291059454633</v>
      </c>
      <c r="C54" s="145">
        <f>IF(A54&lt;=$C$8,100^2/($B$4^2*B54^2),C53)</f>
        <v>2090.8248228660891</v>
      </c>
      <c r="D54" s="150">
        <f>(-7.5886+0.6547*B54+0.3669*A54+299.909*(1/SQRT(C54))-0.003528*A54^2)</f>
        <v>9.9052289536229896</v>
      </c>
      <c r="E54" s="101"/>
      <c r="F54" s="151"/>
      <c r="G54" s="100"/>
      <c r="H54" s="103"/>
      <c r="I54" s="101"/>
      <c r="J54" s="101"/>
      <c r="K54" s="104"/>
      <c r="L54" s="101"/>
      <c r="M54" s="101"/>
      <c r="N54" s="101"/>
      <c r="O54" s="105"/>
      <c r="P54" s="106"/>
      <c r="Q54" s="107"/>
      <c r="R54" s="82"/>
    </row>
    <row r="55" spans="1:18">
      <c r="A55" s="108">
        <f>A54+pdesb</f>
        <v>20</v>
      </c>
      <c r="B55" s="152">
        <f t="shared" ref="B55:B66" si="4">EXP(4.04764-8.75819/A55^0.56087)+1.19874*(1-EXP(-0.081*A55))^2.99578*($B$5-17.38)</f>
        <v>12.819794801507502</v>
      </c>
      <c r="C55" s="145">
        <f>IF(A55&lt;=$C$8,100^2/($B$4^2*B55^2),C54)</f>
        <v>1150.22335197803</v>
      </c>
      <c r="D55" s="153">
        <f>(-7.5886+0.6547*B55+0.3669*A55+299.909*(1/SQRT(C55))-0.003528*A55^2)</f>
        <v>15.574294886535185</v>
      </c>
      <c r="E55" s="111"/>
      <c r="F55" s="154"/>
      <c r="G55" s="110"/>
      <c r="H55" s="113"/>
      <c r="I55" s="111"/>
      <c r="J55" s="111"/>
      <c r="K55" s="114"/>
      <c r="L55" s="111"/>
      <c r="M55" s="111"/>
      <c r="N55" s="111"/>
      <c r="O55" s="115"/>
      <c r="P55" s="116"/>
      <c r="Q55" s="117"/>
      <c r="R55" s="82"/>
    </row>
    <row r="56" spans="1:18">
      <c r="A56" s="108">
        <f t="shared" ref="A56:A64" si="5">A55+pdesb</f>
        <v>25</v>
      </c>
      <c r="B56" s="152">
        <f t="shared" si="4"/>
        <v>15.622678395248585</v>
      </c>
      <c r="C56" s="145">
        <f>IF(A56&lt;=$C$8,100^2/($B$4^2*B56^2),C55)</f>
        <v>774.52125913905991</v>
      </c>
      <c r="D56" s="153">
        <f t="shared" ref="D56:D66" si="6">(-7.5886+0.6547*B56+0.3669*A56+299.909*(1/SQRT(C56))-0.003528*A56^2)</f>
        <v>20.383445811502646</v>
      </c>
      <c r="E56" s="111"/>
      <c r="F56" s="154"/>
      <c r="G56" s="110"/>
      <c r="H56" s="113"/>
      <c r="I56" s="111"/>
      <c r="J56" s="111"/>
      <c r="K56" s="114"/>
      <c r="L56" s="111"/>
      <c r="M56" s="111"/>
      <c r="N56" s="111"/>
      <c r="O56" s="115"/>
      <c r="P56" s="116"/>
      <c r="Q56" s="117"/>
      <c r="R56" s="82"/>
    </row>
    <row r="57" spans="1:18">
      <c r="A57" s="108">
        <f t="shared" si="5"/>
        <v>30</v>
      </c>
      <c r="B57" s="152">
        <f t="shared" si="4"/>
        <v>17.988868326662203</v>
      </c>
      <c r="C57" s="145">
        <f>IF(A57&lt;=$C$8,100^2/($B$4^2*B57^2),C56)</f>
        <v>584.16649215451025</v>
      </c>
      <c r="D57" s="153">
        <f t="shared" si="6"/>
        <v>24.429066168721892</v>
      </c>
      <c r="E57" s="111"/>
      <c r="F57" s="154"/>
      <c r="G57" s="110"/>
      <c r="H57" s="113"/>
      <c r="I57" s="111"/>
      <c r="J57" s="111"/>
      <c r="K57" s="114"/>
      <c r="L57" s="111"/>
      <c r="M57" s="111"/>
      <c r="N57" s="111"/>
      <c r="O57" s="115"/>
      <c r="P57" s="116"/>
      <c r="Q57" s="117"/>
      <c r="R57" s="82"/>
    </row>
    <row r="58" spans="1:18">
      <c r="A58" s="108">
        <f t="shared" si="5"/>
        <v>35</v>
      </c>
      <c r="B58" s="152">
        <f t="shared" si="4"/>
        <v>19.99996006609496</v>
      </c>
      <c r="C58" s="145">
        <f>IF(A58&lt;=$C$8,100^2/($B$4^2*B58^2),C57)</f>
        <v>472.59167930173169</v>
      </c>
      <c r="D58" s="153">
        <f t="shared" si="6"/>
        <v>27.820860309236064</v>
      </c>
      <c r="E58" s="111"/>
      <c r="F58" s="154"/>
      <c r="G58" s="110"/>
      <c r="H58" s="113"/>
      <c r="I58" s="111"/>
      <c r="J58" s="111"/>
      <c r="K58" s="114"/>
      <c r="L58" s="111"/>
      <c r="M58" s="111"/>
      <c r="N58" s="111"/>
      <c r="O58" s="115"/>
      <c r="P58" s="116"/>
      <c r="Q58" s="117"/>
      <c r="R58" s="82"/>
    </row>
    <row r="59" spans="1:18">
      <c r="A59" s="108">
        <f t="shared" si="5"/>
        <v>40</v>
      </c>
      <c r="B59" s="152">
        <f t="shared" si="4"/>
        <v>21.727922598897567</v>
      </c>
      <c r="C59" s="145">
        <f>IF(A59&lt;=$C$8,100^2/($B$4^2*B59^2),C58)</f>
        <v>400.41276754306455</v>
      </c>
      <c r="D59" s="153">
        <f t="shared" si="6"/>
        <v>30.655589864537607</v>
      </c>
      <c r="E59" s="111"/>
      <c r="F59" s="154"/>
      <c r="G59" s="110"/>
      <c r="H59" s="113"/>
      <c r="I59" s="111"/>
      <c r="J59" s="111"/>
      <c r="K59" s="114"/>
      <c r="L59" s="111"/>
      <c r="M59" s="111"/>
      <c r="N59" s="111"/>
      <c r="O59" s="115"/>
      <c r="P59" s="116"/>
      <c r="Q59" s="117"/>
      <c r="R59" s="82"/>
    </row>
    <row r="60" spans="1:18">
      <c r="A60" s="108">
        <f t="shared" si="5"/>
        <v>45</v>
      </c>
      <c r="B60" s="152">
        <f t="shared" si="4"/>
        <v>23.230832101091192</v>
      </c>
      <c r="C60" s="145">
        <f>IF(A60&lt;=$C$8,100^2/($B$4^2*B60^2),C59)</f>
        <v>350.27956037925168</v>
      </c>
      <c r="D60" s="153">
        <f t="shared" si="6"/>
        <v>33.01133771317857</v>
      </c>
      <c r="E60" s="111"/>
      <c r="F60" s="154"/>
      <c r="G60" s="110"/>
      <c r="H60" s="113"/>
      <c r="I60" s="111"/>
      <c r="J60" s="111"/>
      <c r="K60" s="114"/>
      <c r="L60" s="111"/>
      <c r="M60" s="111"/>
      <c r="N60" s="111"/>
      <c r="O60" s="115"/>
      <c r="P60" s="116"/>
      <c r="Q60" s="117"/>
      <c r="R60" s="82"/>
    </row>
    <row r="61" spans="1:18">
      <c r="A61" s="108">
        <f t="shared" si="5"/>
        <v>50</v>
      </c>
      <c r="B61" s="152">
        <f t="shared" si="4"/>
        <v>24.553801733943406</v>
      </c>
      <c r="C61" s="145">
        <f>IF(A61&lt;=$C$8,100^2/($B$4^2*B61^2),C60)</f>
        <v>313.55002415670174</v>
      </c>
      <c r="D61" s="153">
        <f t="shared" si="6"/>
        <v>34.94875808093078</v>
      </c>
      <c r="E61" s="111"/>
      <c r="F61" s="154"/>
      <c r="G61" s="110"/>
      <c r="H61" s="113"/>
      <c r="I61" s="111"/>
      <c r="J61" s="111"/>
      <c r="K61" s="114"/>
      <c r="L61" s="111"/>
      <c r="M61" s="111"/>
      <c r="N61" s="111"/>
      <c r="O61" s="115"/>
      <c r="P61" s="116"/>
      <c r="Q61" s="117"/>
      <c r="R61" s="82"/>
    </row>
    <row r="62" spans="1:18">
      <c r="A62" s="108">
        <f t="shared" si="5"/>
        <v>55</v>
      </c>
      <c r="B62" s="152">
        <f t="shared" si="4"/>
        <v>25.731357111216642</v>
      </c>
      <c r="C62" s="145">
        <f>IF(A62&lt;=$C$8,100^2/($B$4^2*B62^2),C61)</f>
        <v>285.50843509740042</v>
      </c>
      <c r="D62" s="153">
        <f t="shared" si="6"/>
        <v>36.514270334409645</v>
      </c>
      <c r="E62" s="111"/>
      <c r="F62" s="154"/>
      <c r="G62" s="110"/>
      <c r="H62" s="113"/>
      <c r="I62" s="111"/>
      <c r="J62" s="111"/>
      <c r="K62" s="114"/>
      <c r="L62" s="111"/>
      <c r="M62" s="111"/>
      <c r="N62" s="111"/>
      <c r="O62" s="115"/>
      <c r="P62" s="116"/>
      <c r="Q62" s="117"/>
      <c r="R62" s="82"/>
    </row>
    <row r="63" spans="1:18">
      <c r="A63" s="108">
        <f t="shared" si="5"/>
        <v>60</v>
      </c>
      <c r="B63" s="152">
        <f t="shared" si="4"/>
        <v>26.789862111400492</v>
      </c>
      <c r="C63" s="145">
        <f>IF(A63&lt;=$C$8,100^2/($B$4^2*B63^2),C62)</f>
        <v>263.39247996712578</v>
      </c>
      <c r="D63" s="153">
        <f t="shared" si="6"/>
        <v>37.743320463060329</v>
      </c>
      <c r="E63" s="111"/>
      <c r="F63" s="154"/>
      <c r="G63" s="110"/>
      <c r="H63" s="113"/>
      <c r="I63" s="111"/>
      <c r="J63" s="111"/>
      <c r="K63" s="114"/>
      <c r="L63" s="111"/>
      <c r="M63" s="111"/>
      <c r="N63" s="111"/>
      <c r="O63" s="115"/>
      <c r="P63" s="116"/>
      <c r="Q63" s="117"/>
      <c r="R63" s="82"/>
    </row>
    <row r="64" spans="1:18">
      <c r="A64" s="108">
        <f t="shared" si="5"/>
        <v>65</v>
      </c>
      <c r="B64" s="152">
        <f t="shared" si="4"/>
        <v>27.749553664181299</v>
      </c>
      <c r="C64" s="145">
        <f>IF(A64&lt;=$C$8,100^2/($B$4^2*B64^2),C63)</f>
        <v>245.48916217051769</v>
      </c>
      <c r="D64" s="153">
        <f t="shared" si="6"/>
        <v>38.663116830642679</v>
      </c>
      <c r="E64" s="111"/>
      <c r="F64" s="154"/>
      <c r="G64" s="110"/>
      <c r="H64" s="113"/>
      <c r="I64" s="111"/>
      <c r="J64" s="111"/>
      <c r="K64" s="114"/>
      <c r="L64" s="111"/>
      <c r="M64" s="111"/>
      <c r="N64" s="111"/>
      <c r="O64" s="115"/>
      <c r="P64" s="116"/>
      <c r="Q64" s="117"/>
      <c r="R64" s="82"/>
    </row>
    <row r="65" spans="1:18">
      <c r="A65" s="108">
        <v>70</v>
      </c>
      <c r="B65" s="152">
        <f t="shared" si="4"/>
        <v>28.626116569254211</v>
      </c>
      <c r="C65" s="146">
        <f>IF(A65&lt;=$C$8,100^2/($B$4^2*B65^2),C64)</f>
        <v>245.48916217051769</v>
      </c>
      <c r="D65" s="153">
        <f t="shared" si="6"/>
        <v>38.690102564593914</v>
      </c>
      <c r="E65" s="122"/>
      <c r="F65" s="155"/>
      <c r="G65" s="139"/>
      <c r="H65" s="124"/>
      <c r="I65" s="124"/>
      <c r="J65" s="124"/>
      <c r="K65" s="125"/>
      <c r="L65" s="82"/>
      <c r="M65" s="82"/>
      <c r="N65" s="82"/>
      <c r="O65" s="126"/>
      <c r="P65" s="82"/>
      <c r="Q65" s="127"/>
      <c r="R65" s="83"/>
    </row>
    <row r="66" spans="1:18" ht="13.8" thickBot="1">
      <c r="A66" s="128">
        <v>75</v>
      </c>
      <c r="B66" s="156">
        <f t="shared" si="4"/>
        <v>29.431856571860372</v>
      </c>
      <c r="C66" s="146">
        <f>IF(A66&lt;=$C$8,100^2/($B$4^2*B66^2),C65)</f>
        <v>245.48916217051769</v>
      </c>
      <c r="D66" s="157">
        <f t="shared" si="6"/>
        <v>38.494320544300166</v>
      </c>
      <c r="E66" s="131"/>
      <c r="F66" s="158"/>
      <c r="G66" s="159"/>
      <c r="H66" s="133"/>
      <c r="I66" s="133"/>
      <c r="J66" s="133"/>
      <c r="K66" s="134"/>
      <c r="L66" s="135"/>
      <c r="M66" s="135"/>
      <c r="N66" s="135"/>
      <c r="O66" s="136"/>
      <c r="P66" s="135"/>
      <c r="Q66" s="137"/>
      <c r="R66" s="83"/>
    </row>
    <row r="67" spans="1:18">
      <c r="A67" s="138"/>
      <c r="B67" s="109"/>
      <c r="C67" s="110"/>
      <c r="D67" s="153"/>
      <c r="E67" s="122"/>
      <c r="F67" s="122"/>
      <c r="G67" s="139"/>
      <c r="H67" s="124"/>
      <c r="I67" s="124"/>
      <c r="J67" s="124"/>
      <c r="K67" s="124"/>
      <c r="L67" s="82"/>
      <c r="M67" s="82"/>
      <c r="N67" s="82"/>
      <c r="O67" s="82"/>
      <c r="P67" s="82"/>
      <c r="Q67" s="83"/>
      <c r="R67" s="83"/>
    </row>
    <row r="68" spans="1:18">
      <c r="A68" s="138"/>
      <c r="B68" s="109"/>
      <c r="C68" s="110"/>
      <c r="D68" s="153"/>
      <c r="E68" s="122"/>
      <c r="F68" s="122"/>
      <c r="G68" s="139"/>
      <c r="H68" s="124"/>
      <c r="I68" s="124"/>
      <c r="J68" s="124"/>
      <c r="K68" s="124"/>
      <c r="L68" s="82"/>
      <c r="M68" s="82"/>
      <c r="N68" s="82"/>
      <c r="O68" s="82"/>
      <c r="P68" s="82"/>
      <c r="Q68" s="83"/>
      <c r="R68" s="83"/>
    </row>
    <row r="69" spans="1:18" s="67" customFormat="1">
      <c r="A69" s="138"/>
      <c r="B69" s="109"/>
      <c r="C69" s="110"/>
      <c r="D69" s="153"/>
      <c r="E69" s="122"/>
      <c r="F69" s="122"/>
      <c r="G69" s="139"/>
      <c r="H69" s="124"/>
      <c r="I69" s="124"/>
      <c r="J69" s="124"/>
      <c r="K69" s="124"/>
      <c r="L69" s="82"/>
      <c r="M69" s="82"/>
      <c r="N69" s="82"/>
      <c r="O69" s="82"/>
      <c r="P69" s="82"/>
      <c r="Q69" s="83"/>
      <c r="R69" s="83"/>
    </row>
    <row r="70" spans="1:18" ht="13.8" thickBot="1">
      <c r="A70" s="138"/>
      <c r="B70" s="109"/>
      <c r="C70" s="110"/>
      <c r="D70" s="122"/>
      <c r="E70" s="122"/>
      <c r="F70" s="122"/>
      <c r="G70" s="139"/>
      <c r="H70" s="124"/>
      <c r="I70" s="124"/>
      <c r="J70" s="124"/>
      <c r="K70" s="124"/>
      <c r="L70" s="82"/>
      <c r="M70" s="82"/>
      <c r="N70" s="82"/>
      <c r="O70" s="82"/>
      <c r="P70" s="82"/>
      <c r="Q70" s="83"/>
      <c r="R70" s="83"/>
    </row>
    <row r="71" spans="1:18" ht="13.8" thickBot="1">
      <c r="A71" s="216" t="s">
        <v>0</v>
      </c>
      <c r="B71" s="218" t="s">
        <v>69</v>
      </c>
      <c r="C71" s="218"/>
      <c r="D71" s="218"/>
      <c r="E71" s="219"/>
      <c r="F71" s="218"/>
      <c r="G71" s="220" t="s">
        <v>70</v>
      </c>
      <c r="H71" s="221"/>
      <c r="I71" s="221"/>
      <c r="J71" s="222"/>
      <c r="K71" s="220" t="s">
        <v>71</v>
      </c>
      <c r="L71" s="221"/>
      <c r="M71" s="221"/>
      <c r="N71" s="222"/>
      <c r="O71" s="223" t="s">
        <v>6</v>
      </c>
      <c r="P71" s="225" t="s">
        <v>56</v>
      </c>
      <c r="Q71" s="226"/>
      <c r="R71" s="82"/>
    </row>
    <row r="72" spans="1:18" ht="16.2" thickBot="1">
      <c r="A72" s="217"/>
      <c r="B72" s="84" t="s">
        <v>1</v>
      </c>
      <c r="C72" s="85" t="s">
        <v>2</v>
      </c>
      <c r="D72" s="85" t="s">
        <v>3</v>
      </c>
      <c r="E72" s="86" t="s">
        <v>57</v>
      </c>
      <c r="F72" s="85" t="s">
        <v>58</v>
      </c>
      <c r="G72" s="87" t="s">
        <v>60</v>
      </c>
      <c r="H72" s="88" t="s">
        <v>3</v>
      </c>
      <c r="I72" s="88" t="s">
        <v>72</v>
      </c>
      <c r="J72" s="86" t="s">
        <v>59</v>
      </c>
      <c r="K72" s="85" t="s">
        <v>73</v>
      </c>
      <c r="L72" s="85" t="s">
        <v>74</v>
      </c>
      <c r="M72" s="85" t="s">
        <v>75</v>
      </c>
      <c r="N72" s="85" t="s">
        <v>76</v>
      </c>
      <c r="O72" s="224"/>
      <c r="P72" s="89" t="s">
        <v>61</v>
      </c>
      <c r="Q72" s="89" t="s">
        <v>62</v>
      </c>
      <c r="R72" s="90" t="s">
        <v>77</v>
      </c>
    </row>
    <row r="73" spans="1:18" ht="13.8" thickBot="1">
      <c r="A73" s="140">
        <v>15</v>
      </c>
      <c r="B73" s="93">
        <f>EXP(4.04764-8.75819/A73^0.56087)+1.19874*(1-EXP(-0.081*A73))^2.99578*($B$5-17.38)</f>
        <v>9.5085291059454633</v>
      </c>
      <c r="C73" s="141">
        <f>$B$6</f>
        <v>2200</v>
      </c>
      <c r="D73" s="142"/>
      <c r="E73" s="94"/>
      <c r="F73" s="147"/>
      <c r="G73" s="90"/>
      <c r="H73" s="94"/>
      <c r="I73" s="94"/>
      <c r="J73" s="94"/>
      <c r="K73" s="144"/>
      <c r="L73" s="142"/>
      <c r="M73" s="142"/>
      <c r="N73" s="142"/>
      <c r="O73" s="97"/>
      <c r="P73" s="148"/>
      <c r="Q73" s="160"/>
      <c r="R73" s="90"/>
    </row>
    <row r="74" spans="1:18">
      <c r="A74" s="161">
        <v>15</v>
      </c>
      <c r="B74" s="149">
        <f>EXP(4.04764-8.75819/A74^0.56087)+1.19874*(1-EXP(-0.081*A74))^2.99578*($B$5-17.38)</f>
        <v>9.5085291059454633</v>
      </c>
      <c r="C74" s="145">
        <f>IF(A74&lt;=$C$8,100^2/($B$4^2*B74^2),C73)</f>
        <v>2090.8248228660891</v>
      </c>
      <c r="D74" s="150">
        <f>(-7.5886+0.6547*B74+0.3669*A74+299.909*(1/SQRT(C74))-0.003528*A74^2)</f>
        <v>9.9052289536229896</v>
      </c>
      <c r="E74" s="162">
        <f>(PI()/4*(D74/100)^2)*C74</f>
        <v>16.111521893899372</v>
      </c>
      <c r="F74" s="151"/>
      <c r="G74" s="100"/>
      <c r="H74" s="103"/>
      <c r="I74" s="101"/>
      <c r="J74" s="101"/>
      <c r="K74" s="104"/>
      <c r="L74" s="101"/>
      <c r="M74" s="101"/>
      <c r="N74" s="101"/>
      <c r="O74" s="105"/>
      <c r="P74" s="106"/>
      <c r="Q74" s="107"/>
      <c r="R74" s="82"/>
    </row>
    <row r="75" spans="1:18">
      <c r="A75" s="163">
        <f>A74+pdesb</f>
        <v>20</v>
      </c>
      <c r="B75" s="152">
        <f t="shared" ref="B75:B86" si="7">EXP(4.04764-8.75819/A75^0.56087)+1.19874*(1-EXP(-0.081*A75))^2.99578*($B$5-17.38)</f>
        <v>12.819794801507502</v>
      </c>
      <c r="C75" s="145">
        <f>IF(A75&lt;=$C$8,100^2/($B$4^2*B75^2),C74)</f>
        <v>1150.22335197803</v>
      </c>
      <c r="D75" s="153">
        <f t="shared" ref="D75:D86" si="8">(-7.5886+0.6547*B75+0.3669*A75+299.909*(1/SQRT(C75))-0.003528*A75^2)</f>
        <v>15.574294886535185</v>
      </c>
      <c r="E75" s="164">
        <f t="shared" ref="E75:E86" si="9">(PI()/4*(D75/100)^2)*C75</f>
        <v>21.912344578448636</v>
      </c>
      <c r="F75" s="154"/>
      <c r="G75" s="110"/>
      <c r="H75" s="113"/>
      <c r="I75" s="111"/>
      <c r="J75" s="111"/>
      <c r="K75" s="114"/>
      <c r="L75" s="111"/>
      <c r="M75" s="111"/>
      <c r="N75" s="111"/>
      <c r="O75" s="115"/>
      <c r="P75" s="116"/>
      <c r="Q75" s="117"/>
      <c r="R75" s="82"/>
    </row>
    <row r="76" spans="1:18">
      <c r="A76" s="163">
        <f t="shared" ref="A76:A84" si="10">A75+pdesb</f>
        <v>25</v>
      </c>
      <c r="B76" s="152">
        <f t="shared" si="7"/>
        <v>15.622678395248585</v>
      </c>
      <c r="C76" s="145">
        <f>IF(A76&lt;=$C$8,100^2/($B$4^2*B76^2),C75)</f>
        <v>774.52125913905991</v>
      </c>
      <c r="D76" s="153">
        <f t="shared" si="8"/>
        <v>20.383445811502646</v>
      </c>
      <c r="E76" s="164">
        <f t="shared" si="9"/>
        <v>25.274258931963477</v>
      </c>
      <c r="F76" s="154"/>
      <c r="G76" s="110"/>
      <c r="H76" s="113"/>
      <c r="I76" s="111"/>
      <c r="J76" s="111"/>
      <c r="K76" s="114"/>
      <c r="L76" s="111"/>
      <c r="M76" s="111"/>
      <c r="N76" s="111"/>
      <c r="O76" s="115"/>
      <c r="P76" s="116"/>
      <c r="Q76" s="117"/>
      <c r="R76" s="82"/>
    </row>
    <row r="77" spans="1:18">
      <c r="A77" s="163">
        <f t="shared" si="10"/>
        <v>30</v>
      </c>
      <c r="B77" s="152">
        <f t="shared" si="7"/>
        <v>17.988868326662203</v>
      </c>
      <c r="C77" s="145">
        <f>IF(A77&lt;=$C$8,100^2/($B$4^2*B77^2),C76)</f>
        <v>584.16649215451025</v>
      </c>
      <c r="D77" s="153">
        <f t="shared" si="8"/>
        <v>24.429066168721892</v>
      </c>
      <c r="E77" s="164">
        <f t="shared" si="9"/>
        <v>27.380429429173205</v>
      </c>
      <c r="F77" s="154"/>
      <c r="G77" s="110"/>
      <c r="H77" s="113"/>
      <c r="I77" s="111"/>
      <c r="J77" s="111"/>
      <c r="K77" s="114"/>
      <c r="L77" s="111"/>
      <c r="M77" s="111"/>
      <c r="N77" s="111"/>
      <c r="O77" s="115"/>
      <c r="P77" s="116"/>
      <c r="Q77" s="117"/>
      <c r="R77" s="82"/>
    </row>
    <row r="78" spans="1:18">
      <c r="A78" s="163">
        <f t="shared" si="10"/>
        <v>35</v>
      </c>
      <c r="B78" s="152">
        <f t="shared" si="7"/>
        <v>19.99996006609496</v>
      </c>
      <c r="C78" s="145">
        <f>IF(A78&lt;=$C$8,100^2/($B$4^2*B78^2),C77)</f>
        <v>472.59167930173169</v>
      </c>
      <c r="D78" s="153">
        <f t="shared" si="8"/>
        <v>27.820860309236064</v>
      </c>
      <c r="E78" s="164">
        <f t="shared" si="9"/>
        <v>28.728772061012613</v>
      </c>
      <c r="F78" s="154"/>
      <c r="G78" s="110"/>
      <c r="H78" s="113"/>
      <c r="I78" s="111"/>
      <c r="J78" s="111"/>
      <c r="K78" s="114"/>
      <c r="L78" s="111"/>
      <c r="M78" s="111"/>
      <c r="N78" s="111"/>
      <c r="O78" s="115"/>
      <c r="P78" s="116"/>
      <c r="Q78" s="117"/>
      <c r="R78" s="82"/>
    </row>
    <row r="79" spans="1:18">
      <c r="A79" s="163">
        <f t="shared" si="10"/>
        <v>40</v>
      </c>
      <c r="B79" s="152">
        <f t="shared" si="7"/>
        <v>21.727922598897567</v>
      </c>
      <c r="C79" s="145">
        <f>IF(A79&lt;=$C$8,100^2/($B$4^2*B79^2),C78)</f>
        <v>400.41276754306455</v>
      </c>
      <c r="D79" s="153">
        <f t="shared" si="8"/>
        <v>30.655589864537607</v>
      </c>
      <c r="E79" s="164">
        <f t="shared" si="9"/>
        <v>29.554060121803456</v>
      </c>
      <c r="F79" s="154"/>
      <c r="G79" s="110"/>
      <c r="H79" s="113"/>
      <c r="I79" s="111"/>
      <c r="J79" s="111"/>
      <c r="K79" s="114"/>
      <c r="L79" s="111"/>
      <c r="M79" s="111"/>
      <c r="N79" s="111"/>
      <c r="O79" s="115"/>
      <c r="P79" s="116"/>
      <c r="Q79" s="117"/>
      <c r="R79" s="82"/>
    </row>
    <row r="80" spans="1:18">
      <c r="A80" s="163">
        <f t="shared" si="10"/>
        <v>45</v>
      </c>
      <c r="B80" s="152">
        <f t="shared" si="7"/>
        <v>23.230832101091192</v>
      </c>
      <c r="C80" s="145">
        <f>IF(A80&lt;=$C$8,100^2/($B$4^2*B80^2),C79)</f>
        <v>350.27956037925168</v>
      </c>
      <c r="D80" s="153">
        <f t="shared" si="8"/>
        <v>33.01133771317857</v>
      </c>
      <c r="E80" s="164">
        <f t="shared" si="9"/>
        <v>29.979951394381878</v>
      </c>
      <c r="F80" s="154"/>
      <c r="G80" s="110"/>
      <c r="H80" s="113"/>
      <c r="I80" s="111"/>
      <c r="J80" s="111"/>
      <c r="K80" s="114"/>
      <c r="L80" s="111"/>
      <c r="M80" s="111"/>
      <c r="N80" s="111"/>
      <c r="O80" s="115"/>
      <c r="P80" s="116"/>
      <c r="Q80" s="117"/>
      <c r="R80" s="82"/>
    </row>
    <row r="81" spans="1:18">
      <c r="A81" s="163">
        <f t="shared" si="10"/>
        <v>50</v>
      </c>
      <c r="B81" s="152">
        <f t="shared" si="7"/>
        <v>24.553801733943406</v>
      </c>
      <c r="C81" s="145">
        <f>IF(A81&lt;=$C$8,100^2/($B$4^2*B81^2),C80)</f>
        <v>313.55002415670174</v>
      </c>
      <c r="D81" s="153">
        <f t="shared" si="8"/>
        <v>34.94875808093078</v>
      </c>
      <c r="E81" s="164">
        <f t="shared" si="9"/>
        <v>30.078779843687929</v>
      </c>
      <c r="F81" s="154"/>
      <c r="G81" s="110"/>
      <c r="H81" s="113"/>
      <c r="I81" s="111"/>
      <c r="J81" s="111"/>
      <c r="K81" s="114"/>
      <c r="L81" s="111"/>
      <c r="M81" s="111"/>
      <c r="N81" s="111"/>
      <c r="O81" s="115"/>
      <c r="P81" s="116"/>
      <c r="Q81" s="117"/>
      <c r="R81" s="82"/>
    </row>
    <row r="82" spans="1:18">
      <c r="A82" s="163">
        <f t="shared" si="10"/>
        <v>55</v>
      </c>
      <c r="B82" s="152">
        <f t="shared" si="7"/>
        <v>25.731357111216642</v>
      </c>
      <c r="C82" s="145">
        <f>IF(A82&lt;=$C$8,100^2/($B$4^2*B82^2),C81)</f>
        <v>285.50843509740042</v>
      </c>
      <c r="D82" s="153">
        <f t="shared" si="8"/>
        <v>36.514270334409645</v>
      </c>
      <c r="E82" s="164">
        <f t="shared" si="9"/>
        <v>29.897445169365728</v>
      </c>
      <c r="F82" s="154"/>
      <c r="G82" s="110"/>
      <c r="H82" s="113"/>
      <c r="I82" s="111"/>
      <c r="J82" s="111"/>
      <c r="K82" s="114"/>
      <c r="L82" s="111"/>
      <c r="M82" s="111"/>
      <c r="N82" s="111"/>
      <c r="O82" s="115"/>
      <c r="P82" s="116"/>
      <c r="Q82" s="117"/>
      <c r="R82" s="82"/>
    </row>
    <row r="83" spans="1:18">
      <c r="A83" s="163">
        <f t="shared" si="10"/>
        <v>60</v>
      </c>
      <c r="B83" s="152">
        <f t="shared" si="7"/>
        <v>26.789862111400492</v>
      </c>
      <c r="C83" s="145">
        <f>IF(A83&lt;=$C$8,100^2/($B$4^2*B83^2),C82)</f>
        <v>263.39247996712578</v>
      </c>
      <c r="D83" s="153">
        <f t="shared" si="8"/>
        <v>37.743320463060329</v>
      </c>
      <c r="E83" s="164">
        <f t="shared" si="9"/>
        <v>29.469547119501851</v>
      </c>
      <c r="F83" s="154"/>
      <c r="G83" s="110"/>
      <c r="H83" s="113"/>
      <c r="I83" s="111"/>
      <c r="J83" s="111"/>
      <c r="K83" s="114"/>
      <c r="L83" s="111"/>
      <c r="M83" s="111"/>
      <c r="N83" s="111"/>
      <c r="O83" s="115"/>
      <c r="P83" s="116"/>
      <c r="Q83" s="117"/>
      <c r="R83" s="82"/>
    </row>
    <row r="84" spans="1:18">
      <c r="A84" s="163">
        <f t="shared" si="10"/>
        <v>65</v>
      </c>
      <c r="B84" s="152">
        <f t="shared" si="7"/>
        <v>27.749553664181299</v>
      </c>
      <c r="C84" s="145">
        <f>IF(A84&lt;=$C$8,100^2/($B$4^2*B84^2),C83)</f>
        <v>245.48916217051769</v>
      </c>
      <c r="D84" s="153">
        <f t="shared" si="8"/>
        <v>38.663116830642679</v>
      </c>
      <c r="E84" s="164">
        <f>(PI()/4*(D84/100)^2)*C84</f>
        <v>28.821456793767251</v>
      </c>
      <c r="F84" s="154"/>
      <c r="G84" s="110"/>
      <c r="H84" s="113"/>
      <c r="I84" s="111"/>
      <c r="J84" s="111"/>
      <c r="K84" s="114"/>
      <c r="L84" s="111"/>
      <c r="M84" s="111"/>
      <c r="N84" s="111"/>
      <c r="O84" s="115"/>
      <c r="P84" s="116"/>
      <c r="Q84" s="117"/>
      <c r="R84" s="82"/>
    </row>
    <row r="85" spans="1:18">
      <c r="A85" s="163">
        <v>70</v>
      </c>
      <c r="B85" s="152">
        <f t="shared" si="7"/>
        <v>28.626116569254211</v>
      </c>
      <c r="C85" s="146">
        <f>IF(A85&lt;=$C$8,100^2/($B$4^2*B85^2),C84)</f>
        <v>245.48916217051769</v>
      </c>
      <c r="D85" s="153">
        <f t="shared" si="8"/>
        <v>38.690102564593914</v>
      </c>
      <c r="E85" s="164">
        <f t="shared" si="9"/>
        <v>28.861703916022808</v>
      </c>
      <c r="F85" s="155"/>
      <c r="G85" s="139"/>
      <c r="H85" s="124"/>
      <c r="I85" s="124"/>
      <c r="J85" s="124"/>
      <c r="K85" s="125"/>
      <c r="L85" s="82"/>
      <c r="M85" s="82"/>
      <c r="N85" s="82"/>
      <c r="O85" s="126"/>
      <c r="P85" s="82"/>
      <c r="Q85" s="127"/>
      <c r="R85" s="83"/>
    </row>
    <row r="86" spans="1:18" ht="13.8" thickBot="1">
      <c r="A86" s="165">
        <v>75</v>
      </c>
      <c r="B86" s="156">
        <f t="shared" si="7"/>
        <v>29.431856571860372</v>
      </c>
      <c r="C86" s="146">
        <f>IF(A86&lt;=$C$8,100^2/($B$4^2*B86^2),C85)</f>
        <v>245.48916217051769</v>
      </c>
      <c r="D86" s="157">
        <f t="shared" si="8"/>
        <v>38.494320544300166</v>
      </c>
      <c r="E86" s="166">
        <f t="shared" si="9"/>
        <v>28.570347441590304</v>
      </c>
      <c r="F86" s="158"/>
      <c r="G86" s="159"/>
      <c r="H86" s="133"/>
      <c r="I86" s="133"/>
      <c r="J86" s="133"/>
      <c r="K86" s="134"/>
      <c r="L86" s="135"/>
      <c r="M86" s="135"/>
      <c r="N86" s="135"/>
      <c r="O86" s="136"/>
      <c r="P86" s="135"/>
      <c r="Q86" s="137"/>
      <c r="R86" s="83"/>
    </row>
    <row r="87" spans="1:18" s="67" customFormat="1">
      <c r="A87" s="138"/>
      <c r="B87" s="109"/>
      <c r="C87" s="110"/>
      <c r="D87" s="153"/>
      <c r="E87" s="111"/>
      <c r="F87" s="122"/>
      <c r="G87" s="139"/>
      <c r="H87" s="124"/>
      <c r="I87" s="124"/>
      <c r="J87" s="124"/>
      <c r="K87" s="124"/>
      <c r="L87" s="82"/>
      <c r="M87" s="82"/>
      <c r="N87" s="82"/>
      <c r="O87" s="82"/>
      <c r="P87" s="82"/>
      <c r="Q87" s="83"/>
      <c r="R87" s="83"/>
    </row>
    <row r="88" spans="1:18" s="67" customFormat="1">
      <c r="A88" s="138"/>
      <c r="B88" s="109"/>
      <c r="C88" s="110"/>
      <c r="D88" s="153"/>
      <c r="E88" s="111"/>
      <c r="F88" s="122"/>
      <c r="G88" s="139"/>
      <c r="H88" s="124"/>
      <c r="I88" s="124"/>
      <c r="J88" s="124"/>
      <c r="K88" s="124"/>
      <c r="L88" s="82"/>
      <c r="M88" s="82"/>
      <c r="N88" s="82"/>
      <c r="O88" s="82"/>
      <c r="P88" s="82"/>
      <c r="Q88" s="83"/>
      <c r="R88" s="83"/>
    </row>
    <row r="89" spans="1:18" s="67" customFormat="1">
      <c r="A89" s="138"/>
      <c r="B89" s="109"/>
      <c r="C89" s="110"/>
      <c r="D89" s="153"/>
      <c r="E89" s="111"/>
      <c r="F89" s="122"/>
      <c r="G89" s="139"/>
      <c r="H89" s="124"/>
      <c r="I89" s="124"/>
      <c r="J89" s="124"/>
      <c r="K89" s="124"/>
      <c r="L89" s="82"/>
      <c r="M89" s="82"/>
      <c r="N89" s="82"/>
      <c r="O89" s="82"/>
      <c r="P89" s="82"/>
      <c r="Q89" s="83"/>
      <c r="R89" s="83"/>
    </row>
    <row r="90" spans="1:18" s="67" customFormat="1">
      <c r="A90" s="138"/>
      <c r="B90" s="109"/>
      <c r="C90" s="110"/>
      <c r="D90" s="153"/>
      <c r="E90" s="111"/>
      <c r="F90" s="122"/>
      <c r="G90" s="139"/>
      <c r="H90" s="124"/>
      <c r="I90" s="124"/>
      <c r="J90" s="124"/>
      <c r="K90" s="124"/>
      <c r="L90" s="82"/>
      <c r="M90" s="82"/>
      <c r="N90" s="82"/>
      <c r="O90" s="82"/>
      <c r="P90" s="82"/>
      <c r="Q90" s="83"/>
      <c r="R90" s="83"/>
    </row>
    <row r="91" spans="1:18" s="67" customFormat="1">
      <c r="A91" s="138"/>
      <c r="B91" s="109"/>
      <c r="C91" s="110"/>
      <c r="D91" s="153"/>
      <c r="E91" s="111"/>
      <c r="F91" s="122"/>
      <c r="G91" s="139"/>
      <c r="H91" s="124"/>
      <c r="I91" s="124"/>
      <c r="J91" s="124"/>
      <c r="K91" s="124"/>
      <c r="L91" s="82"/>
      <c r="M91" s="82"/>
      <c r="N91" s="82"/>
      <c r="O91" s="82"/>
      <c r="P91" s="82"/>
      <c r="Q91" s="83"/>
      <c r="R91" s="83"/>
    </row>
    <row r="92" spans="1:18" s="67" customFormat="1">
      <c r="A92" s="138"/>
      <c r="B92" s="109"/>
      <c r="C92" s="110"/>
      <c r="D92" s="153"/>
      <c r="E92" s="111"/>
      <c r="F92" s="122"/>
      <c r="G92" s="139"/>
      <c r="H92" s="124"/>
      <c r="I92" s="124"/>
      <c r="J92" s="124"/>
      <c r="K92" s="124"/>
      <c r="L92" s="82"/>
      <c r="M92" s="82"/>
      <c r="N92" s="82"/>
      <c r="O92" s="82"/>
      <c r="P92" s="82"/>
      <c r="Q92" s="83"/>
      <c r="R92" s="83"/>
    </row>
    <row r="93" spans="1:18" ht="15.75" customHeight="1">
      <c r="A93" s="138"/>
      <c r="B93" s="109"/>
      <c r="C93" s="110"/>
      <c r="D93" s="122"/>
      <c r="E93" s="122"/>
      <c r="F93" s="122"/>
      <c r="G93" s="139"/>
      <c r="H93" s="124"/>
      <c r="I93" s="124"/>
      <c r="J93" s="124"/>
      <c r="K93" s="124"/>
      <c r="L93" s="82"/>
      <c r="M93" s="82"/>
      <c r="N93" s="82"/>
      <c r="O93" s="82"/>
      <c r="P93" s="82"/>
      <c r="Q93" s="83"/>
      <c r="R93" s="83"/>
    </row>
    <row r="94" spans="1:18" ht="15.75" customHeight="1">
      <c r="A94" s="138"/>
      <c r="B94" s="109"/>
      <c r="C94" s="110"/>
      <c r="D94" s="122"/>
      <c r="E94" s="122"/>
      <c r="F94" s="122"/>
      <c r="G94" s="139"/>
      <c r="H94" s="124"/>
      <c r="I94" s="124"/>
      <c r="J94" s="124"/>
      <c r="K94" s="124"/>
      <c r="L94" s="82"/>
      <c r="M94" s="82"/>
      <c r="N94" s="82"/>
      <c r="O94" s="82"/>
      <c r="P94" s="82"/>
      <c r="Q94" s="83"/>
      <c r="R94" s="83"/>
    </row>
    <row r="95" spans="1:18" ht="15.75" customHeight="1" thickBot="1">
      <c r="A95" s="138"/>
      <c r="B95" s="109"/>
      <c r="C95" s="110"/>
      <c r="D95" s="122"/>
      <c r="E95" s="122"/>
      <c r="F95" s="122"/>
      <c r="G95" s="139"/>
      <c r="H95" s="124"/>
      <c r="I95" s="124"/>
      <c r="J95" s="124"/>
      <c r="K95" s="124"/>
      <c r="L95" s="82"/>
      <c r="M95" s="82"/>
      <c r="N95" s="82"/>
      <c r="O95" s="82"/>
      <c r="P95" s="82"/>
      <c r="Q95" s="83"/>
      <c r="R95" s="83"/>
    </row>
    <row r="96" spans="1:18" ht="13.8" thickBot="1">
      <c r="A96" s="216" t="s">
        <v>0</v>
      </c>
      <c r="B96" s="218" t="s">
        <v>69</v>
      </c>
      <c r="C96" s="218"/>
      <c r="D96" s="218"/>
      <c r="E96" s="219"/>
      <c r="F96" s="218"/>
      <c r="G96" s="220" t="s">
        <v>70</v>
      </c>
      <c r="H96" s="221"/>
      <c r="I96" s="221"/>
      <c r="J96" s="222"/>
      <c r="K96" s="220" t="s">
        <v>71</v>
      </c>
      <c r="L96" s="221"/>
      <c r="M96" s="221"/>
      <c r="N96" s="222"/>
      <c r="O96" s="223" t="s">
        <v>6</v>
      </c>
      <c r="P96" s="225" t="s">
        <v>56</v>
      </c>
      <c r="Q96" s="226"/>
      <c r="R96" s="82"/>
    </row>
    <row r="97" spans="1:18" ht="16.2" thickBot="1">
      <c r="A97" s="217"/>
      <c r="B97" s="84" t="s">
        <v>1</v>
      </c>
      <c r="C97" s="85" t="s">
        <v>2</v>
      </c>
      <c r="D97" s="85" t="s">
        <v>3</v>
      </c>
      <c r="E97" s="86" t="s">
        <v>57</v>
      </c>
      <c r="F97" s="85" t="s">
        <v>58</v>
      </c>
      <c r="G97" s="87" t="s">
        <v>60</v>
      </c>
      <c r="H97" s="88" t="s">
        <v>3</v>
      </c>
      <c r="I97" s="88" t="s">
        <v>72</v>
      </c>
      <c r="J97" s="86" t="s">
        <v>59</v>
      </c>
      <c r="K97" s="85" t="s">
        <v>73</v>
      </c>
      <c r="L97" s="85" t="s">
        <v>74</v>
      </c>
      <c r="M97" s="85" t="s">
        <v>75</v>
      </c>
      <c r="N97" s="85" t="s">
        <v>76</v>
      </c>
      <c r="O97" s="224"/>
      <c r="P97" s="89" t="s">
        <v>61</v>
      </c>
      <c r="Q97" s="89" t="s">
        <v>62</v>
      </c>
      <c r="R97" s="90" t="s">
        <v>77</v>
      </c>
    </row>
    <row r="98" spans="1:18" ht="13.8" thickBot="1">
      <c r="A98" s="140">
        <v>15</v>
      </c>
      <c r="B98" s="93">
        <f>EXP(4.04764-8.75819/A98^0.56087)+1.19874*(1-EXP(-0.081*A98))^2.99578*($B$5-17.38)</f>
        <v>9.5085291059454633</v>
      </c>
      <c r="C98" s="141">
        <f>$B$6</f>
        <v>2200</v>
      </c>
      <c r="D98" s="142"/>
      <c r="E98" s="94"/>
      <c r="F98" s="147"/>
      <c r="G98" s="90"/>
      <c r="H98" s="94"/>
      <c r="I98" s="94"/>
      <c r="J98" s="94"/>
      <c r="K98" s="144"/>
      <c r="L98" s="142"/>
      <c r="M98" s="142"/>
      <c r="N98" s="142"/>
      <c r="O98" s="97"/>
      <c r="P98" s="148"/>
      <c r="Q98" s="160"/>
      <c r="R98" s="90"/>
    </row>
    <row r="99" spans="1:18">
      <c r="A99" s="161">
        <v>15</v>
      </c>
      <c r="B99" s="149">
        <f>EXP(4.04764-8.75819/A99^0.56087)+1.19874*(1-EXP(-0.081*A99))^2.99578*($B$5-17.38)</f>
        <v>9.5085291059454633</v>
      </c>
      <c r="C99" s="145">
        <f>IF(A99&lt;=$C$8,100^2/($B$4^2*B99^2),C98)</f>
        <v>2090.8248228660891</v>
      </c>
      <c r="D99" s="150">
        <f>(-7.5886+0.6547*B99+0.3669*A99+299.909*(1/SQRT(C99))-0.003528*A99^2)</f>
        <v>9.9052289536229896</v>
      </c>
      <c r="E99" s="162">
        <f>(PI()/4*(D99/100)^2)*C99</f>
        <v>16.111521893899372</v>
      </c>
      <c r="F99" s="167">
        <f>0.2768*E99+0.4376*E99*B99</f>
        <v>71.498621703001916</v>
      </c>
      <c r="G99" s="100"/>
      <c r="H99" s="103"/>
      <c r="I99" s="101"/>
      <c r="J99" s="101"/>
      <c r="K99" s="104"/>
      <c r="L99" s="101"/>
      <c r="M99" s="101"/>
      <c r="N99" s="101"/>
      <c r="O99" s="105"/>
      <c r="P99" s="106"/>
      <c r="Q99" s="107"/>
      <c r="R99" s="82"/>
    </row>
    <row r="100" spans="1:18">
      <c r="A100" s="163">
        <f>A99+pdesb</f>
        <v>20</v>
      </c>
      <c r="B100" s="152">
        <f t="shared" ref="B100:B111" si="11">EXP(4.04764-8.75819/A100^0.56087)+1.19874*(1-EXP(-0.081*A100))^2.99578*($B$5-17.38)</f>
        <v>12.819794801507502</v>
      </c>
      <c r="C100" s="145">
        <f>IF(A100&lt;=$C$8,100^2/($B$4^2*B100^2),C99)</f>
        <v>1150.22335197803</v>
      </c>
      <c r="D100" s="153">
        <f t="shared" ref="D100:D111" si="12">(-7.5886+0.6547*B100+0.3669*A100+299.909*(1/SQRT(C100))-0.003528*A100^2)</f>
        <v>15.574294886535185</v>
      </c>
      <c r="E100" s="164">
        <f t="shared" ref="E100:E111" si="13">(PI()/4*(D100/100)^2)*C100</f>
        <v>21.912344578448636</v>
      </c>
      <c r="F100" s="168">
        <f t="shared" ref="F100:F111" si="14">0.2768*E100+0.4376*E100*B100</f>
        <v>128.9923236435173</v>
      </c>
      <c r="G100" s="110"/>
      <c r="H100" s="113"/>
      <c r="I100" s="111"/>
      <c r="J100" s="111"/>
      <c r="K100" s="114"/>
      <c r="L100" s="111"/>
      <c r="M100" s="111"/>
      <c r="N100" s="111"/>
      <c r="O100" s="115"/>
      <c r="P100" s="116"/>
      <c r="Q100" s="117"/>
      <c r="R100" s="82"/>
    </row>
    <row r="101" spans="1:18">
      <c r="A101" s="163">
        <f t="shared" ref="A101:A109" si="15">A100+pdesb</f>
        <v>25</v>
      </c>
      <c r="B101" s="152">
        <f t="shared" si="11"/>
        <v>15.622678395248585</v>
      </c>
      <c r="C101" s="145">
        <f>IF(A101&lt;=$C$8,100^2/($B$4^2*B101^2),C100)</f>
        <v>774.52125913905991</v>
      </c>
      <c r="D101" s="153">
        <f t="shared" si="12"/>
        <v>20.383445811502646</v>
      </c>
      <c r="E101" s="164">
        <f t="shared" si="13"/>
        <v>25.274258931963477</v>
      </c>
      <c r="F101" s="168">
        <f t="shared" si="14"/>
        <v>179.78298333464787</v>
      </c>
      <c r="G101" s="110"/>
      <c r="H101" s="113"/>
      <c r="I101" s="111"/>
      <c r="J101" s="111"/>
      <c r="K101" s="114"/>
      <c r="L101" s="111"/>
      <c r="M101" s="111"/>
      <c r="N101" s="111"/>
      <c r="O101" s="115"/>
      <c r="P101" s="116"/>
      <c r="Q101" s="117"/>
      <c r="R101" s="82"/>
    </row>
    <row r="102" spans="1:18">
      <c r="A102" s="163">
        <f t="shared" si="15"/>
        <v>30</v>
      </c>
      <c r="B102" s="152">
        <f t="shared" si="11"/>
        <v>17.988868326662203</v>
      </c>
      <c r="C102" s="145">
        <f>IF(A102&lt;=$C$8,100^2/($B$4^2*B102^2),C101)</f>
        <v>584.16649215451025</v>
      </c>
      <c r="D102" s="153">
        <f t="shared" si="12"/>
        <v>24.429066168721892</v>
      </c>
      <c r="E102" s="164">
        <f t="shared" si="13"/>
        <v>27.380429429173205</v>
      </c>
      <c r="F102" s="168">
        <f t="shared" si="14"/>
        <v>223.11569329134582</v>
      </c>
      <c r="G102" s="110"/>
      <c r="H102" s="113"/>
      <c r="I102" s="111"/>
      <c r="J102" s="111"/>
      <c r="K102" s="114"/>
      <c r="L102" s="111"/>
      <c r="M102" s="111"/>
      <c r="N102" s="111"/>
      <c r="O102" s="115"/>
      <c r="P102" s="116"/>
      <c r="Q102" s="117"/>
      <c r="R102" s="82"/>
    </row>
    <row r="103" spans="1:18">
      <c r="A103" s="163">
        <f t="shared" si="15"/>
        <v>35</v>
      </c>
      <c r="B103" s="152">
        <f t="shared" si="11"/>
        <v>19.99996006609496</v>
      </c>
      <c r="C103" s="145">
        <f>IF(A103&lt;=$C$8,100^2/($B$4^2*B103^2),C102)</f>
        <v>472.59167930173169</v>
      </c>
      <c r="D103" s="153">
        <f t="shared" si="12"/>
        <v>27.820860309236064</v>
      </c>
      <c r="E103" s="164">
        <f t="shared" si="13"/>
        <v>28.728772061012613</v>
      </c>
      <c r="F103" s="168">
        <f t="shared" si="14"/>
        <v>259.3858351469712</v>
      </c>
      <c r="H103" s="113"/>
      <c r="I103" s="111"/>
      <c r="J103" s="111"/>
      <c r="K103" s="114"/>
      <c r="L103" s="111"/>
      <c r="M103" s="111"/>
      <c r="N103" s="111"/>
      <c r="O103" s="115"/>
      <c r="P103" s="116"/>
      <c r="Q103" s="117"/>
      <c r="R103" s="82"/>
    </row>
    <row r="104" spans="1:18">
      <c r="A104" s="163">
        <f t="shared" si="15"/>
        <v>40</v>
      </c>
      <c r="B104" s="152">
        <f t="shared" si="11"/>
        <v>21.727922598897567</v>
      </c>
      <c r="C104" s="145">
        <f>IF(A104&lt;=$C$8,100^2/($B$4^2*B104^2),C103)</f>
        <v>400.41276754306455</v>
      </c>
      <c r="D104" s="153">
        <f t="shared" si="12"/>
        <v>30.655589864537607</v>
      </c>
      <c r="E104" s="164">
        <f t="shared" si="13"/>
        <v>29.554060121803456</v>
      </c>
      <c r="F104" s="168">
        <f t="shared" si="14"/>
        <v>289.18467340404459</v>
      </c>
      <c r="G104" s="110"/>
      <c r="H104" s="113"/>
      <c r="I104" s="111"/>
      <c r="J104" s="111"/>
      <c r="K104" s="114"/>
      <c r="L104" s="111"/>
      <c r="M104" s="111"/>
      <c r="N104" s="111"/>
      <c r="O104" s="115"/>
      <c r="P104" s="116"/>
      <c r="Q104" s="117"/>
      <c r="R104" s="82"/>
    </row>
    <row r="105" spans="1:18">
      <c r="A105" s="163">
        <f t="shared" si="15"/>
        <v>45</v>
      </c>
      <c r="B105" s="152">
        <f t="shared" si="11"/>
        <v>23.230832101091192</v>
      </c>
      <c r="C105" s="145">
        <f>IF(A105&lt;=$C$8,100^2/($B$4^2*B105^2),C104)</f>
        <v>350.27956037925168</v>
      </c>
      <c r="D105" s="153">
        <f t="shared" si="12"/>
        <v>33.01133771317857</v>
      </c>
      <c r="E105" s="164">
        <f t="shared" si="13"/>
        <v>29.979951394381878</v>
      </c>
      <c r="F105" s="168">
        <f t="shared" si="14"/>
        <v>313.06900401095913</v>
      </c>
      <c r="G105" s="110"/>
      <c r="H105" s="113"/>
      <c r="I105" s="111"/>
      <c r="J105" s="111"/>
      <c r="K105" s="114"/>
      <c r="L105" s="111"/>
      <c r="M105" s="111"/>
      <c r="N105" s="111"/>
      <c r="O105" s="115"/>
      <c r="P105" s="116"/>
      <c r="Q105" s="117"/>
      <c r="R105" s="82"/>
    </row>
    <row r="106" spans="1:18">
      <c r="A106" s="163">
        <f t="shared" si="15"/>
        <v>50</v>
      </c>
      <c r="B106" s="152">
        <f t="shared" si="11"/>
        <v>24.553801733943406</v>
      </c>
      <c r="C106" s="145">
        <f>IF(A106&lt;=$C$8,100^2/($B$4^2*B106^2),C105)</f>
        <v>313.55002415670174</v>
      </c>
      <c r="D106" s="153">
        <f t="shared" si="12"/>
        <v>34.94875808093078</v>
      </c>
      <c r="E106" s="164">
        <f t="shared" si="13"/>
        <v>30.078779843687929</v>
      </c>
      <c r="F106" s="168">
        <f t="shared" si="14"/>
        <v>331.5145846482713</v>
      </c>
      <c r="G106" s="110"/>
      <c r="H106" s="113"/>
      <c r="I106" s="111"/>
      <c r="J106" s="111"/>
      <c r="K106" s="114"/>
      <c r="L106" s="111"/>
      <c r="M106" s="111"/>
      <c r="N106" s="111"/>
      <c r="O106" s="115"/>
      <c r="P106" s="116"/>
      <c r="Q106" s="117"/>
      <c r="R106" s="82"/>
    </row>
    <row r="107" spans="1:18">
      <c r="A107" s="163">
        <f t="shared" si="15"/>
        <v>55</v>
      </c>
      <c r="B107" s="152">
        <f t="shared" si="11"/>
        <v>25.731357111216642</v>
      </c>
      <c r="C107" s="145">
        <f>IF(A107&lt;=$C$8,100^2/($B$4^2*B107^2),C106)</f>
        <v>285.50843509740042</v>
      </c>
      <c r="D107" s="153">
        <f t="shared" si="12"/>
        <v>36.514270334409645</v>
      </c>
      <c r="E107" s="164">
        <f t="shared" si="13"/>
        <v>29.897445169365728</v>
      </c>
      <c r="F107" s="168">
        <f t="shared" si="14"/>
        <v>344.92209729182821</v>
      </c>
      <c r="G107" s="110"/>
      <c r="H107" s="113"/>
      <c r="I107" s="111"/>
      <c r="J107" s="111"/>
      <c r="K107" s="114"/>
      <c r="L107" s="111"/>
      <c r="M107" s="111"/>
      <c r="N107" s="111"/>
      <c r="O107" s="115"/>
      <c r="P107" s="116"/>
      <c r="Q107" s="117"/>
      <c r="R107" s="82"/>
    </row>
    <row r="108" spans="1:18">
      <c r="A108" s="163">
        <f t="shared" si="15"/>
        <v>60</v>
      </c>
      <c r="B108" s="152">
        <f t="shared" si="11"/>
        <v>26.789862111400492</v>
      </c>
      <c r="C108" s="145">
        <f>IF(A108&lt;=$C$8,100^2/($B$4^2*B108^2),C107)</f>
        <v>263.39247996712578</v>
      </c>
      <c r="D108" s="153">
        <f t="shared" si="12"/>
        <v>37.743320463060329</v>
      </c>
      <c r="E108" s="164">
        <f t="shared" si="13"/>
        <v>29.469547119501851</v>
      </c>
      <c r="F108" s="168">
        <f t="shared" si="14"/>
        <v>353.63585207294227</v>
      </c>
      <c r="G108" s="110"/>
      <c r="H108" s="113"/>
      <c r="I108" s="111"/>
      <c r="J108" s="111"/>
      <c r="K108" s="114"/>
      <c r="L108" s="111"/>
      <c r="M108" s="111"/>
      <c r="N108" s="111"/>
      <c r="O108" s="115"/>
      <c r="P108" s="116"/>
      <c r="Q108" s="117"/>
      <c r="R108" s="82"/>
    </row>
    <row r="109" spans="1:18">
      <c r="A109" s="163">
        <f t="shared" si="15"/>
        <v>65</v>
      </c>
      <c r="B109" s="152">
        <f t="shared" si="11"/>
        <v>27.749553664181299</v>
      </c>
      <c r="C109" s="145">
        <f>IF(A109&lt;=$C$8,100^2/($B$4^2*B109^2),C108)</f>
        <v>245.48916217051769</v>
      </c>
      <c r="D109" s="153">
        <f t="shared" si="12"/>
        <v>38.663116830642679</v>
      </c>
      <c r="E109" s="164">
        <f t="shared" si="13"/>
        <v>28.821456793767251</v>
      </c>
      <c r="F109" s="168">
        <f t="shared" si="14"/>
        <v>357.96262836231824</v>
      </c>
      <c r="G109" s="110"/>
      <c r="H109" s="113"/>
      <c r="I109" s="111"/>
      <c r="J109" s="111"/>
      <c r="K109" s="114"/>
      <c r="L109" s="111"/>
      <c r="M109" s="111"/>
      <c r="N109" s="111"/>
      <c r="O109" s="115"/>
      <c r="P109" s="116"/>
      <c r="Q109" s="117"/>
      <c r="R109" s="82"/>
    </row>
    <row r="110" spans="1:18">
      <c r="A110" s="163">
        <v>70</v>
      </c>
      <c r="B110" s="152">
        <f t="shared" si="11"/>
        <v>28.626116569254211</v>
      </c>
      <c r="C110" s="146">
        <f>IF(A110&lt;=$C$8,100^2/($B$4^2*B110^2),C109)</f>
        <v>245.48916217051769</v>
      </c>
      <c r="D110" s="153">
        <f t="shared" si="12"/>
        <v>38.690102564593914</v>
      </c>
      <c r="E110" s="164">
        <f t="shared" si="13"/>
        <v>28.861703916022808</v>
      </c>
      <c r="F110" s="168">
        <f t="shared" si="14"/>
        <v>369.53338354474806</v>
      </c>
      <c r="G110" s="139"/>
      <c r="H110" s="124"/>
      <c r="I110" s="124"/>
      <c r="J110" s="124"/>
      <c r="K110" s="125"/>
      <c r="L110" s="82"/>
      <c r="M110" s="82"/>
      <c r="N110" s="82"/>
      <c r="O110" s="126"/>
      <c r="P110" s="82"/>
      <c r="Q110" s="127"/>
      <c r="R110" s="83"/>
    </row>
    <row r="111" spans="1:18" ht="13.8" thickBot="1">
      <c r="A111" s="165">
        <v>75</v>
      </c>
      <c r="B111" s="156">
        <f t="shared" si="11"/>
        <v>29.431856571860372</v>
      </c>
      <c r="C111" s="146">
        <f>IF(A111&lt;=$C$8,100^2/($B$4^2*B111^2),C110)</f>
        <v>245.48916217051769</v>
      </c>
      <c r="D111" s="157">
        <f t="shared" si="12"/>
        <v>38.494320544300166</v>
      </c>
      <c r="E111" s="166">
        <f t="shared" si="13"/>
        <v>28.570347441590304</v>
      </c>
      <c r="F111" s="169">
        <f t="shared" si="14"/>
        <v>375.87664605637605</v>
      </c>
      <c r="G111" s="159"/>
      <c r="H111" s="133"/>
      <c r="I111" s="133"/>
      <c r="J111" s="133"/>
      <c r="K111" s="134"/>
      <c r="L111" s="135"/>
      <c r="M111" s="135"/>
      <c r="N111" s="135"/>
      <c r="O111" s="136"/>
      <c r="P111" s="135"/>
      <c r="Q111" s="137"/>
      <c r="R111" s="83"/>
    </row>
    <row r="112" spans="1:18" s="67" customFormat="1">
      <c r="A112" s="138"/>
      <c r="B112" s="109"/>
      <c r="C112" s="110"/>
      <c r="D112" s="153"/>
      <c r="E112" s="111"/>
      <c r="F112" s="170"/>
      <c r="G112" s="139"/>
      <c r="H112" s="124"/>
      <c r="I112" s="124"/>
      <c r="J112" s="124"/>
      <c r="K112" s="124"/>
      <c r="L112" s="82"/>
      <c r="M112" s="82"/>
      <c r="N112" s="82"/>
      <c r="O112" s="82"/>
      <c r="P112" s="82"/>
      <c r="Q112" s="83"/>
      <c r="R112" s="83"/>
    </row>
    <row r="113" spans="1:18" s="67" customFormat="1">
      <c r="A113" s="138"/>
      <c r="B113" s="109"/>
      <c r="C113" s="110"/>
      <c r="D113" s="153"/>
      <c r="E113" s="111"/>
      <c r="F113" s="170"/>
      <c r="G113" s="139"/>
      <c r="H113" s="124"/>
      <c r="I113" s="124"/>
      <c r="J113" s="124"/>
      <c r="K113" s="124"/>
      <c r="L113" s="82"/>
      <c r="M113" s="82"/>
      <c r="N113" s="82"/>
      <c r="O113" s="82"/>
      <c r="P113" s="82"/>
      <c r="Q113" s="83"/>
      <c r="R113" s="83"/>
    </row>
    <row r="114" spans="1:18" s="67" customFormat="1">
      <c r="A114" s="138"/>
      <c r="B114" s="109"/>
      <c r="C114" s="110"/>
      <c r="D114" s="153"/>
      <c r="E114" s="111"/>
      <c r="F114" s="170"/>
      <c r="G114" s="139"/>
      <c r="H114" s="124"/>
      <c r="I114" s="124"/>
      <c r="J114" s="124"/>
      <c r="K114" s="124"/>
      <c r="L114" s="82"/>
      <c r="M114" s="82"/>
      <c r="N114" s="82"/>
      <c r="O114" s="82"/>
      <c r="P114" s="82"/>
      <c r="Q114" s="83"/>
      <c r="R114" s="83"/>
    </row>
    <row r="115" spans="1:18" ht="13.8" thickBot="1">
      <c r="A115" s="138"/>
      <c r="B115" s="109"/>
      <c r="C115" s="110"/>
      <c r="D115" s="122"/>
      <c r="E115" s="122"/>
      <c r="F115" s="122"/>
      <c r="G115" s="139"/>
      <c r="H115" s="124"/>
      <c r="I115" s="124"/>
      <c r="J115" s="124"/>
      <c r="K115" s="124"/>
      <c r="L115" s="82"/>
      <c r="M115" s="82"/>
      <c r="N115" s="82"/>
      <c r="O115" s="82"/>
      <c r="P115" s="82"/>
      <c r="Q115" s="83"/>
      <c r="R115" s="83"/>
    </row>
    <row r="116" spans="1:18" ht="13.8" thickBot="1">
      <c r="A116" s="216" t="s">
        <v>0</v>
      </c>
      <c r="B116" s="218" t="s">
        <v>69</v>
      </c>
      <c r="C116" s="218"/>
      <c r="D116" s="218"/>
      <c r="E116" s="219"/>
      <c r="F116" s="218"/>
      <c r="G116" s="220" t="s">
        <v>70</v>
      </c>
      <c r="H116" s="221"/>
      <c r="I116" s="221"/>
      <c r="J116" s="222"/>
      <c r="K116" s="220" t="s">
        <v>71</v>
      </c>
      <c r="L116" s="221"/>
      <c r="M116" s="221"/>
      <c r="N116" s="222"/>
      <c r="O116" s="223" t="s">
        <v>6</v>
      </c>
      <c r="P116" s="225" t="s">
        <v>56</v>
      </c>
      <c r="Q116" s="226"/>
      <c r="R116" s="82"/>
    </row>
    <row r="117" spans="1:18" ht="16.2" thickBot="1">
      <c r="A117" s="217"/>
      <c r="B117" s="84" t="s">
        <v>1</v>
      </c>
      <c r="C117" s="85" t="s">
        <v>2</v>
      </c>
      <c r="D117" s="85" t="s">
        <v>3</v>
      </c>
      <c r="E117" s="86" t="s">
        <v>57</v>
      </c>
      <c r="F117" s="85" t="s">
        <v>58</v>
      </c>
      <c r="G117" s="87" t="s">
        <v>60</v>
      </c>
      <c r="H117" s="88" t="s">
        <v>3</v>
      </c>
      <c r="I117" s="88" t="s">
        <v>72</v>
      </c>
      <c r="J117" s="86" t="s">
        <v>59</v>
      </c>
      <c r="K117" s="85" t="s">
        <v>73</v>
      </c>
      <c r="L117" s="85" t="s">
        <v>74</v>
      </c>
      <c r="M117" s="85" t="s">
        <v>75</v>
      </c>
      <c r="N117" s="85" t="s">
        <v>76</v>
      </c>
      <c r="O117" s="224"/>
      <c r="P117" s="89" t="s">
        <v>61</v>
      </c>
      <c r="Q117" s="89" t="s">
        <v>62</v>
      </c>
      <c r="R117" s="90" t="s">
        <v>77</v>
      </c>
    </row>
    <row r="118" spans="1:18" ht="13.8" thickBot="1">
      <c r="A118" s="140">
        <v>15</v>
      </c>
      <c r="B118" s="93">
        <f>EXP(4.04764-8.75819/A118^0.56087)+1.19874*(1-EXP(-0.081*A118))^2.99578*($B$5-17.38)</f>
        <v>9.5085291059454633</v>
      </c>
      <c r="C118" s="141">
        <f>$B$6</f>
        <v>2200</v>
      </c>
      <c r="D118" s="142"/>
      <c r="E118" s="94"/>
      <c r="F118" s="147"/>
      <c r="G118" s="95"/>
      <c r="H118" s="94"/>
      <c r="I118" s="94"/>
      <c r="J118" s="94"/>
      <c r="K118" s="144"/>
      <c r="L118" s="142"/>
      <c r="M118" s="142"/>
      <c r="N118" s="142"/>
      <c r="O118" s="97"/>
      <c r="P118" s="148"/>
      <c r="Q118" s="160"/>
      <c r="R118" s="90"/>
    </row>
    <row r="119" spans="1:18">
      <c r="A119" s="161">
        <v>15</v>
      </c>
      <c r="B119" s="149">
        <f>EXP(4.04764-8.75819/A119^0.56087)+1.19874*(1-EXP(-0.081*A119))^2.99578*($B$5-17.38)</f>
        <v>9.5085291059454633</v>
      </c>
      <c r="C119" s="145">
        <f>IF(A119&lt;=$C$8,100^2/($B$4^2*B119^2),C118)</f>
        <v>2090.8248228660891</v>
      </c>
      <c r="D119" s="150">
        <f>(-7.5886+0.6547*B119+0.3669*A119+299.909*(1/SQRT(C119))-0.003528*A119^2)</f>
        <v>9.9052289536229896</v>
      </c>
      <c r="E119" s="162">
        <f>(PI()/4*(D119/100)^2)*C119</f>
        <v>16.111521893899372</v>
      </c>
      <c r="F119" s="167">
        <f>0.2768*E119+0.4376*E119*B119</f>
        <v>71.498621703001916</v>
      </c>
      <c r="G119" s="171">
        <f>IF(A120&lt;=$C$8,C119-C120,0)</f>
        <v>940.60147088805911</v>
      </c>
      <c r="H119" s="103"/>
      <c r="I119" s="101"/>
      <c r="J119" s="151"/>
      <c r="K119" s="104"/>
      <c r="L119" s="101"/>
      <c r="M119" s="101"/>
      <c r="N119" s="101"/>
      <c r="O119" s="105"/>
      <c r="P119" s="106"/>
      <c r="Q119" s="107"/>
      <c r="R119" s="82"/>
    </row>
    <row r="120" spans="1:18">
      <c r="A120" s="163">
        <f>A119+pdesb</f>
        <v>20</v>
      </c>
      <c r="B120" s="152">
        <f t="shared" ref="B120:B131" si="16">EXP(4.04764-8.75819/A120^0.56087)+1.19874*(1-EXP(-0.081*A120))^2.99578*($B$5-17.38)</f>
        <v>12.819794801507502</v>
      </c>
      <c r="C120" s="145">
        <f>IF(A120&lt;=$C$8,100^2/($B$4^2*B120^2),C119)</f>
        <v>1150.22335197803</v>
      </c>
      <c r="D120" s="153">
        <f t="shared" ref="D120:D131" si="17">(-7.5886+0.6547*B120+0.3669*A120+299.909*(1/SQRT(C120))-0.003528*A120^2)</f>
        <v>15.574294886535185</v>
      </c>
      <c r="E120" s="164">
        <f t="shared" ref="E120:E131" si="18">(PI()/4*(D120/100)^2)*C120</f>
        <v>21.912344578448636</v>
      </c>
      <c r="F120" s="168">
        <f t="shared" ref="F120:F131" si="19">0.2768*E120+0.4376*E120*B120</f>
        <v>128.9923236435173</v>
      </c>
      <c r="G120" s="172">
        <f>IF(A121&lt;=$C$8,C120-C121,0)</f>
        <v>375.70209283897009</v>
      </c>
      <c r="H120" s="113"/>
      <c r="I120" s="111"/>
      <c r="J120" s="154"/>
      <c r="K120" s="114"/>
      <c r="L120" s="111"/>
      <c r="M120" s="111"/>
      <c r="N120" s="111"/>
      <c r="O120" s="115"/>
      <c r="P120" s="116"/>
      <c r="Q120" s="117"/>
      <c r="R120" s="82"/>
    </row>
    <row r="121" spans="1:18">
      <c r="A121" s="163">
        <f t="shared" ref="A121:A129" si="20">A120+pdesb</f>
        <v>25</v>
      </c>
      <c r="B121" s="152">
        <f t="shared" si="16"/>
        <v>15.622678395248585</v>
      </c>
      <c r="C121" s="145">
        <f>IF(A121&lt;=$C$8,100^2/($B$4^2*B121^2),C120)</f>
        <v>774.52125913905991</v>
      </c>
      <c r="D121" s="153">
        <f t="shared" si="17"/>
        <v>20.383445811502646</v>
      </c>
      <c r="E121" s="164">
        <f t="shared" si="18"/>
        <v>25.274258931963477</v>
      </c>
      <c r="F121" s="168">
        <f t="shared" si="19"/>
        <v>179.78298333464787</v>
      </c>
      <c r="G121" s="172">
        <f>IF(A122&lt;=$C$8,C121-C122,0)</f>
        <v>190.35476698454966</v>
      </c>
      <c r="H121" s="113"/>
      <c r="I121" s="111"/>
      <c r="J121" s="154"/>
      <c r="K121" s="114"/>
      <c r="L121" s="111"/>
      <c r="M121" s="111"/>
      <c r="N121" s="111"/>
      <c r="O121" s="115"/>
      <c r="P121" s="116"/>
      <c r="Q121" s="117"/>
      <c r="R121" s="82"/>
    </row>
    <row r="122" spans="1:18">
      <c r="A122" s="163">
        <f t="shared" si="20"/>
        <v>30</v>
      </c>
      <c r="B122" s="152">
        <f t="shared" si="16"/>
        <v>17.988868326662203</v>
      </c>
      <c r="C122" s="145">
        <f>IF(A122&lt;=$C$8,100^2/($B$4^2*B122^2),C121)</f>
        <v>584.16649215451025</v>
      </c>
      <c r="D122" s="153">
        <f t="shared" si="17"/>
        <v>24.429066168721892</v>
      </c>
      <c r="E122" s="164">
        <f t="shared" si="18"/>
        <v>27.380429429173205</v>
      </c>
      <c r="F122" s="168">
        <f t="shared" si="19"/>
        <v>223.11569329134582</v>
      </c>
      <c r="G122" s="172">
        <f>IF(A123&lt;=$C$8,C122-C123,0)</f>
        <v>111.57481285277856</v>
      </c>
      <c r="H122" s="173"/>
      <c r="I122" s="111"/>
      <c r="J122" s="154"/>
      <c r="K122" s="114"/>
      <c r="L122" s="111"/>
      <c r="M122" s="111"/>
      <c r="N122" s="111"/>
      <c r="O122" s="115"/>
      <c r="P122" s="116"/>
      <c r="Q122" s="117"/>
      <c r="R122" s="82"/>
    </row>
    <row r="123" spans="1:18">
      <c r="A123" s="163">
        <f t="shared" si="20"/>
        <v>35</v>
      </c>
      <c r="B123" s="152">
        <f t="shared" si="16"/>
        <v>19.99996006609496</v>
      </c>
      <c r="C123" s="145">
        <f>IF(A123&lt;=$C$8,100^2/($B$4^2*B123^2),C122)</f>
        <v>472.59167930173169</v>
      </c>
      <c r="D123" s="153">
        <f t="shared" si="17"/>
        <v>27.820860309236064</v>
      </c>
      <c r="E123" s="164">
        <f t="shared" si="18"/>
        <v>28.728772061012613</v>
      </c>
      <c r="F123" s="168">
        <f t="shared" si="19"/>
        <v>259.3858351469712</v>
      </c>
      <c r="G123" s="172">
        <f>IF(A124&lt;=$C$8,C123-C124,0)</f>
        <v>72.178911758667141</v>
      </c>
      <c r="H123" s="113"/>
      <c r="I123" s="111"/>
      <c r="J123" s="154"/>
      <c r="K123" s="114"/>
      <c r="L123" s="111"/>
      <c r="M123" s="111"/>
      <c r="N123" s="111"/>
      <c r="O123" s="115"/>
      <c r="P123" s="116"/>
      <c r="Q123" s="117"/>
      <c r="R123" s="82"/>
    </row>
    <row r="124" spans="1:18">
      <c r="A124" s="163">
        <f t="shared" si="20"/>
        <v>40</v>
      </c>
      <c r="B124" s="152">
        <f t="shared" si="16"/>
        <v>21.727922598897567</v>
      </c>
      <c r="C124" s="145">
        <f>IF(A124&lt;=$C$8,100^2/($B$4^2*B124^2),C123)</f>
        <v>400.41276754306455</v>
      </c>
      <c r="D124" s="153">
        <f t="shared" si="17"/>
        <v>30.655589864537607</v>
      </c>
      <c r="E124" s="164">
        <f t="shared" si="18"/>
        <v>29.554060121803456</v>
      </c>
      <c r="F124" s="168">
        <f t="shared" si="19"/>
        <v>289.18467340404459</v>
      </c>
      <c r="G124" s="172">
        <f>IF(A125&lt;=$C$8,C124-C125,0)</f>
        <v>50.13320716381287</v>
      </c>
      <c r="H124" s="113"/>
      <c r="I124" s="111"/>
      <c r="J124" s="154"/>
      <c r="K124" s="114"/>
      <c r="L124" s="111"/>
      <c r="M124" s="111"/>
      <c r="N124" s="111"/>
      <c r="O124" s="115"/>
      <c r="P124" s="116"/>
      <c r="Q124" s="117"/>
      <c r="R124" s="82"/>
    </row>
    <row r="125" spans="1:18">
      <c r="A125" s="163">
        <f t="shared" si="20"/>
        <v>45</v>
      </c>
      <c r="B125" s="152">
        <f t="shared" si="16"/>
        <v>23.230832101091192</v>
      </c>
      <c r="C125" s="145">
        <f>IF(A125&lt;=$C$8,100^2/($B$4^2*B125^2),C124)</f>
        <v>350.27956037925168</v>
      </c>
      <c r="D125" s="153">
        <f t="shared" si="17"/>
        <v>33.01133771317857</v>
      </c>
      <c r="E125" s="164">
        <f t="shared" si="18"/>
        <v>29.979951394381878</v>
      </c>
      <c r="F125" s="168">
        <f t="shared" si="19"/>
        <v>313.06900401095913</v>
      </c>
      <c r="G125" s="172">
        <f>IF(A126&lt;=$C$8,C125-C126,0)</f>
        <v>36.729536222549939</v>
      </c>
      <c r="H125" s="113"/>
      <c r="I125" s="111"/>
      <c r="J125" s="154"/>
      <c r="K125" s="114"/>
      <c r="L125" s="111"/>
      <c r="M125" s="111"/>
      <c r="N125" s="111"/>
      <c r="O125" s="115"/>
      <c r="P125" s="116"/>
      <c r="Q125" s="117"/>
      <c r="R125" s="82"/>
    </row>
    <row r="126" spans="1:18">
      <c r="A126" s="163">
        <f t="shared" si="20"/>
        <v>50</v>
      </c>
      <c r="B126" s="152">
        <f t="shared" si="16"/>
        <v>24.553801733943406</v>
      </c>
      <c r="C126" s="145">
        <f>IF(A126&lt;=$C$8,100^2/($B$4^2*B126^2),C125)</f>
        <v>313.55002415670174</v>
      </c>
      <c r="D126" s="153">
        <f t="shared" si="17"/>
        <v>34.94875808093078</v>
      </c>
      <c r="E126" s="164">
        <f t="shared" si="18"/>
        <v>30.078779843687929</v>
      </c>
      <c r="F126" s="168">
        <f t="shared" si="19"/>
        <v>331.5145846482713</v>
      </c>
      <c r="G126" s="172">
        <f>IF(A127&lt;=$C$8,C126-C127,0)</f>
        <v>28.041589059301316</v>
      </c>
      <c r="H126" s="113"/>
      <c r="I126" s="111"/>
      <c r="J126" s="154"/>
      <c r="K126" s="114"/>
      <c r="L126" s="111"/>
      <c r="M126" s="111"/>
      <c r="N126" s="111"/>
      <c r="O126" s="115"/>
      <c r="P126" s="116"/>
      <c r="Q126" s="117"/>
      <c r="R126" s="82"/>
    </row>
    <row r="127" spans="1:18">
      <c r="A127" s="163">
        <f t="shared" si="20"/>
        <v>55</v>
      </c>
      <c r="B127" s="152">
        <f t="shared" si="16"/>
        <v>25.731357111216642</v>
      </c>
      <c r="C127" s="145">
        <f>IF(A127&lt;=$C$8,100^2/($B$4^2*B127^2),C126)</f>
        <v>285.50843509740042</v>
      </c>
      <c r="D127" s="153">
        <f t="shared" si="17"/>
        <v>36.514270334409645</v>
      </c>
      <c r="E127" s="164">
        <f t="shared" si="18"/>
        <v>29.897445169365728</v>
      </c>
      <c r="F127" s="168">
        <f t="shared" si="19"/>
        <v>344.92209729182821</v>
      </c>
      <c r="G127" s="172">
        <f>IF(A128&lt;=$C$8,C127-C128,0)</f>
        <v>22.115955130274642</v>
      </c>
      <c r="H127" s="113"/>
      <c r="I127" s="111"/>
      <c r="J127" s="154"/>
      <c r="K127" s="114"/>
      <c r="L127" s="111"/>
      <c r="M127" s="111"/>
      <c r="N127" s="111"/>
      <c r="O127" s="115"/>
      <c r="P127" s="116"/>
      <c r="Q127" s="117"/>
      <c r="R127" s="82"/>
    </row>
    <row r="128" spans="1:18">
      <c r="A128" s="163">
        <f t="shared" si="20"/>
        <v>60</v>
      </c>
      <c r="B128" s="152">
        <f t="shared" si="16"/>
        <v>26.789862111400492</v>
      </c>
      <c r="C128" s="145">
        <f>IF(A128&lt;=$C$8,100^2/($B$4^2*B128^2),C127)</f>
        <v>263.39247996712578</v>
      </c>
      <c r="D128" s="153">
        <f t="shared" si="17"/>
        <v>37.743320463060329</v>
      </c>
      <c r="E128" s="164">
        <f t="shared" si="18"/>
        <v>29.469547119501851</v>
      </c>
      <c r="F128" s="168">
        <f t="shared" si="19"/>
        <v>353.63585207294227</v>
      </c>
      <c r="G128" s="172">
        <f>IF(A129&lt;=$C$8,C128-C129,0)</f>
        <v>17.903317796608093</v>
      </c>
      <c r="H128" s="113"/>
      <c r="I128" s="111"/>
      <c r="J128" s="154"/>
      <c r="K128" s="114"/>
      <c r="L128" s="111"/>
      <c r="M128" s="111"/>
      <c r="N128" s="111"/>
      <c r="O128" s="115"/>
      <c r="P128" s="116"/>
      <c r="Q128" s="117"/>
      <c r="R128" s="82"/>
    </row>
    <row r="129" spans="1:18">
      <c r="A129" s="163">
        <f t="shared" si="20"/>
        <v>65</v>
      </c>
      <c r="B129" s="152">
        <f t="shared" si="16"/>
        <v>27.749553664181299</v>
      </c>
      <c r="C129" s="145">
        <f>IF(A129&lt;=$C$8,100^2/($B$4^2*B129^2),C128)</f>
        <v>245.48916217051769</v>
      </c>
      <c r="D129" s="153">
        <f t="shared" si="17"/>
        <v>38.663116830642679</v>
      </c>
      <c r="E129" s="164">
        <f t="shared" si="18"/>
        <v>28.821456793767251</v>
      </c>
      <c r="F129" s="168">
        <f t="shared" si="19"/>
        <v>357.96262836231824</v>
      </c>
      <c r="G129" s="172">
        <f>IF(A130&lt;=$C$8,C129-C130,0)</f>
        <v>0</v>
      </c>
      <c r="H129" s="113"/>
      <c r="I129" s="111"/>
      <c r="J129" s="154"/>
      <c r="K129" s="114"/>
      <c r="L129" s="111"/>
      <c r="M129" s="111"/>
      <c r="N129" s="111"/>
      <c r="O129" s="115"/>
      <c r="P129" s="116"/>
      <c r="Q129" s="117"/>
      <c r="R129" s="82"/>
    </row>
    <row r="130" spans="1:18">
      <c r="A130" s="163">
        <v>70</v>
      </c>
      <c r="B130" s="152">
        <f t="shared" si="16"/>
        <v>28.626116569254211</v>
      </c>
      <c r="C130" s="146">
        <f>IF(A130&lt;=$C$8,100^2/($B$4^2*B130^2),C129)</f>
        <v>245.48916217051769</v>
      </c>
      <c r="D130" s="153">
        <f t="shared" si="17"/>
        <v>38.690102564593914</v>
      </c>
      <c r="E130" s="164">
        <f t="shared" si="18"/>
        <v>28.861703916022808</v>
      </c>
      <c r="F130" s="168">
        <f t="shared" si="19"/>
        <v>369.53338354474806</v>
      </c>
      <c r="G130" s="172">
        <f>IF(A131&lt;=$C$8,C130-C131,0)</f>
        <v>0</v>
      </c>
      <c r="H130" s="124"/>
      <c r="I130" s="124"/>
      <c r="J130" s="174"/>
      <c r="K130" s="125"/>
      <c r="L130" s="82"/>
      <c r="M130" s="82"/>
      <c r="N130" s="82"/>
      <c r="O130" s="126"/>
      <c r="P130" s="82"/>
      <c r="Q130" s="127"/>
      <c r="R130" s="83"/>
    </row>
    <row r="131" spans="1:18" ht="13.8" thickBot="1">
      <c r="A131" s="165">
        <v>75</v>
      </c>
      <c r="B131" s="156">
        <f t="shared" si="16"/>
        <v>29.431856571860372</v>
      </c>
      <c r="C131" s="146">
        <f>IF(A131&lt;=$C$8,100^2/($B$4^2*B131^2),C130)</f>
        <v>245.48916217051769</v>
      </c>
      <c r="D131" s="157">
        <f t="shared" si="17"/>
        <v>38.494320544300166</v>
      </c>
      <c r="E131" s="166">
        <f t="shared" si="18"/>
        <v>28.570347441590304</v>
      </c>
      <c r="F131" s="169">
        <f t="shared" si="19"/>
        <v>375.87664605637605</v>
      </c>
      <c r="G131" s="175">
        <f>IF(A132&lt;=$C$8,C131-C132,0)</f>
        <v>245.48916217051769</v>
      </c>
      <c r="H131" s="133"/>
      <c r="I131" s="133"/>
      <c r="J131" s="176"/>
      <c r="K131" s="134"/>
      <c r="L131" s="135"/>
      <c r="M131" s="135"/>
      <c r="N131" s="135"/>
      <c r="O131" s="136"/>
      <c r="P131" s="135"/>
      <c r="Q131" s="137"/>
      <c r="R131" s="83"/>
    </row>
    <row r="132" spans="1:18">
      <c r="A132" s="138"/>
      <c r="B132" s="109"/>
      <c r="C132" s="110"/>
      <c r="D132" s="153"/>
      <c r="E132" s="111"/>
      <c r="F132" s="170"/>
      <c r="G132" s="177"/>
      <c r="H132" s="124"/>
      <c r="I132" s="124"/>
      <c r="J132" s="124"/>
      <c r="K132" s="124"/>
      <c r="L132" s="82"/>
      <c r="M132" s="82"/>
      <c r="N132" s="82"/>
      <c r="O132" s="82"/>
      <c r="P132" s="82"/>
      <c r="Q132" s="83"/>
      <c r="R132" s="83"/>
    </row>
    <row r="133" spans="1:18" s="67" customFormat="1">
      <c r="A133" s="138"/>
      <c r="B133" s="109"/>
      <c r="C133" s="110"/>
      <c r="D133" s="153"/>
      <c r="E133" s="111"/>
      <c r="F133" s="170"/>
      <c r="G133" s="177"/>
      <c r="H133" s="124"/>
      <c r="I133" s="124"/>
      <c r="J133" s="124"/>
      <c r="K133" s="124"/>
      <c r="L133" s="82"/>
      <c r="M133" s="82"/>
      <c r="N133" s="82"/>
      <c r="O133" s="82"/>
      <c r="P133" s="82"/>
      <c r="Q133" s="83"/>
      <c r="R133" s="83"/>
    </row>
    <row r="134" spans="1:18" s="67" customFormat="1">
      <c r="A134" s="163"/>
      <c r="B134" s="109"/>
      <c r="C134" s="110"/>
      <c r="D134" s="153"/>
      <c r="E134" s="111"/>
      <c r="F134" s="170"/>
      <c r="G134" s="177"/>
      <c r="H134" s="124"/>
      <c r="I134" s="124"/>
      <c r="J134" s="124"/>
      <c r="K134" s="124"/>
      <c r="L134" s="82"/>
      <c r="M134" s="82"/>
      <c r="N134" s="82"/>
      <c r="O134" s="82"/>
      <c r="P134" s="82"/>
      <c r="Q134" s="83"/>
      <c r="R134" s="83"/>
    </row>
    <row r="135" spans="1:18" s="67" customFormat="1">
      <c r="A135" s="163"/>
      <c r="B135" s="109"/>
      <c r="C135" s="110"/>
      <c r="D135" s="153"/>
      <c r="E135" s="111"/>
      <c r="F135" s="170"/>
      <c r="G135" s="177"/>
      <c r="H135" s="124"/>
      <c r="I135" s="124"/>
      <c r="J135" s="124"/>
      <c r="K135" s="124"/>
      <c r="L135" s="82"/>
      <c r="M135" s="82"/>
      <c r="N135" s="82"/>
      <c r="O135" s="82"/>
      <c r="P135" s="82"/>
      <c r="Q135" s="83"/>
      <c r="R135" s="83"/>
    </row>
    <row r="136" spans="1:18" s="67" customFormat="1">
      <c r="A136" s="163"/>
      <c r="B136" s="109"/>
      <c r="C136" s="110"/>
      <c r="D136" s="153"/>
      <c r="E136" s="111"/>
      <c r="F136" s="170"/>
      <c r="G136" s="177"/>
      <c r="H136" s="124"/>
      <c r="I136" s="124"/>
      <c r="J136" s="124"/>
      <c r="K136" s="124"/>
      <c r="L136" s="82"/>
      <c r="M136" s="82"/>
      <c r="N136" s="82"/>
      <c r="O136" s="82"/>
      <c r="P136" s="82"/>
      <c r="Q136" s="83"/>
      <c r="R136" s="83"/>
    </row>
    <row r="137" spans="1:18" s="67" customFormat="1">
      <c r="A137" s="163"/>
      <c r="B137" s="109"/>
      <c r="C137" s="110"/>
      <c r="D137" s="153"/>
      <c r="E137" s="111"/>
      <c r="F137" s="170"/>
      <c r="G137" s="177"/>
      <c r="H137" s="124"/>
      <c r="I137" s="124"/>
      <c r="J137" s="124"/>
      <c r="K137" s="124"/>
      <c r="L137" s="82"/>
      <c r="M137" s="82"/>
      <c r="N137" s="82"/>
      <c r="O137" s="82"/>
      <c r="P137" s="82"/>
      <c r="Q137" s="83"/>
      <c r="R137" s="83"/>
    </row>
    <row r="138" spans="1:18" s="67" customFormat="1">
      <c r="A138" s="163"/>
      <c r="B138" s="109"/>
      <c r="C138" s="110"/>
      <c r="D138" s="153"/>
      <c r="E138" s="111"/>
      <c r="F138" s="170"/>
      <c r="G138" s="177"/>
      <c r="H138" s="124"/>
      <c r="I138" s="124"/>
      <c r="J138" s="124"/>
      <c r="K138" s="124"/>
      <c r="L138" s="82"/>
      <c r="M138" s="82"/>
      <c r="N138" s="82"/>
      <c r="O138" s="82"/>
      <c r="P138" s="82"/>
      <c r="Q138" s="83"/>
      <c r="R138" s="83"/>
    </row>
    <row r="139" spans="1:18" s="67" customFormat="1">
      <c r="A139" s="163"/>
      <c r="B139" s="109"/>
      <c r="C139" s="110"/>
      <c r="D139" s="153"/>
      <c r="E139" s="111"/>
      <c r="F139" s="170"/>
      <c r="G139" s="177"/>
      <c r="H139" s="124"/>
      <c r="I139" s="124"/>
      <c r="J139" s="124"/>
      <c r="K139" s="124"/>
      <c r="L139" s="82"/>
      <c r="M139" s="82"/>
      <c r="N139" s="82"/>
      <c r="O139" s="82"/>
      <c r="P139" s="82"/>
      <c r="Q139" s="83"/>
      <c r="R139" s="83"/>
    </row>
    <row r="140" spans="1:18" s="67" customFormat="1">
      <c r="A140" s="163"/>
      <c r="B140" s="109"/>
      <c r="C140" s="110"/>
      <c r="D140" s="153"/>
      <c r="E140" s="111"/>
      <c r="F140" s="170"/>
      <c r="G140" s="177"/>
      <c r="H140" s="124"/>
      <c r="I140" s="124"/>
      <c r="J140" s="124"/>
      <c r="K140" s="124"/>
      <c r="L140" s="82"/>
      <c r="M140" s="82"/>
      <c r="N140" s="82"/>
      <c r="O140" s="82"/>
      <c r="P140" s="82"/>
      <c r="Q140" s="83"/>
      <c r="R140" s="83"/>
    </row>
    <row r="141" spans="1:18" s="67" customFormat="1" ht="13.8" thickBot="1">
      <c r="A141" s="163"/>
      <c r="B141" s="109"/>
      <c r="C141" s="110"/>
      <c r="D141" s="153"/>
      <c r="E141" s="111"/>
      <c r="F141" s="170"/>
      <c r="G141" s="177"/>
      <c r="H141" s="124"/>
      <c r="I141" s="124"/>
      <c r="J141" s="124"/>
      <c r="K141" s="124"/>
      <c r="L141" s="82"/>
      <c r="M141" s="82"/>
      <c r="N141" s="82"/>
      <c r="O141" s="82"/>
      <c r="P141" s="82"/>
      <c r="Q141" s="83"/>
      <c r="R141" s="83"/>
    </row>
    <row r="142" spans="1:18" ht="13.8" thickBot="1">
      <c r="A142" s="216" t="s">
        <v>0</v>
      </c>
      <c r="B142" s="218" t="s">
        <v>69</v>
      </c>
      <c r="C142" s="218"/>
      <c r="D142" s="218"/>
      <c r="E142" s="219"/>
      <c r="F142" s="218"/>
      <c r="G142" s="220" t="s">
        <v>70</v>
      </c>
      <c r="H142" s="221"/>
      <c r="I142" s="221"/>
      <c r="J142" s="222"/>
      <c r="K142" s="220" t="s">
        <v>71</v>
      </c>
      <c r="L142" s="221"/>
      <c r="M142" s="221"/>
      <c r="N142" s="222"/>
      <c r="O142" s="223" t="s">
        <v>6</v>
      </c>
      <c r="P142" s="225" t="s">
        <v>56</v>
      </c>
      <c r="Q142" s="226"/>
      <c r="R142" s="82"/>
    </row>
    <row r="143" spans="1:18" ht="16.2" thickBot="1">
      <c r="A143" s="217"/>
      <c r="B143" s="84" t="s">
        <v>1</v>
      </c>
      <c r="C143" s="85" t="s">
        <v>2</v>
      </c>
      <c r="D143" s="85" t="s">
        <v>3</v>
      </c>
      <c r="E143" s="86" t="s">
        <v>57</v>
      </c>
      <c r="F143" s="85" t="s">
        <v>58</v>
      </c>
      <c r="G143" s="87" t="s">
        <v>60</v>
      </c>
      <c r="H143" s="88" t="s">
        <v>3</v>
      </c>
      <c r="I143" s="88" t="s">
        <v>72</v>
      </c>
      <c r="J143" s="86" t="s">
        <v>59</v>
      </c>
      <c r="K143" s="85" t="s">
        <v>73</v>
      </c>
      <c r="L143" s="85" t="s">
        <v>74</v>
      </c>
      <c r="M143" s="85" t="s">
        <v>75</v>
      </c>
      <c r="N143" s="85" t="s">
        <v>76</v>
      </c>
      <c r="O143" s="224"/>
      <c r="P143" s="89" t="s">
        <v>61</v>
      </c>
      <c r="Q143" s="89" t="s">
        <v>62</v>
      </c>
      <c r="R143" s="90" t="s">
        <v>77</v>
      </c>
    </row>
    <row r="144" spans="1:18" ht="13.8" thickBot="1">
      <c r="A144" s="140">
        <v>15</v>
      </c>
      <c r="B144" s="93">
        <f>EXP(4.04764-8.75819/A144^0.56087)+1.19874*(1-EXP(-0.081*A144))^2.99578*($B$5-17.38)</f>
        <v>9.5085291059454633</v>
      </c>
      <c r="C144" s="141">
        <f>$B$6</f>
        <v>2200</v>
      </c>
      <c r="D144" s="142"/>
      <c r="E144" s="94"/>
      <c r="F144" s="147"/>
      <c r="G144" s="95"/>
      <c r="H144" s="94"/>
      <c r="I144" s="94"/>
      <c r="J144" s="94"/>
      <c r="K144" s="144"/>
      <c r="L144" s="142"/>
      <c r="M144" s="142"/>
      <c r="N144" s="142"/>
      <c r="O144" s="97"/>
      <c r="P144" s="148"/>
      <c r="Q144" s="160"/>
      <c r="R144" s="90"/>
    </row>
    <row r="145" spans="1:18">
      <c r="A145" s="161">
        <v>15</v>
      </c>
      <c r="B145" s="149">
        <f>EXP(4.04764-8.75819/A145^0.56087)+1.19874*(1-EXP(-0.081*A145))^2.99578*($B$5-17.38)</f>
        <v>9.5085291059454633</v>
      </c>
      <c r="C145" s="145">
        <f>IF(A145&lt;=$C$8,100^2/($B$4^2*B145^2),C144)</f>
        <v>2090.8248228660891</v>
      </c>
      <c r="D145" s="150">
        <f>(-7.5886+0.6547*B145+0.3669*A145+299.909*(1/SQRT(C145))-0.003528*A145^2)</f>
        <v>9.9052289536229896</v>
      </c>
      <c r="E145" s="162">
        <f>(PI()/4*(D145/100)^2)*C145</f>
        <v>16.111521893899372</v>
      </c>
      <c r="F145" s="167">
        <f>0.2768*E145+0.4376*E145*B145</f>
        <v>71.498621703001916</v>
      </c>
      <c r="G145" s="171">
        <f>C145-C146</f>
        <v>940.60147088805911</v>
      </c>
      <c r="H145" s="178">
        <f>6.3167+0.01803*D145^2-0.005994*G145+18.1328*(G145/C145)</f>
        <v>10.60514329777968</v>
      </c>
      <c r="I145" s="101"/>
      <c r="J145" s="151"/>
      <c r="K145" s="104"/>
      <c r="L145" s="101"/>
      <c r="M145" s="101"/>
      <c r="N145" s="101"/>
      <c r="O145" s="105"/>
      <c r="P145" s="106"/>
      <c r="Q145" s="107"/>
      <c r="R145" s="82"/>
    </row>
    <row r="146" spans="1:18">
      <c r="A146" s="163">
        <f>A145+pdesb</f>
        <v>20</v>
      </c>
      <c r="B146" s="152">
        <f t="shared" ref="B146:B157" si="21">EXP(4.04764-8.75819/A146^0.56087)+1.19874*(1-EXP(-0.081*A146))^2.99578*($B$5-17.38)</f>
        <v>12.819794801507502</v>
      </c>
      <c r="C146" s="145">
        <f>IF(A146&lt;=$C$8,100^2/($B$4^2*B146^2),C145)</f>
        <v>1150.22335197803</v>
      </c>
      <c r="D146" s="153">
        <f t="shared" ref="D146:D157" si="22">(-7.5886+0.6547*B146+0.3669*A146+299.909*(1/SQRT(C146))-0.003528*A146^2)</f>
        <v>15.574294886535185</v>
      </c>
      <c r="E146" s="164">
        <f t="shared" ref="E146:E157" si="23">(PI()/4*(D146/100)^2)*C146</f>
        <v>21.912344578448636</v>
      </c>
      <c r="F146" s="168">
        <f t="shared" ref="F146:F157" si="24">0.2768*E146+0.4376*E146*B146</f>
        <v>128.9923236435173</v>
      </c>
      <c r="G146" s="172">
        <f>C146-C147</f>
        <v>375.70209283897009</v>
      </c>
      <c r="H146" s="179">
        <f t="shared" ref="H146:H157" si="25">6.3167+0.01803*D146^2-0.005994*G146+18.1328*(G146/C146)</f>
        <v>14.36086391915218</v>
      </c>
      <c r="I146" s="173"/>
      <c r="J146" s="154"/>
      <c r="K146" s="114"/>
      <c r="L146" s="111"/>
      <c r="M146" s="111"/>
      <c r="N146" s="111"/>
      <c r="O146" s="115"/>
      <c r="P146" s="116"/>
      <c r="Q146" s="117"/>
      <c r="R146" s="82"/>
    </row>
    <row r="147" spans="1:18">
      <c r="A147" s="163">
        <f t="shared" ref="A147:A155" si="26">A146+pdesb</f>
        <v>25</v>
      </c>
      <c r="B147" s="152">
        <f t="shared" si="21"/>
        <v>15.622678395248585</v>
      </c>
      <c r="C147" s="145">
        <f>IF(A147&lt;=$C$8,100^2/($B$4^2*B147^2),C146)</f>
        <v>774.52125913905991</v>
      </c>
      <c r="D147" s="153">
        <f t="shared" si="22"/>
        <v>20.383445811502646</v>
      </c>
      <c r="E147" s="164">
        <f t="shared" si="23"/>
        <v>25.274258931963477</v>
      </c>
      <c r="F147" s="168">
        <f t="shared" si="24"/>
        <v>179.78298333464787</v>
      </c>
      <c r="G147" s="172">
        <f t="shared" ref="G147:G156" si="27">C147-C148</f>
        <v>190.35476698454966</v>
      </c>
      <c r="H147" s="179">
        <f t="shared" si="25"/>
        <v>17.123419717915027</v>
      </c>
      <c r="I147" s="111"/>
      <c r="J147" s="154"/>
      <c r="K147" s="114"/>
      <c r="L147" s="111"/>
      <c r="M147" s="111"/>
      <c r="N147" s="111"/>
      <c r="O147" s="115"/>
      <c r="P147" s="116"/>
      <c r="Q147" s="117"/>
      <c r="R147" s="82"/>
    </row>
    <row r="148" spans="1:18">
      <c r="A148" s="163">
        <f t="shared" si="26"/>
        <v>30</v>
      </c>
      <c r="B148" s="152">
        <f t="shared" si="21"/>
        <v>17.988868326662203</v>
      </c>
      <c r="C148" s="145">
        <f>IF(A148&lt;=$C$8,100^2/($B$4^2*B148^2),C147)</f>
        <v>584.16649215451025</v>
      </c>
      <c r="D148" s="153">
        <f t="shared" si="22"/>
        <v>24.429066168721892</v>
      </c>
      <c r="E148" s="164">
        <f t="shared" si="23"/>
        <v>27.380429429173205</v>
      </c>
      <c r="F148" s="168">
        <f t="shared" si="24"/>
        <v>223.11569329134582</v>
      </c>
      <c r="G148" s="172">
        <f t="shared" si="27"/>
        <v>111.57481285277856</v>
      </c>
      <c r="H148" s="179">
        <f t="shared" si="25"/>
        <v>19.871185038184535</v>
      </c>
      <c r="I148" s="111"/>
      <c r="J148" s="154"/>
      <c r="K148" s="114"/>
      <c r="L148" s="111"/>
      <c r="M148" s="111"/>
      <c r="N148" s="111"/>
      <c r="O148" s="115"/>
      <c r="P148" s="116"/>
      <c r="Q148" s="117"/>
      <c r="R148" s="82"/>
    </row>
    <row r="149" spans="1:18">
      <c r="A149" s="163">
        <f t="shared" si="26"/>
        <v>35</v>
      </c>
      <c r="B149" s="152">
        <f t="shared" si="21"/>
        <v>19.99996006609496</v>
      </c>
      <c r="C149" s="145">
        <f>IF(A149&lt;=$C$8,100^2/($B$4^2*B149^2),C148)</f>
        <v>472.59167930173169</v>
      </c>
      <c r="D149" s="153">
        <f t="shared" si="22"/>
        <v>27.820860309236064</v>
      </c>
      <c r="E149" s="164">
        <f t="shared" si="23"/>
        <v>28.728772061012613</v>
      </c>
      <c r="F149" s="168">
        <f t="shared" si="24"/>
        <v>259.3858351469712</v>
      </c>
      <c r="G149" s="172">
        <f t="shared" si="27"/>
        <v>72.178911758667141</v>
      </c>
      <c r="H149" s="179">
        <f t="shared" si="25"/>
        <v>22.608706393508037</v>
      </c>
      <c r="I149" s="111"/>
      <c r="J149" s="154"/>
      <c r="K149" s="114"/>
      <c r="L149" s="111"/>
      <c r="M149" s="111"/>
      <c r="N149" s="111"/>
      <c r="O149" s="115"/>
      <c r="P149" s="116"/>
      <c r="Q149" s="117"/>
      <c r="R149" s="82"/>
    </row>
    <row r="150" spans="1:18">
      <c r="A150" s="163">
        <f t="shared" si="26"/>
        <v>40</v>
      </c>
      <c r="B150" s="152">
        <f t="shared" si="21"/>
        <v>21.727922598897567</v>
      </c>
      <c r="C150" s="145">
        <f>IF(A150&lt;=$C$8,100^2/($B$4^2*B150^2),C149)</f>
        <v>400.41276754306455</v>
      </c>
      <c r="D150" s="153">
        <f t="shared" si="22"/>
        <v>30.655589864537607</v>
      </c>
      <c r="E150" s="164">
        <f t="shared" si="23"/>
        <v>29.554060121803456</v>
      </c>
      <c r="F150" s="168">
        <f t="shared" si="24"/>
        <v>289.18467340404459</v>
      </c>
      <c r="G150" s="172">
        <f t="shared" si="27"/>
        <v>50.13320716381287</v>
      </c>
      <c r="H150" s="179">
        <f t="shared" si="25"/>
        <v>25.230463717043527</v>
      </c>
      <c r="I150" s="111"/>
      <c r="J150" s="154"/>
      <c r="K150" s="114"/>
      <c r="L150" s="111"/>
      <c r="M150" s="111"/>
      <c r="N150" s="111"/>
      <c r="O150" s="115"/>
      <c r="P150" s="116"/>
      <c r="Q150" s="117"/>
      <c r="R150" s="82"/>
    </row>
    <row r="151" spans="1:18">
      <c r="A151" s="163">
        <f t="shared" si="26"/>
        <v>45</v>
      </c>
      <c r="B151" s="152">
        <f t="shared" si="21"/>
        <v>23.230832101091192</v>
      </c>
      <c r="C151" s="145">
        <f>IF(A151&lt;=$C$8,100^2/($B$4^2*B151^2),C150)</f>
        <v>350.27956037925168</v>
      </c>
      <c r="D151" s="153">
        <f t="shared" si="22"/>
        <v>33.01133771317857</v>
      </c>
      <c r="E151" s="164">
        <f t="shared" si="23"/>
        <v>29.979951394381878</v>
      </c>
      <c r="F151" s="168">
        <f t="shared" si="24"/>
        <v>313.06900401095913</v>
      </c>
      <c r="G151" s="172">
        <f t="shared" si="27"/>
        <v>36.729536222549939</v>
      </c>
      <c r="H151" s="179">
        <f t="shared" si="25"/>
        <v>27.64607223821206</v>
      </c>
      <c r="I151" s="111"/>
      <c r="J151" s="154"/>
      <c r="K151" s="114"/>
      <c r="L151" s="111"/>
      <c r="M151" s="111"/>
      <c r="N151" s="111"/>
      <c r="O151" s="115"/>
      <c r="P151" s="116"/>
      <c r="Q151" s="117"/>
      <c r="R151" s="82"/>
    </row>
    <row r="152" spans="1:18">
      <c r="A152" s="163">
        <f t="shared" si="26"/>
        <v>50</v>
      </c>
      <c r="B152" s="152">
        <f t="shared" si="21"/>
        <v>24.553801733943406</v>
      </c>
      <c r="C152" s="145">
        <f>IF(A152&lt;=$C$8,100^2/($B$4^2*B152^2),C151)</f>
        <v>313.55002415670174</v>
      </c>
      <c r="D152" s="153">
        <f t="shared" si="22"/>
        <v>34.94875808093078</v>
      </c>
      <c r="E152" s="164">
        <f t="shared" si="23"/>
        <v>30.078779843687929</v>
      </c>
      <c r="F152" s="168">
        <f t="shared" si="24"/>
        <v>331.5145846482713</v>
      </c>
      <c r="G152" s="172">
        <f t="shared" si="27"/>
        <v>28.041589059301316</v>
      </c>
      <c r="H152" s="179">
        <f t="shared" si="25"/>
        <v>29.792406801004816</v>
      </c>
      <c r="I152" s="111"/>
      <c r="J152" s="154"/>
      <c r="K152" s="114"/>
      <c r="L152" s="111"/>
      <c r="M152" s="111"/>
      <c r="N152" s="111"/>
      <c r="O152" s="115"/>
      <c r="P152" s="116"/>
      <c r="Q152" s="117"/>
      <c r="R152" s="82"/>
    </row>
    <row r="153" spans="1:18">
      <c r="A153" s="163">
        <f t="shared" si="26"/>
        <v>55</v>
      </c>
      <c r="B153" s="152">
        <f t="shared" si="21"/>
        <v>25.731357111216642</v>
      </c>
      <c r="C153" s="145">
        <f>IF(A153&lt;=$C$8,100^2/($B$4^2*B153^2),C152)</f>
        <v>285.50843509740042</v>
      </c>
      <c r="D153" s="153">
        <f t="shared" si="22"/>
        <v>36.514270334409645</v>
      </c>
      <c r="E153" s="164">
        <f t="shared" si="23"/>
        <v>29.897445169365728</v>
      </c>
      <c r="F153" s="168">
        <f t="shared" si="24"/>
        <v>344.92209729182821</v>
      </c>
      <c r="G153" s="172">
        <f t="shared" si="27"/>
        <v>22.115955130274642</v>
      </c>
      <c r="H153" s="179">
        <f t="shared" si="25"/>
        <v>31.627987257024213</v>
      </c>
      <c r="I153" s="111"/>
      <c r="J153" s="154"/>
      <c r="K153" s="114"/>
      <c r="L153" s="111"/>
      <c r="M153" s="111"/>
      <c r="N153" s="111"/>
      <c r="O153" s="115"/>
      <c r="P153" s="116"/>
      <c r="Q153" s="117"/>
      <c r="R153" s="82"/>
    </row>
    <row r="154" spans="1:18">
      <c r="A154" s="163">
        <f t="shared" si="26"/>
        <v>60</v>
      </c>
      <c r="B154" s="152">
        <f t="shared" si="21"/>
        <v>26.789862111400492</v>
      </c>
      <c r="C154" s="145">
        <f>IF(A154&lt;=$C$8,100^2/($B$4^2*B154^2),C153)</f>
        <v>263.39247996712578</v>
      </c>
      <c r="D154" s="153">
        <f t="shared" si="22"/>
        <v>37.743320463060329</v>
      </c>
      <c r="E154" s="164">
        <f t="shared" si="23"/>
        <v>29.469547119501851</v>
      </c>
      <c r="F154" s="168">
        <f t="shared" si="24"/>
        <v>353.63585207294227</v>
      </c>
      <c r="G154" s="172">
        <f t="shared" si="27"/>
        <v>17.903317796608093</v>
      </c>
      <c r="H154" s="179">
        <f t="shared" si="25"/>
        <v>33.126695539886633</v>
      </c>
      <c r="I154" s="111"/>
      <c r="J154" s="154"/>
      <c r="K154" s="114"/>
      <c r="L154" s="111"/>
      <c r="M154" s="111"/>
      <c r="N154" s="111"/>
      <c r="O154" s="115"/>
      <c r="P154" s="116"/>
      <c r="Q154" s="117"/>
      <c r="R154" s="82"/>
    </row>
    <row r="155" spans="1:18">
      <c r="A155" s="163">
        <f t="shared" si="26"/>
        <v>65</v>
      </c>
      <c r="B155" s="152">
        <f t="shared" si="21"/>
        <v>27.749553664181299</v>
      </c>
      <c r="C155" s="145">
        <f>IF(A155&lt;=$C$8,100^2/($B$4^2*B155^2),C154)</f>
        <v>245.48916217051769</v>
      </c>
      <c r="D155" s="153">
        <f t="shared" si="22"/>
        <v>38.663116830642679</v>
      </c>
      <c r="E155" s="164">
        <f t="shared" si="23"/>
        <v>28.821456793767251</v>
      </c>
      <c r="F155" s="168">
        <f t="shared" si="24"/>
        <v>357.96262836231824</v>
      </c>
      <c r="G155" s="172">
        <f>C155-C156</f>
        <v>0</v>
      </c>
      <c r="H155" s="179">
        <f>6.3167+0.01803*D155^2-0.005994*G155+18.1328*(G155/C155)</f>
        <v>33.268603953170455</v>
      </c>
      <c r="I155" s="111"/>
      <c r="J155" s="154"/>
      <c r="K155" s="114"/>
      <c r="L155" s="111"/>
      <c r="M155" s="111"/>
      <c r="N155" s="111"/>
      <c r="O155" s="115"/>
      <c r="P155" s="116"/>
      <c r="Q155" s="117"/>
      <c r="R155" s="82"/>
    </row>
    <row r="156" spans="1:18">
      <c r="A156" s="163">
        <v>70</v>
      </c>
      <c r="B156" s="152">
        <f t="shared" si="21"/>
        <v>28.626116569254211</v>
      </c>
      <c r="C156" s="146">
        <f>IF(A156&lt;=$C$8,100^2/($B$4^2*B156^2),C155)</f>
        <v>245.48916217051769</v>
      </c>
      <c r="D156" s="153">
        <f t="shared" si="22"/>
        <v>38.690102564593914</v>
      </c>
      <c r="E156" s="164">
        <f t="shared" si="23"/>
        <v>28.861703916022808</v>
      </c>
      <c r="F156" s="168">
        <f t="shared" si="24"/>
        <v>369.53338354474806</v>
      </c>
      <c r="G156" s="172">
        <f t="shared" si="27"/>
        <v>0</v>
      </c>
      <c r="H156" s="179">
        <f t="shared" si="25"/>
        <v>33.306240377352104</v>
      </c>
      <c r="I156" s="124"/>
      <c r="J156" s="174"/>
      <c r="K156" s="125"/>
      <c r="L156" s="82"/>
      <c r="M156" s="82"/>
      <c r="N156" s="82"/>
      <c r="O156" s="126"/>
      <c r="P156" s="82"/>
      <c r="Q156" s="127"/>
      <c r="R156" s="83"/>
    </row>
    <row r="157" spans="1:18" ht="13.8" thickBot="1">
      <c r="A157" s="165">
        <v>75</v>
      </c>
      <c r="B157" s="156">
        <f t="shared" si="21"/>
        <v>29.431856571860372</v>
      </c>
      <c r="C157" s="146">
        <f>IF(A157&lt;=$C$8,100^2/($B$4^2*B157^2),C156)</f>
        <v>245.48916217051769</v>
      </c>
      <c r="D157" s="157">
        <f t="shared" si="22"/>
        <v>38.494320544300166</v>
      </c>
      <c r="E157" s="166">
        <f t="shared" si="23"/>
        <v>28.570347441590304</v>
      </c>
      <c r="F157" s="169">
        <f t="shared" si="24"/>
        <v>375.87664605637605</v>
      </c>
      <c r="G157" s="175">
        <f>C157-C158</f>
        <v>245.48916217051769</v>
      </c>
      <c r="H157" s="180">
        <f t="shared" si="25"/>
        <v>49.695121198386872</v>
      </c>
      <c r="I157" s="133"/>
      <c r="J157" s="176"/>
      <c r="K157" s="134"/>
      <c r="L157" s="135"/>
      <c r="M157" s="135"/>
      <c r="N157" s="135"/>
      <c r="O157" s="136"/>
      <c r="P157" s="135"/>
      <c r="Q157" s="137"/>
      <c r="R157" s="83"/>
    </row>
    <row r="158" spans="1:18">
      <c r="A158" s="138"/>
      <c r="B158" s="109"/>
      <c r="C158" s="145"/>
      <c r="D158" s="122"/>
      <c r="E158" s="122"/>
      <c r="F158" s="122"/>
      <c r="G158" s="139"/>
      <c r="H158" s="124"/>
      <c r="I158" s="124"/>
      <c r="J158" s="124"/>
      <c r="K158" s="124"/>
      <c r="L158" s="82"/>
      <c r="M158" s="82"/>
      <c r="N158" s="82"/>
      <c r="O158" s="82"/>
      <c r="P158" s="82"/>
      <c r="Q158" s="83"/>
      <c r="R158" s="83"/>
    </row>
    <row r="159" spans="1:18" s="67" customFormat="1">
      <c r="A159" s="138"/>
      <c r="B159" s="109"/>
      <c r="C159" s="110"/>
      <c r="D159" s="122"/>
      <c r="E159" s="122"/>
      <c r="F159" s="122"/>
      <c r="G159" s="139"/>
      <c r="H159" s="124"/>
      <c r="I159" s="124"/>
      <c r="J159" s="124"/>
      <c r="K159" s="124"/>
      <c r="L159" s="82"/>
      <c r="M159" s="82"/>
      <c r="N159" s="82"/>
      <c r="O159" s="82"/>
      <c r="P159" s="82"/>
      <c r="Q159" s="83"/>
      <c r="R159" s="83"/>
    </row>
    <row r="160" spans="1:18" s="67" customFormat="1">
      <c r="A160" s="138"/>
      <c r="B160" s="109"/>
      <c r="C160" s="110"/>
      <c r="D160" s="122"/>
      <c r="E160" s="122"/>
      <c r="F160" s="122"/>
      <c r="G160" s="139"/>
      <c r="H160" s="124"/>
      <c r="I160" s="124"/>
      <c r="J160" s="124"/>
      <c r="K160" s="124"/>
      <c r="L160" s="82"/>
      <c r="M160" s="82"/>
      <c r="N160" s="82"/>
      <c r="O160" s="82"/>
      <c r="P160" s="82"/>
      <c r="Q160" s="83"/>
      <c r="R160" s="83"/>
    </row>
    <row r="161" spans="1:18" s="67" customFormat="1" ht="13.8" thickBot="1">
      <c r="A161" s="138"/>
      <c r="B161" s="109"/>
      <c r="C161" s="110"/>
      <c r="D161" s="122"/>
      <c r="E161" s="122"/>
      <c r="F161" s="122"/>
      <c r="G161" s="139"/>
      <c r="H161" s="124"/>
      <c r="I161" s="124"/>
      <c r="J161" s="124"/>
      <c r="K161" s="124"/>
      <c r="L161" s="82"/>
      <c r="M161" s="82"/>
      <c r="N161" s="82"/>
      <c r="O161" s="82"/>
      <c r="P161" s="82"/>
      <c r="Q161" s="83"/>
      <c r="R161" s="83"/>
    </row>
    <row r="162" spans="1:18" ht="13.8" thickBot="1">
      <c r="A162" s="216" t="s">
        <v>0</v>
      </c>
      <c r="B162" s="218" t="s">
        <v>69</v>
      </c>
      <c r="C162" s="218"/>
      <c r="D162" s="218"/>
      <c r="E162" s="219"/>
      <c r="F162" s="218"/>
      <c r="G162" s="220" t="s">
        <v>70</v>
      </c>
      <c r="H162" s="221"/>
      <c r="I162" s="221"/>
      <c r="J162" s="222"/>
      <c r="K162" s="220" t="s">
        <v>71</v>
      </c>
      <c r="L162" s="221"/>
      <c r="M162" s="221"/>
      <c r="N162" s="222"/>
      <c r="O162" s="223" t="s">
        <v>6</v>
      </c>
      <c r="P162" s="225" t="s">
        <v>56</v>
      </c>
      <c r="Q162" s="226"/>
      <c r="R162" s="82"/>
    </row>
    <row r="163" spans="1:18" ht="16.2" thickBot="1">
      <c r="A163" s="217"/>
      <c r="B163" s="84" t="s">
        <v>1</v>
      </c>
      <c r="C163" s="85" t="s">
        <v>2</v>
      </c>
      <c r="D163" s="85" t="s">
        <v>3</v>
      </c>
      <c r="E163" s="86" t="s">
        <v>57</v>
      </c>
      <c r="F163" s="85" t="s">
        <v>58</v>
      </c>
      <c r="G163" s="87" t="s">
        <v>60</v>
      </c>
      <c r="H163" s="88" t="s">
        <v>3</v>
      </c>
      <c r="I163" s="88" t="s">
        <v>72</v>
      </c>
      <c r="J163" s="86" t="s">
        <v>59</v>
      </c>
      <c r="K163" s="85" t="s">
        <v>73</v>
      </c>
      <c r="L163" s="85" t="s">
        <v>74</v>
      </c>
      <c r="M163" s="85" t="s">
        <v>75</v>
      </c>
      <c r="N163" s="85" t="s">
        <v>76</v>
      </c>
      <c r="O163" s="224"/>
      <c r="P163" s="89" t="s">
        <v>61</v>
      </c>
      <c r="Q163" s="89" t="s">
        <v>62</v>
      </c>
      <c r="R163" s="90" t="s">
        <v>77</v>
      </c>
    </row>
    <row r="164" spans="1:18" ht="13.8" thickBot="1">
      <c r="A164" s="140">
        <v>15</v>
      </c>
      <c r="B164" s="93">
        <f>EXP(4.04764-8.75819/A164^0.56087)+1.19874*(1-EXP(-0.081*A164))^2.99578*($B$5-17.38)</f>
        <v>9.5085291059454633</v>
      </c>
      <c r="C164" s="141">
        <f>$B$6</f>
        <v>2200</v>
      </c>
      <c r="D164" s="142"/>
      <c r="E164" s="94"/>
      <c r="F164" s="142"/>
      <c r="G164" s="95"/>
      <c r="H164" s="94"/>
      <c r="I164" s="94"/>
      <c r="J164" s="94"/>
      <c r="K164" s="142"/>
      <c r="L164" s="142"/>
      <c r="M164" s="142"/>
      <c r="N164" s="142"/>
      <c r="O164" s="97"/>
      <c r="P164" s="148"/>
      <c r="Q164" s="160"/>
      <c r="R164" s="90"/>
    </row>
    <row r="165" spans="1:18">
      <c r="A165" s="161">
        <v>15</v>
      </c>
      <c r="B165" s="149">
        <f>EXP(4.04764-8.75819/A165^0.56087)+1.19874*(1-EXP(-0.081*A165))^2.99578*($B$5-17.38)</f>
        <v>9.5085291059454633</v>
      </c>
      <c r="C165" s="145">
        <f>IF(A165&lt;=$C$8,100^2/($B$4^2*B165^2),C164)</f>
        <v>2090.8248228660891</v>
      </c>
      <c r="D165" s="150">
        <f>(-7.5886+0.6547*B165+0.3669*A165+299.909*(1/SQRT(C165))-0.003528*A165^2)</f>
        <v>9.9052289536229896</v>
      </c>
      <c r="E165" s="162">
        <f>(PI()/4*(D165/100)^2)*C165</f>
        <v>16.111521893899372</v>
      </c>
      <c r="F165" s="181">
        <f>0.2768*E165+0.4376*E165*B165</f>
        <v>71.498621703001916</v>
      </c>
      <c r="G165" s="171">
        <f>C165-C166</f>
        <v>940.60147088805911</v>
      </c>
      <c r="H165" s="178">
        <f>6.3167+0.01803*D165^2-0.005994*G165+18.1328*(G165/C165)</f>
        <v>10.60514329777968</v>
      </c>
      <c r="I165" s="162">
        <f>(PI()/4*(H165/100)^2)*G165</f>
        <v>8.3086146522791804</v>
      </c>
      <c r="J165" s="151"/>
      <c r="K165" s="182"/>
      <c r="L165" s="101"/>
      <c r="M165" s="101"/>
      <c r="N165" s="101"/>
      <c r="O165" s="105"/>
      <c r="P165" s="106"/>
      <c r="Q165" s="107"/>
      <c r="R165" s="82"/>
    </row>
    <row r="166" spans="1:18">
      <c r="A166" s="163">
        <f>A165+pdesb</f>
        <v>20</v>
      </c>
      <c r="B166" s="152">
        <f t="shared" ref="B166:B177" si="28">EXP(4.04764-8.75819/A166^0.56087)+1.19874*(1-EXP(-0.081*A166))^2.99578*($B$5-17.38)</f>
        <v>12.819794801507502</v>
      </c>
      <c r="C166" s="145">
        <f>IF(A166&lt;=$C$8,100^2/($B$4^2*B166^2),C165)</f>
        <v>1150.22335197803</v>
      </c>
      <c r="D166" s="153">
        <f t="shared" ref="D166:D177" si="29">(-7.5886+0.6547*B166+0.3669*A166+299.909*(1/SQRT(C166))-0.003528*A166^2)</f>
        <v>15.574294886535185</v>
      </c>
      <c r="E166" s="164">
        <f t="shared" ref="E166:E177" si="30">(PI()/4*(D166/100)^2)*C166</f>
        <v>21.912344578448636</v>
      </c>
      <c r="F166" s="170">
        <f t="shared" ref="F166:F177" si="31">0.2768*E166+0.4376*E166*B166</f>
        <v>128.9923236435173</v>
      </c>
      <c r="G166" s="172">
        <f t="shared" ref="G166:G176" si="32">C166-C167</f>
        <v>375.70209283897009</v>
      </c>
      <c r="H166" s="179">
        <f t="shared" ref="H166:H176" si="33">6.3167+0.01803*D166^2-0.005994*G166+18.1328*(G166/C166)</f>
        <v>14.36086391915218</v>
      </c>
      <c r="I166" s="164">
        <f t="shared" ref="I166:I176" si="34">(PI()/4*(H166/100)^2)*G166</f>
        <v>6.0854770583989177</v>
      </c>
      <c r="J166" s="154"/>
      <c r="K166" s="183"/>
      <c r="L166" s="111"/>
      <c r="M166" s="111"/>
      <c r="N166" s="111"/>
      <c r="O166" s="115"/>
      <c r="P166" s="116"/>
      <c r="Q166" s="117"/>
      <c r="R166" s="82"/>
    </row>
    <row r="167" spans="1:18">
      <c r="A167" s="163">
        <f t="shared" ref="A167:A175" si="35">A166+pdesb</f>
        <v>25</v>
      </c>
      <c r="B167" s="152">
        <f t="shared" si="28"/>
        <v>15.622678395248585</v>
      </c>
      <c r="C167" s="145">
        <f>IF(A167&lt;=$C$8,100^2/($B$4^2*B167^2),C166)</f>
        <v>774.52125913905991</v>
      </c>
      <c r="D167" s="153">
        <f t="shared" si="29"/>
        <v>20.383445811502646</v>
      </c>
      <c r="E167" s="164">
        <f t="shared" si="30"/>
        <v>25.274258931963477</v>
      </c>
      <c r="F167" s="170">
        <f t="shared" si="31"/>
        <v>179.78298333464787</v>
      </c>
      <c r="G167" s="172">
        <f t="shared" si="32"/>
        <v>190.35476698454966</v>
      </c>
      <c r="H167" s="179">
        <f t="shared" si="33"/>
        <v>17.123419717915027</v>
      </c>
      <c r="I167" s="164">
        <f t="shared" si="34"/>
        <v>4.383637590452258</v>
      </c>
      <c r="J167" s="154"/>
      <c r="K167" s="183"/>
      <c r="L167" s="111"/>
      <c r="M167" s="111"/>
      <c r="N167" s="111"/>
      <c r="O167" s="115"/>
      <c r="P167" s="116"/>
      <c r="Q167" s="117"/>
      <c r="R167" s="82"/>
    </row>
    <row r="168" spans="1:18">
      <c r="A168" s="163">
        <f t="shared" si="35"/>
        <v>30</v>
      </c>
      <c r="B168" s="152">
        <f t="shared" si="28"/>
        <v>17.988868326662203</v>
      </c>
      <c r="C168" s="145">
        <f>IF(A168&lt;=$C$8,100^2/($B$4^2*B168^2),C167)</f>
        <v>584.16649215451025</v>
      </c>
      <c r="D168" s="153">
        <f t="shared" si="29"/>
        <v>24.429066168721892</v>
      </c>
      <c r="E168" s="164">
        <f t="shared" si="30"/>
        <v>27.380429429173205</v>
      </c>
      <c r="F168" s="170">
        <f t="shared" si="31"/>
        <v>223.11569329134582</v>
      </c>
      <c r="G168" s="172">
        <f t="shared" si="32"/>
        <v>111.57481285277856</v>
      </c>
      <c r="H168" s="179">
        <f t="shared" si="33"/>
        <v>19.871185038184535</v>
      </c>
      <c r="I168" s="164">
        <f t="shared" si="34"/>
        <v>3.4602189750321761</v>
      </c>
      <c r="J168" s="154"/>
      <c r="K168" s="183"/>
      <c r="L168" s="111"/>
      <c r="M168" s="111"/>
      <c r="N168" s="111"/>
      <c r="O168" s="115"/>
      <c r="P168" s="116"/>
      <c r="Q168" s="117"/>
      <c r="R168" s="82"/>
    </row>
    <row r="169" spans="1:18">
      <c r="A169" s="163">
        <f t="shared" si="35"/>
        <v>35</v>
      </c>
      <c r="B169" s="152">
        <f t="shared" si="28"/>
        <v>19.99996006609496</v>
      </c>
      <c r="C169" s="145">
        <f>IF(A169&lt;=$C$8,100^2/($B$4^2*B169^2),C168)</f>
        <v>472.59167930173169</v>
      </c>
      <c r="D169" s="153">
        <f t="shared" si="29"/>
        <v>27.820860309236064</v>
      </c>
      <c r="E169" s="164">
        <f t="shared" si="30"/>
        <v>28.728772061012613</v>
      </c>
      <c r="F169" s="170">
        <f t="shared" si="31"/>
        <v>259.3858351469712</v>
      </c>
      <c r="G169" s="172">
        <f t="shared" si="32"/>
        <v>72.178911758667141</v>
      </c>
      <c r="H169" s="179">
        <f t="shared" si="33"/>
        <v>22.608706393508037</v>
      </c>
      <c r="I169" s="164">
        <f t="shared" si="34"/>
        <v>2.8976881127880056</v>
      </c>
      <c r="J169" s="154"/>
      <c r="K169" s="183"/>
      <c r="L169" s="111"/>
      <c r="M169" s="111"/>
      <c r="N169" s="111"/>
      <c r="O169" s="115"/>
      <c r="P169" s="116"/>
      <c r="Q169" s="117"/>
      <c r="R169" s="82"/>
    </row>
    <row r="170" spans="1:18">
      <c r="A170" s="163">
        <f t="shared" si="35"/>
        <v>40</v>
      </c>
      <c r="B170" s="152">
        <f t="shared" si="28"/>
        <v>21.727922598897567</v>
      </c>
      <c r="C170" s="145">
        <f>IF(A170&lt;=$C$8,100^2/($B$4^2*B170^2),C169)</f>
        <v>400.41276754306455</v>
      </c>
      <c r="D170" s="153">
        <f t="shared" si="29"/>
        <v>30.655589864537607</v>
      </c>
      <c r="E170" s="164">
        <f t="shared" si="30"/>
        <v>29.554060121803456</v>
      </c>
      <c r="F170" s="170">
        <f t="shared" si="31"/>
        <v>289.18467340404459</v>
      </c>
      <c r="G170" s="172">
        <f t="shared" si="32"/>
        <v>50.13320716381287</v>
      </c>
      <c r="H170" s="179">
        <f t="shared" si="33"/>
        <v>25.230463717043527</v>
      </c>
      <c r="I170" s="164">
        <f t="shared" si="34"/>
        <v>2.5064891853387357</v>
      </c>
      <c r="J170" s="154"/>
      <c r="K170" s="183"/>
      <c r="L170" s="111"/>
      <c r="M170" s="111"/>
      <c r="N170" s="111"/>
      <c r="O170" s="115"/>
      <c r="P170" s="116"/>
      <c r="Q170" s="117"/>
      <c r="R170" s="82"/>
    </row>
    <row r="171" spans="1:18">
      <c r="A171" s="163">
        <f t="shared" si="35"/>
        <v>45</v>
      </c>
      <c r="B171" s="152">
        <f t="shared" si="28"/>
        <v>23.230832101091192</v>
      </c>
      <c r="C171" s="145">
        <f>IF(A171&lt;=$C$8,100^2/($B$4^2*B171^2),C170)</f>
        <v>350.27956037925168</v>
      </c>
      <c r="D171" s="153">
        <f t="shared" si="29"/>
        <v>33.01133771317857</v>
      </c>
      <c r="E171" s="164">
        <f t="shared" si="30"/>
        <v>29.979951394381878</v>
      </c>
      <c r="F171" s="170">
        <f t="shared" si="31"/>
        <v>313.06900401095913</v>
      </c>
      <c r="G171" s="172">
        <f t="shared" si="32"/>
        <v>36.729536222549939</v>
      </c>
      <c r="H171" s="179">
        <f t="shared" si="33"/>
        <v>27.64607223821206</v>
      </c>
      <c r="I171" s="164">
        <f t="shared" si="34"/>
        <v>2.2048152440893189</v>
      </c>
      <c r="J171" s="154"/>
      <c r="K171" s="183"/>
      <c r="L171" s="111"/>
      <c r="M171" s="111"/>
      <c r="N171" s="111"/>
      <c r="O171" s="115"/>
      <c r="P171" s="116"/>
      <c r="Q171" s="117"/>
      <c r="R171" s="82"/>
    </row>
    <row r="172" spans="1:18">
      <c r="A172" s="163">
        <f t="shared" si="35"/>
        <v>50</v>
      </c>
      <c r="B172" s="152">
        <f t="shared" si="28"/>
        <v>24.553801733943406</v>
      </c>
      <c r="C172" s="145">
        <f>IF(A172&lt;=$C$8,100^2/($B$4^2*B172^2),C171)</f>
        <v>313.55002415670174</v>
      </c>
      <c r="D172" s="153">
        <f t="shared" si="29"/>
        <v>34.94875808093078</v>
      </c>
      <c r="E172" s="164">
        <f t="shared" si="30"/>
        <v>30.078779843687929</v>
      </c>
      <c r="F172" s="170">
        <f t="shared" si="31"/>
        <v>331.5145846482713</v>
      </c>
      <c r="G172" s="172">
        <f t="shared" si="32"/>
        <v>28.041589059301316</v>
      </c>
      <c r="H172" s="179">
        <f t="shared" si="33"/>
        <v>29.792406801004816</v>
      </c>
      <c r="I172" s="164">
        <f t="shared" si="34"/>
        <v>1.9548060784098495</v>
      </c>
      <c r="J172" s="154"/>
      <c r="K172" s="183"/>
      <c r="L172" s="111"/>
      <c r="M172" s="111"/>
      <c r="N172" s="111"/>
      <c r="O172" s="115"/>
      <c r="P172" s="116"/>
      <c r="Q172" s="117"/>
      <c r="R172" s="82"/>
    </row>
    <row r="173" spans="1:18">
      <c r="A173" s="163">
        <f t="shared" si="35"/>
        <v>55</v>
      </c>
      <c r="B173" s="152">
        <f t="shared" si="28"/>
        <v>25.731357111216642</v>
      </c>
      <c r="C173" s="145">
        <f>IF(A173&lt;=$C$8,100^2/($B$4^2*B173^2),C172)</f>
        <v>285.50843509740042</v>
      </c>
      <c r="D173" s="153">
        <f t="shared" si="29"/>
        <v>36.514270334409645</v>
      </c>
      <c r="E173" s="164">
        <f t="shared" si="30"/>
        <v>29.897445169365728</v>
      </c>
      <c r="F173" s="170">
        <f t="shared" si="31"/>
        <v>344.92209729182821</v>
      </c>
      <c r="G173" s="172">
        <f t="shared" si="32"/>
        <v>22.115955130274642</v>
      </c>
      <c r="H173" s="179">
        <f t="shared" si="33"/>
        <v>31.627987257024213</v>
      </c>
      <c r="I173" s="164">
        <f t="shared" si="34"/>
        <v>1.737555525390071</v>
      </c>
      <c r="J173" s="154"/>
      <c r="K173" s="183"/>
      <c r="L173" s="111"/>
      <c r="M173" s="111"/>
      <c r="N173" s="111"/>
      <c r="O173" s="115"/>
      <c r="P173" s="116"/>
      <c r="Q173" s="117"/>
      <c r="R173" s="82"/>
    </row>
    <row r="174" spans="1:18">
      <c r="A174" s="163">
        <f t="shared" si="35"/>
        <v>60</v>
      </c>
      <c r="B174" s="152">
        <f t="shared" si="28"/>
        <v>26.789862111400492</v>
      </c>
      <c r="C174" s="145">
        <f>IF(A174&lt;=$C$8,100^2/($B$4^2*B174^2),C173)</f>
        <v>263.39247996712578</v>
      </c>
      <c r="D174" s="153">
        <f t="shared" si="29"/>
        <v>37.743320463060329</v>
      </c>
      <c r="E174" s="164">
        <f t="shared" si="30"/>
        <v>29.469547119501851</v>
      </c>
      <c r="F174" s="170">
        <f t="shared" si="31"/>
        <v>353.63585207294227</v>
      </c>
      <c r="G174" s="172">
        <f t="shared" si="32"/>
        <v>17.903317796608093</v>
      </c>
      <c r="H174" s="179">
        <f t="shared" si="33"/>
        <v>33.126695539886633</v>
      </c>
      <c r="I174" s="164">
        <f t="shared" si="34"/>
        <v>1.5430487055972151</v>
      </c>
      <c r="J174" s="154"/>
      <c r="K174" s="183"/>
      <c r="L174" s="111"/>
      <c r="M174" s="111"/>
      <c r="N174" s="111"/>
      <c r="O174" s="115"/>
      <c r="P174" s="116"/>
      <c r="Q174" s="117"/>
      <c r="R174" s="82"/>
    </row>
    <row r="175" spans="1:18">
      <c r="A175" s="163">
        <f t="shared" si="35"/>
        <v>65</v>
      </c>
      <c r="B175" s="152">
        <f t="shared" si="28"/>
        <v>27.749553664181299</v>
      </c>
      <c r="C175" s="145">
        <f>IF(A175&lt;=$C$8,100^2/($B$4^2*B175^2),C174)</f>
        <v>245.48916217051769</v>
      </c>
      <c r="D175" s="153">
        <f t="shared" si="29"/>
        <v>38.663116830642679</v>
      </c>
      <c r="E175" s="164">
        <f t="shared" si="30"/>
        <v>28.821456793767251</v>
      </c>
      <c r="F175" s="170">
        <f t="shared" si="31"/>
        <v>357.96262836231824</v>
      </c>
      <c r="G175" s="172">
        <f t="shared" si="32"/>
        <v>0</v>
      </c>
      <c r="H175" s="179">
        <f t="shared" si="33"/>
        <v>33.268603953170455</v>
      </c>
      <c r="I175" s="164">
        <f t="shared" si="34"/>
        <v>0</v>
      </c>
      <c r="J175" s="154"/>
      <c r="K175" s="183"/>
      <c r="L175" s="111"/>
      <c r="M175" s="111"/>
      <c r="N175" s="111"/>
      <c r="O175" s="115"/>
      <c r="P175" s="116"/>
      <c r="Q175" s="117"/>
      <c r="R175" s="82"/>
    </row>
    <row r="176" spans="1:18">
      <c r="A176" s="163">
        <v>70</v>
      </c>
      <c r="B176" s="152">
        <f t="shared" si="28"/>
        <v>28.626116569254211</v>
      </c>
      <c r="C176" s="146">
        <f>IF(A176&lt;=$C$8,100^2/($B$4^2*B176^2),C175)</f>
        <v>245.48916217051769</v>
      </c>
      <c r="D176" s="153">
        <f t="shared" si="29"/>
        <v>38.690102564593914</v>
      </c>
      <c r="E176" s="164">
        <f t="shared" si="30"/>
        <v>28.861703916022808</v>
      </c>
      <c r="F176" s="170">
        <f t="shared" si="31"/>
        <v>369.53338354474806</v>
      </c>
      <c r="G176" s="172">
        <f t="shared" si="32"/>
        <v>0</v>
      </c>
      <c r="H176" s="179">
        <f t="shared" si="33"/>
        <v>33.306240377352104</v>
      </c>
      <c r="I176" s="164">
        <f t="shared" si="34"/>
        <v>0</v>
      </c>
      <c r="J176" s="174"/>
      <c r="K176" s="124"/>
      <c r="L176" s="82"/>
      <c r="M176" s="82"/>
      <c r="N176" s="82"/>
      <c r="O176" s="126"/>
      <c r="P176" s="82"/>
      <c r="Q176" s="127"/>
      <c r="R176" s="83"/>
    </row>
    <row r="177" spans="1:18" ht="13.8" thickBot="1">
      <c r="A177" s="165">
        <v>75</v>
      </c>
      <c r="B177" s="156">
        <f t="shared" si="28"/>
        <v>29.431856571860372</v>
      </c>
      <c r="C177" s="146">
        <f>IF(A177&lt;=$C$8,100^2/($B$4^2*B177^2),C176)</f>
        <v>245.48916217051769</v>
      </c>
      <c r="D177" s="157">
        <f t="shared" si="29"/>
        <v>38.494320544300166</v>
      </c>
      <c r="E177" s="166">
        <f t="shared" si="30"/>
        <v>28.570347441590304</v>
      </c>
      <c r="F177" s="184">
        <f t="shared" si="31"/>
        <v>375.87664605637605</v>
      </c>
      <c r="G177" s="185"/>
      <c r="H177" s="186"/>
      <c r="I177" s="186"/>
      <c r="J177" s="176"/>
      <c r="K177" s="133"/>
      <c r="L177" s="135"/>
      <c r="M177" s="135"/>
      <c r="N177" s="135"/>
      <c r="O177" s="136"/>
      <c r="P177" s="135"/>
      <c r="Q177" s="137"/>
      <c r="R177" s="83"/>
    </row>
    <row r="178" spans="1:18" s="67" customFormat="1" ht="14.25" customHeight="1">
      <c r="A178" s="138"/>
      <c r="B178" s="109"/>
      <c r="C178" s="110"/>
      <c r="D178" s="153"/>
      <c r="E178" s="111"/>
      <c r="F178" s="170"/>
      <c r="G178" s="177"/>
      <c r="H178" s="113"/>
      <c r="I178" s="111"/>
      <c r="J178" s="124"/>
      <c r="K178" s="124"/>
      <c r="L178" s="82"/>
      <c r="M178" s="82"/>
      <c r="N178" s="82"/>
      <c r="O178" s="82"/>
      <c r="P178" s="82"/>
      <c r="Q178" s="83"/>
      <c r="R178" s="83"/>
    </row>
    <row r="179" spans="1:18" s="67" customFormat="1" ht="14.25" customHeight="1">
      <c r="A179" s="138"/>
      <c r="B179" s="109"/>
      <c r="C179" s="110"/>
      <c r="D179" s="153"/>
      <c r="E179" s="111"/>
      <c r="F179" s="170"/>
      <c r="G179" s="177"/>
      <c r="H179" s="113"/>
      <c r="I179" s="111"/>
      <c r="J179" s="124"/>
      <c r="K179" s="124"/>
      <c r="L179" s="82"/>
      <c r="M179" s="82"/>
      <c r="N179" s="82"/>
      <c r="O179" s="82"/>
      <c r="P179" s="82"/>
      <c r="Q179" s="83"/>
      <c r="R179" s="83"/>
    </row>
    <row r="180" spans="1:18" s="67" customFormat="1" ht="14.25" customHeight="1">
      <c r="A180" s="138"/>
      <c r="B180" s="109"/>
      <c r="C180" s="110"/>
      <c r="D180" s="153"/>
      <c r="E180" s="111"/>
      <c r="F180" s="170"/>
      <c r="G180" s="177"/>
      <c r="H180" s="113"/>
      <c r="I180" s="111"/>
      <c r="J180" s="124"/>
      <c r="K180" s="124"/>
      <c r="L180" s="82"/>
      <c r="M180" s="82"/>
      <c r="N180" s="82"/>
      <c r="O180" s="82"/>
      <c r="P180" s="82"/>
      <c r="Q180" s="83"/>
      <c r="R180" s="83"/>
    </row>
    <row r="181" spans="1:18" s="67" customFormat="1" ht="14.25" customHeight="1">
      <c r="A181" s="138"/>
      <c r="B181" s="109"/>
      <c r="C181" s="110"/>
      <c r="D181" s="153"/>
      <c r="E181" s="111"/>
      <c r="F181" s="170"/>
      <c r="G181" s="177"/>
      <c r="H181" s="113"/>
      <c r="I181" s="111"/>
      <c r="J181" s="124"/>
      <c r="K181" s="124"/>
      <c r="L181" s="82"/>
      <c r="M181" s="82"/>
      <c r="N181" s="82"/>
      <c r="O181" s="82"/>
      <c r="P181" s="82"/>
      <c r="Q181" s="83"/>
      <c r="R181" s="83"/>
    </row>
    <row r="182" spans="1:18" s="67" customFormat="1" ht="14.25" customHeight="1">
      <c r="A182" s="138"/>
      <c r="B182" s="109"/>
      <c r="C182" s="110"/>
      <c r="D182" s="153"/>
      <c r="E182" s="111"/>
      <c r="F182" s="170"/>
      <c r="G182" s="177"/>
      <c r="H182" s="113"/>
      <c r="I182" s="111"/>
      <c r="J182" s="124"/>
      <c r="K182" s="124"/>
      <c r="L182" s="82"/>
      <c r="M182" s="82"/>
      <c r="N182" s="82"/>
      <c r="O182" s="82"/>
      <c r="P182" s="82"/>
      <c r="Q182" s="83"/>
      <c r="R182" s="83"/>
    </row>
    <row r="183" spans="1:18" s="67" customFormat="1" ht="14.25" customHeight="1">
      <c r="A183" s="138"/>
      <c r="B183" s="109"/>
      <c r="C183" s="110"/>
      <c r="D183" s="153"/>
      <c r="E183" s="111"/>
      <c r="F183" s="170"/>
      <c r="G183" s="177"/>
      <c r="H183" s="113"/>
      <c r="I183" s="111"/>
      <c r="J183" s="124"/>
      <c r="K183" s="124"/>
      <c r="L183" s="82"/>
      <c r="M183" s="82"/>
      <c r="N183" s="82"/>
      <c r="O183" s="82"/>
      <c r="P183" s="82"/>
      <c r="Q183" s="83"/>
      <c r="R183" s="83"/>
    </row>
    <row r="184" spans="1:18" s="67" customFormat="1" ht="14.25" customHeight="1">
      <c r="A184" s="138"/>
      <c r="B184" s="109"/>
      <c r="C184" s="110"/>
      <c r="D184" s="153"/>
      <c r="E184" s="111"/>
      <c r="F184" s="170"/>
      <c r="G184" s="177"/>
      <c r="H184" s="113"/>
      <c r="I184" s="111"/>
      <c r="J184" s="124"/>
      <c r="K184" s="124"/>
      <c r="L184" s="82"/>
      <c r="M184" s="82"/>
      <c r="N184" s="82"/>
      <c r="O184" s="82"/>
      <c r="P184" s="82"/>
      <c r="Q184" s="83"/>
      <c r="R184" s="83"/>
    </row>
    <row r="185" spans="1:18" s="67" customFormat="1" ht="14.25" customHeight="1">
      <c r="A185" s="138"/>
      <c r="B185" s="109"/>
      <c r="C185" s="110"/>
      <c r="D185" s="153"/>
      <c r="E185" s="111"/>
      <c r="F185" s="170"/>
      <c r="G185" s="177"/>
      <c r="H185" s="113"/>
      <c r="I185" s="111"/>
      <c r="J185" s="124"/>
      <c r="K185" s="124"/>
      <c r="L185" s="82"/>
      <c r="M185" s="82"/>
      <c r="N185" s="82"/>
      <c r="O185" s="82"/>
      <c r="P185" s="82"/>
      <c r="Q185" s="83"/>
      <c r="R185" s="83"/>
    </row>
    <row r="186" spans="1:18" s="67" customFormat="1" ht="13.5" customHeight="1">
      <c r="A186" s="138"/>
      <c r="B186" s="109"/>
      <c r="C186" s="110"/>
      <c r="D186" s="153"/>
      <c r="E186" s="111"/>
      <c r="F186" s="170"/>
      <c r="G186" s="177"/>
      <c r="H186" s="113"/>
      <c r="I186" s="111"/>
      <c r="J186" s="124"/>
      <c r="K186" s="124"/>
      <c r="L186" s="82"/>
      <c r="M186" s="82"/>
      <c r="N186" s="82"/>
      <c r="O186" s="82"/>
      <c r="P186" s="82"/>
      <c r="Q186" s="83"/>
      <c r="R186" s="83"/>
    </row>
    <row r="187" spans="1:18" s="67" customFormat="1" ht="13.5" customHeight="1">
      <c r="A187" s="138"/>
      <c r="B187" s="109"/>
      <c r="C187" s="110"/>
      <c r="D187" s="153"/>
      <c r="E187" s="111"/>
      <c r="F187" s="170"/>
      <c r="G187" s="177"/>
      <c r="H187" s="113"/>
      <c r="I187" s="111"/>
      <c r="J187" s="124"/>
      <c r="K187" s="124"/>
      <c r="L187" s="82"/>
      <c r="M187" s="82"/>
      <c r="N187" s="82"/>
      <c r="O187" s="82"/>
      <c r="P187" s="82"/>
      <c r="Q187" s="83"/>
      <c r="R187" s="83"/>
    </row>
    <row r="188" spans="1:18" s="67" customFormat="1" ht="13.5" customHeight="1">
      <c r="A188" s="138"/>
      <c r="B188" s="109"/>
      <c r="C188" s="110"/>
      <c r="D188" s="153"/>
      <c r="E188" s="111"/>
      <c r="F188" s="170"/>
      <c r="G188" s="177"/>
      <c r="H188" s="113"/>
      <c r="I188" s="111"/>
      <c r="J188" s="124"/>
      <c r="K188" s="124"/>
      <c r="L188" s="82"/>
      <c r="M188" s="82"/>
      <c r="N188" s="82"/>
      <c r="O188" s="82"/>
      <c r="P188" s="82"/>
      <c r="Q188" s="83"/>
      <c r="R188" s="83"/>
    </row>
    <row r="189" spans="1:18" s="67" customFormat="1" ht="14.25" customHeight="1">
      <c r="A189" s="138"/>
      <c r="B189" s="109"/>
      <c r="C189" s="110"/>
      <c r="D189" s="153"/>
      <c r="E189" s="111"/>
      <c r="F189" s="170"/>
      <c r="G189" s="177"/>
      <c r="H189" s="113"/>
      <c r="I189" s="111"/>
      <c r="J189" s="124"/>
      <c r="K189" s="124"/>
      <c r="L189" s="82"/>
      <c r="M189" s="82"/>
      <c r="N189" s="82"/>
      <c r="O189" s="82"/>
      <c r="P189" s="82"/>
      <c r="Q189" s="83"/>
      <c r="R189" s="83"/>
    </row>
    <row r="190" spans="1:18" s="67" customFormat="1" ht="14.25" customHeight="1">
      <c r="A190" s="138"/>
      <c r="B190" s="109"/>
      <c r="C190" s="110"/>
      <c r="D190" s="153"/>
      <c r="E190" s="111"/>
      <c r="F190" s="170"/>
      <c r="G190" s="177"/>
      <c r="H190" s="113"/>
      <c r="I190" s="111"/>
      <c r="J190" s="124"/>
      <c r="K190" s="124"/>
      <c r="L190" s="82"/>
      <c r="M190" s="82"/>
      <c r="N190" s="82"/>
      <c r="O190" s="82"/>
      <c r="P190" s="82"/>
      <c r="Q190" s="83"/>
      <c r="R190" s="83"/>
    </row>
    <row r="191" spans="1:18" s="67" customFormat="1" ht="14.25" customHeight="1" thickBot="1">
      <c r="A191" s="138"/>
      <c r="B191" s="109"/>
      <c r="C191" s="110"/>
      <c r="D191" s="153"/>
      <c r="E191" s="111"/>
      <c r="F191" s="170"/>
      <c r="G191" s="177"/>
      <c r="H191" s="113"/>
      <c r="I191" s="111"/>
      <c r="J191" s="124"/>
      <c r="K191" s="124"/>
      <c r="L191" s="82"/>
      <c r="M191" s="82"/>
      <c r="N191" s="82"/>
      <c r="O191" s="82"/>
      <c r="P191" s="82"/>
      <c r="Q191" s="83"/>
      <c r="R191" s="83"/>
    </row>
    <row r="192" spans="1:18" s="67" customFormat="1" ht="14.25" customHeight="1" thickBot="1">
      <c r="A192" s="216" t="s">
        <v>0</v>
      </c>
      <c r="B192" s="218" t="s">
        <v>69</v>
      </c>
      <c r="C192" s="218"/>
      <c r="D192" s="218"/>
      <c r="E192" s="219"/>
      <c r="F192" s="218"/>
      <c r="G192" s="220" t="s">
        <v>70</v>
      </c>
      <c r="H192" s="221"/>
      <c r="I192" s="221"/>
      <c r="J192" s="222"/>
      <c r="K192" s="220" t="s">
        <v>71</v>
      </c>
      <c r="L192" s="221"/>
      <c r="M192" s="221"/>
      <c r="N192" s="222"/>
      <c r="O192" s="223" t="s">
        <v>6</v>
      </c>
      <c r="P192" s="225" t="s">
        <v>56</v>
      </c>
      <c r="Q192" s="226"/>
      <c r="R192" s="82"/>
    </row>
    <row r="193" spans="1:18" s="67" customFormat="1" ht="14.25" customHeight="1" thickBot="1">
      <c r="A193" s="217"/>
      <c r="B193" s="84" t="s">
        <v>1</v>
      </c>
      <c r="C193" s="85" t="s">
        <v>2</v>
      </c>
      <c r="D193" s="85" t="s">
        <v>3</v>
      </c>
      <c r="E193" s="86" t="s">
        <v>57</v>
      </c>
      <c r="F193" s="85" t="s">
        <v>58</v>
      </c>
      <c r="G193" s="87" t="s">
        <v>60</v>
      </c>
      <c r="H193" s="88" t="s">
        <v>3</v>
      </c>
      <c r="I193" s="88" t="s">
        <v>72</v>
      </c>
      <c r="J193" s="86" t="s">
        <v>59</v>
      </c>
      <c r="K193" s="85" t="s">
        <v>73</v>
      </c>
      <c r="L193" s="85" t="s">
        <v>74</v>
      </c>
      <c r="M193" s="85" t="s">
        <v>75</v>
      </c>
      <c r="N193" s="85" t="s">
        <v>76</v>
      </c>
      <c r="O193" s="224"/>
      <c r="P193" s="89" t="s">
        <v>61</v>
      </c>
      <c r="Q193" s="89" t="s">
        <v>62</v>
      </c>
      <c r="R193" s="90" t="s">
        <v>77</v>
      </c>
    </row>
    <row r="194" spans="1:18" s="67" customFormat="1" ht="14.25" customHeight="1" thickBot="1">
      <c r="A194" s="140">
        <v>15</v>
      </c>
      <c r="B194" s="93">
        <f>EXP(4.04764-8.75819/A194^0.56087)+1.19874*(1-EXP(-0.081*A194))^2.99578*($B$5-17.38)</f>
        <v>9.5085291059454633</v>
      </c>
      <c r="C194" s="141">
        <f>$B$6</f>
        <v>2200</v>
      </c>
      <c r="D194" s="142"/>
      <c r="E194" s="94"/>
      <c r="F194" s="147"/>
      <c r="G194" s="95"/>
      <c r="H194" s="94"/>
      <c r="I194" s="94"/>
      <c r="J194" s="94"/>
      <c r="K194" s="144"/>
      <c r="L194" s="142"/>
      <c r="M194" s="142"/>
      <c r="N194" s="142"/>
      <c r="O194" s="97"/>
      <c r="P194" s="148"/>
      <c r="Q194" s="160"/>
      <c r="R194" s="90"/>
    </row>
    <row r="195" spans="1:18" s="67" customFormat="1" ht="14.25" customHeight="1">
      <c r="A195" s="161">
        <v>15</v>
      </c>
      <c r="B195" s="149">
        <f>EXP(4.04764-8.75819/A195^0.56087)+1.19874*(1-EXP(-0.081*A195))^2.99578*($B$5-17.38)</f>
        <v>9.5085291059454633</v>
      </c>
      <c r="C195" s="145">
        <f>IF(A195&lt;=$C$8,100^2/($B$4^2*B195^2),C194)</f>
        <v>2090.8248228660891</v>
      </c>
      <c r="D195" s="150">
        <f>(-7.5886+0.6547*B195+0.3669*A195+299.909*(1/SQRT(C195))-0.003528*A195^2)</f>
        <v>9.9052289536229896</v>
      </c>
      <c r="E195" s="162">
        <f>(PI()/4*(D195/100)^2)*C195</f>
        <v>16.111521893899372</v>
      </c>
      <c r="F195" s="167">
        <f>0.2768*E195+0.4376*E195*B195</f>
        <v>71.498621703001916</v>
      </c>
      <c r="G195" s="171">
        <f>C195-C196</f>
        <v>940.60147088805911</v>
      </c>
      <c r="H195" s="178">
        <f>6.3167+0.01803*D195^2-0.005994*G195+18.1328*(G195/C195)</f>
        <v>10.60514329777968</v>
      </c>
      <c r="I195" s="162">
        <f t="shared" ref="I195:I206" si="36">(PI()/4*(H195/100)^2)*G195</f>
        <v>8.3086146522791804</v>
      </c>
      <c r="J195" s="187">
        <f t="shared" ref="J195:J206" si="37">-0.03896*G195+0.0006721*H195^2*G195</f>
        <v>34.454662825243993</v>
      </c>
      <c r="K195" s="104"/>
      <c r="L195" s="101"/>
      <c r="M195" s="101"/>
      <c r="N195" s="101"/>
      <c r="O195" s="105"/>
      <c r="P195" s="106"/>
      <c r="Q195" s="107"/>
      <c r="R195" s="82"/>
    </row>
    <row r="196" spans="1:18" s="67" customFormat="1" ht="14.25" customHeight="1">
      <c r="A196" s="163">
        <f>A195+pdesb</f>
        <v>20</v>
      </c>
      <c r="B196" s="152">
        <f t="shared" ref="B196:B207" si="38">EXP(4.04764-8.75819/A196^0.56087)+1.19874*(1-EXP(-0.081*A196))^2.99578*($B$5-17.38)</f>
        <v>12.819794801507502</v>
      </c>
      <c r="C196" s="145">
        <f>IF(A196&lt;=$C$8,100^2/($B$4^2*B196^2),C195)</f>
        <v>1150.22335197803</v>
      </c>
      <c r="D196" s="153">
        <f t="shared" ref="D196:D207" si="39">(-7.5886+0.6547*B196+0.3669*A196+299.909*(1/SQRT(C196))-0.003528*A196^2)</f>
        <v>15.574294886535185</v>
      </c>
      <c r="E196" s="164">
        <f t="shared" ref="E196:E207" si="40">(PI()/4*(D196/100)^2)*C196</f>
        <v>21.912344578448636</v>
      </c>
      <c r="F196" s="168">
        <f t="shared" ref="F196:F207" si="41">0.2768*E196+0.4376*E196*B196</f>
        <v>128.9923236435173</v>
      </c>
      <c r="G196" s="172">
        <f t="shared" ref="G196:G206" si="42">C196-C197</f>
        <v>375.70209283897009</v>
      </c>
      <c r="H196" s="179">
        <f t="shared" ref="H196:H206" si="43">6.3167+0.01803*D196^2-0.005994*G196+18.1328*(G196/C196)</f>
        <v>14.36086391915218</v>
      </c>
      <c r="I196" s="164">
        <f t="shared" si="36"/>
        <v>6.0854770583989177</v>
      </c>
      <c r="J196" s="188">
        <f t="shared" si="37"/>
        <v>37.438769397344863</v>
      </c>
      <c r="K196" s="114"/>
      <c r="L196" s="111"/>
      <c r="M196" s="111"/>
      <c r="N196" s="111"/>
      <c r="O196" s="115"/>
      <c r="P196" s="116"/>
      <c r="Q196" s="117"/>
      <c r="R196" s="82"/>
    </row>
    <row r="197" spans="1:18" s="67" customFormat="1" ht="14.25" customHeight="1">
      <c r="A197" s="163">
        <f t="shared" ref="A197:A205" si="44">A196+pdesb</f>
        <v>25</v>
      </c>
      <c r="B197" s="152">
        <f t="shared" si="38"/>
        <v>15.622678395248585</v>
      </c>
      <c r="C197" s="145">
        <f>IF(A197&lt;=$C$8,100^2/($B$4^2*B197^2),C196)</f>
        <v>774.52125913905991</v>
      </c>
      <c r="D197" s="153">
        <f t="shared" si="39"/>
        <v>20.383445811502646</v>
      </c>
      <c r="E197" s="164">
        <f t="shared" si="40"/>
        <v>25.274258931963477</v>
      </c>
      <c r="F197" s="168">
        <f t="shared" si="41"/>
        <v>179.78298333464787</v>
      </c>
      <c r="G197" s="172">
        <f t="shared" si="42"/>
        <v>190.35476698454966</v>
      </c>
      <c r="H197" s="179">
        <f t="shared" si="43"/>
        <v>17.123419717915027</v>
      </c>
      <c r="I197" s="164">
        <f t="shared" si="36"/>
        <v>4.383637590452258</v>
      </c>
      <c r="J197" s="188">
        <f t="shared" si="37"/>
        <v>30.096507004285154</v>
      </c>
      <c r="K197" s="114"/>
      <c r="L197" s="111"/>
      <c r="M197" s="111"/>
      <c r="N197" s="111"/>
      <c r="O197" s="115"/>
      <c r="P197" s="116"/>
      <c r="Q197" s="117"/>
      <c r="R197" s="82"/>
    </row>
    <row r="198" spans="1:18" s="67" customFormat="1" ht="14.25" customHeight="1">
      <c r="A198" s="163">
        <f t="shared" si="44"/>
        <v>30</v>
      </c>
      <c r="B198" s="152">
        <f t="shared" si="38"/>
        <v>17.988868326662203</v>
      </c>
      <c r="C198" s="145">
        <f>IF(A198&lt;=$C$8,100^2/($B$4^2*B198^2),C197)</f>
        <v>584.16649215451025</v>
      </c>
      <c r="D198" s="153">
        <f t="shared" si="39"/>
        <v>24.429066168721892</v>
      </c>
      <c r="E198" s="164">
        <f t="shared" si="40"/>
        <v>27.380429429173205</v>
      </c>
      <c r="F198" s="168">
        <f t="shared" si="41"/>
        <v>223.11569329134582</v>
      </c>
      <c r="G198" s="172">
        <f t="shared" si="42"/>
        <v>111.57481285277856</v>
      </c>
      <c r="H198" s="179">
        <f t="shared" si="43"/>
        <v>19.871185038184535</v>
      </c>
      <c r="I198" s="164">
        <f t="shared" si="36"/>
        <v>3.4602189750321761</v>
      </c>
      <c r="J198" s="188">
        <f t="shared" si="37"/>
        <v>25.263671868978673</v>
      </c>
      <c r="K198" s="59"/>
      <c r="L198" s="111"/>
      <c r="M198" s="111"/>
      <c r="N198" s="111"/>
      <c r="O198" s="115"/>
      <c r="P198" s="116"/>
      <c r="Q198" s="117"/>
      <c r="R198" s="82"/>
    </row>
    <row r="199" spans="1:18" s="67" customFormat="1" ht="14.25" customHeight="1">
      <c r="A199" s="163">
        <f t="shared" si="44"/>
        <v>35</v>
      </c>
      <c r="B199" s="152">
        <f t="shared" si="38"/>
        <v>19.99996006609496</v>
      </c>
      <c r="C199" s="145">
        <f>IF(A199&lt;=$C$8,100^2/($B$4^2*B199^2),C198)</f>
        <v>472.59167930173169</v>
      </c>
      <c r="D199" s="153">
        <f t="shared" si="39"/>
        <v>27.820860309236064</v>
      </c>
      <c r="E199" s="164">
        <f t="shared" si="40"/>
        <v>28.728772061012613</v>
      </c>
      <c r="F199" s="168">
        <f t="shared" si="41"/>
        <v>259.3858351469712</v>
      </c>
      <c r="G199" s="172">
        <f t="shared" si="42"/>
        <v>72.178911758667141</v>
      </c>
      <c r="H199" s="179">
        <f t="shared" si="43"/>
        <v>22.608706393508037</v>
      </c>
      <c r="I199" s="164">
        <f t="shared" si="36"/>
        <v>2.8976881127880056</v>
      </c>
      <c r="J199" s="188">
        <f t="shared" si="37"/>
        <v>21.984710397367692</v>
      </c>
      <c r="K199" s="114"/>
      <c r="L199" s="111"/>
      <c r="M199" s="111"/>
      <c r="N199" s="111"/>
      <c r="O199" s="115"/>
      <c r="P199" s="116"/>
      <c r="Q199" s="117"/>
      <c r="R199" s="82"/>
    </row>
    <row r="200" spans="1:18" s="67" customFormat="1" ht="14.25" customHeight="1">
      <c r="A200" s="163">
        <f t="shared" si="44"/>
        <v>40</v>
      </c>
      <c r="B200" s="152">
        <f t="shared" si="38"/>
        <v>21.727922598897567</v>
      </c>
      <c r="C200" s="145">
        <f>IF(A200&lt;=$C$8,100^2/($B$4^2*B200^2),C199)</f>
        <v>400.41276754306455</v>
      </c>
      <c r="D200" s="153">
        <f t="shared" si="39"/>
        <v>30.655589864537607</v>
      </c>
      <c r="E200" s="164">
        <f t="shared" si="40"/>
        <v>29.554060121803456</v>
      </c>
      <c r="F200" s="168">
        <f t="shared" si="41"/>
        <v>289.18467340404459</v>
      </c>
      <c r="G200" s="172">
        <f t="shared" si="42"/>
        <v>50.13320716381287</v>
      </c>
      <c r="H200" s="179">
        <f t="shared" si="43"/>
        <v>25.230463717043527</v>
      </c>
      <c r="I200" s="164">
        <f t="shared" si="36"/>
        <v>2.5064891853387357</v>
      </c>
      <c r="J200" s="188">
        <f t="shared" si="37"/>
        <v>19.495948532834369</v>
      </c>
      <c r="K200" s="114"/>
      <c r="L200" s="111"/>
      <c r="M200" s="111"/>
      <c r="N200" s="111"/>
      <c r="O200" s="115"/>
      <c r="P200" s="116"/>
      <c r="Q200" s="117"/>
      <c r="R200" s="82"/>
    </row>
    <row r="201" spans="1:18" s="67" customFormat="1">
      <c r="A201" s="163">
        <f t="shared" si="44"/>
        <v>45</v>
      </c>
      <c r="B201" s="152">
        <f t="shared" si="38"/>
        <v>23.230832101091192</v>
      </c>
      <c r="C201" s="145">
        <f>IF(A201&lt;=$C$8,100^2/($B$4^2*B201^2),C200)</f>
        <v>350.27956037925168</v>
      </c>
      <c r="D201" s="153">
        <f t="shared" si="39"/>
        <v>33.01133771317857</v>
      </c>
      <c r="E201" s="164">
        <f t="shared" si="40"/>
        <v>29.979951394381878</v>
      </c>
      <c r="F201" s="168">
        <f t="shared" si="41"/>
        <v>313.06900401095913</v>
      </c>
      <c r="G201" s="172">
        <f t="shared" si="42"/>
        <v>36.729536222549939</v>
      </c>
      <c r="H201" s="179">
        <f t="shared" si="43"/>
        <v>27.64607223821206</v>
      </c>
      <c r="I201" s="164">
        <f t="shared" si="36"/>
        <v>2.2048152440893189</v>
      </c>
      <c r="J201" s="188">
        <f t="shared" si="37"/>
        <v>17.436598001862446</v>
      </c>
      <c r="K201" s="114"/>
      <c r="L201" s="111"/>
      <c r="M201" s="111"/>
      <c r="N201" s="111"/>
      <c r="O201" s="115"/>
      <c r="P201" s="116"/>
      <c r="Q201" s="117"/>
      <c r="R201" s="82"/>
    </row>
    <row r="202" spans="1:18" s="67" customFormat="1">
      <c r="A202" s="163">
        <f t="shared" si="44"/>
        <v>50</v>
      </c>
      <c r="B202" s="152">
        <f t="shared" si="38"/>
        <v>24.553801733943406</v>
      </c>
      <c r="C202" s="145">
        <f>IF(A202&lt;=$C$8,100^2/($B$4^2*B202^2),C201)</f>
        <v>313.55002415670174</v>
      </c>
      <c r="D202" s="153">
        <f t="shared" si="39"/>
        <v>34.94875808093078</v>
      </c>
      <c r="E202" s="164">
        <f t="shared" si="40"/>
        <v>30.078779843687929</v>
      </c>
      <c r="F202" s="168">
        <f t="shared" si="41"/>
        <v>331.5145846482713</v>
      </c>
      <c r="G202" s="172">
        <f t="shared" si="42"/>
        <v>28.041589059301316</v>
      </c>
      <c r="H202" s="179">
        <f t="shared" si="43"/>
        <v>29.792406801004816</v>
      </c>
      <c r="I202" s="164">
        <f t="shared" si="36"/>
        <v>1.9548060784098495</v>
      </c>
      <c r="J202" s="188">
        <f t="shared" si="37"/>
        <v>15.635641243521915</v>
      </c>
      <c r="K202" s="114"/>
      <c r="L202" s="111"/>
      <c r="M202" s="111"/>
      <c r="N202" s="111"/>
      <c r="O202" s="115"/>
      <c r="P202" s="116"/>
      <c r="Q202" s="117"/>
      <c r="R202" s="82"/>
    </row>
    <row r="203" spans="1:18" s="67" customFormat="1">
      <c r="A203" s="163">
        <f t="shared" si="44"/>
        <v>55</v>
      </c>
      <c r="B203" s="152">
        <f t="shared" si="38"/>
        <v>25.731357111216642</v>
      </c>
      <c r="C203" s="145">
        <f>IF(A203&lt;=$C$8,100^2/($B$4^2*B203^2),C202)</f>
        <v>285.50843509740042</v>
      </c>
      <c r="D203" s="153">
        <f t="shared" si="39"/>
        <v>36.514270334409645</v>
      </c>
      <c r="E203" s="164">
        <f t="shared" si="40"/>
        <v>29.897445169365728</v>
      </c>
      <c r="F203" s="168">
        <f t="shared" si="41"/>
        <v>344.92209729182821</v>
      </c>
      <c r="G203" s="172">
        <f t="shared" si="42"/>
        <v>22.115955130274642</v>
      </c>
      <c r="H203" s="179">
        <f t="shared" si="43"/>
        <v>31.627987257024213</v>
      </c>
      <c r="I203" s="164">
        <f t="shared" si="36"/>
        <v>1.737555525390071</v>
      </c>
      <c r="J203" s="188">
        <f t="shared" si="37"/>
        <v>14.007394721520717</v>
      </c>
      <c r="K203" s="114"/>
      <c r="L203" s="111"/>
      <c r="M203" s="111"/>
      <c r="N203" s="111"/>
      <c r="O203" s="115"/>
      <c r="P203" s="116"/>
      <c r="Q203" s="117"/>
      <c r="R203" s="82"/>
    </row>
    <row r="204" spans="1:18" s="67" customFormat="1">
      <c r="A204" s="163">
        <f t="shared" si="44"/>
        <v>60</v>
      </c>
      <c r="B204" s="152">
        <f t="shared" si="38"/>
        <v>26.789862111400492</v>
      </c>
      <c r="C204" s="145">
        <f>IF(A204&lt;=$C$8,100^2/($B$4^2*B204^2),C203)</f>
        <v>263.39247996712578</v>
      </c>
      <c r="D204" s="153">
        <f t="shared" si="39"/>
        <v>37.743320463060329</v>
      </c>
      <c r="E204" s="164">
        <f t="shared" si="40"/>
        <v>29.469547119501851</v>
      </c>
      <c r="F204" s="168">
        <f t="shared" si="41"/>
        <v>353.63585207294227</v>
      </c>
      <c r="G204" s="172">
        <f t="shared" si="42"/>
        <v>17.903317796608093</v>
      </c>
      <c r="H204" s="179">
        <f t="shared" si="43"/>
        <v>33.126695539886633</v>
      </c>
      <c r="I204" s="164">
        <f t="shared" si="36"/>
        <v>1.5430487055972151</v>
      </c>
      <c r="J204" s="188">
        <f t="shared" si="37"/>
        <v>12.507038052409774</v>
      </c>
      <c r="K204" s="114"/>
      <c r="L204" s="111"/>
      <c r="M204" s="111"/>
      <c r="N204" s="111"/>
      <c r="O204" s="115"/>
      <c r="P204" s="116"/>
      <c r="Q204" s="117"/>
      <c r="R204" s="82"/>
    </row>
    <row r="205" spans="1:18" s="67" customFormat="1">
      <c r="A205" s="163">
        <f t="shared" si="44"/>
        <v>65</v>
      </c>
      <c r="B205" s="152">
        <f t="shared" si="38"/>
        <v>27.749553664181299</v>
      </c>
      <c r="C205" s="145">
        <f>IF(A205&lt;=$C$8,100^2/($B$4^2*B205^2),C204)</f>
        <v>245.48916217051769</v>
      </c>
      <c r="D205" s="153">
        <f t="shared" si="39"/>
        <v>38.663116830642679</v>
      </c>
      <c r="E205" s="164">
        <f t="shared" si="40"/>
        <v>28.821456793767251</v>
      </c>
      <c r="F205" s="168">
        <f t="shared" si="41"/>
        <v>357.96262836231824</v>
      </c>
      <c r="G205" s="172">
        <f t="shared" si="42"/>
        <v>0</v>
      </c>
      <c r="H205" s="179">
        <f t="shared" si="43"/>
        <v>33.268603953170455</v>
      </c>
      <c r="I205" s="164">
        <f t="shared" si="36"/>
        <v>0</v>
      </c>
      <c r="J205" s="188">
        <f t="shared" si="37"/>
        <v>0</v>
      </c>
      <c r="K205" s="114"/>
      <c r="L205" s="111"/>
      <c r="M205" s="111"/>
      <c r="N205" s="111"/>
      <c r="O205" s="115"/>
      <c r="P205" s="116"/>
      <c r="Q205" s="117"/>
      <c r="R205" s="82"/>
    </row>
    <row r="206" spans="1:18" s="67" customFormat="1">
      <c r="A206" s="163">
        <v>70</v>
      </c>
      <c r="B206" s="152">
        <f t="shared" si="38"/>
        <v>28.626116569254211</v>
      </c>
      <c r="C206" s="146">
        <f>IF(A206&lt;=$C$8,100^2/($B$4^2*B206^2),C205)</f>
        <v>245.48916217051769</v>
      </c>
      <c r="D206" s="153">
        <f t="shared" si="39"/>
        <v>38.690102564593914</v>
      </c>
      <c r="E206" s="164">
        <f t="shared" si="40"/>
        <v>28.861703916022808</v>
      </c>
      <c r="F206" s="168">
        <f t="shared" si="41"/>
        <v>369.53338354474806</v>
      </c>
      <c r="G206" s="172">
        <f t="shared" si="42"/>
        <v>0</v>
      </c>
      <c r="H206" s="179">
        <f t="shared" si="43"/>
        <v>33.306240377352104</v>
      </c>
      <c r="I206" s="164">
        <f t="shared" si="36"/>
        <v>0</v>
      </c>
      <c r="J206" s="188">
        <f t="shared" si="37"/>
        <v>0</v>
      </c>
      <c r="K206" s="125"/>
      <c r="L206" s="82"/>
      <c r="M206" s="82"/>
      <c r="N206" s="82"/>
      <c r="O206" s="115"/>
      <c r="P206" s="82"/>
      <c r="Q206" s="127"/>
      <c r="R206" s="83"/>
    </row>
    <row r="207" spans="1:18" ht="12" customHeight="1" thickBot="1">
      <c r="A207" s="165">
        <v>75</v>
      </c>
      <c r="B207" s="156">
        <f t="shared" si="38"/>
        <v>29.431856571860372</v>
      </c>
      <c r="C207" s="146">
        <f>IF(A207&lt;=$C$8,100^2/($B$4^2*B207^2),C206)</f>
        <v>245.48916217051769</v>
      </c>
      <c r="D207" s="153">
        <f t="shared" si="39"/>
        <v>38.494320544300166</v>
      </c>
      <c r="E207" s="164">
        <f t="shared" si="40"/>
        <v>28.570347441590304</v>
      </c>
      <c r="F207" s="169">
        <f t="shared" si="41"/>
        <v>375.87664605637605</v>
      </c>
      <c r="G207" s="185"/>
      <c r="H207" s="186"/>
      <c r="I207" s="186"/>
      <c r="J207" s="189"/>
      <c r="K207" s="134"/>
      <c r="L207" s="135"/>
      <c r="M207" s="135"/>
      <c r="N207" s="135"/>
      <c r="O207" s="190"/>
      <c r="P207" s="135"/>
      <c r="Q207" s="137"/>
      <c r="R207" s="83"/>
    </row>
    <row r="208" spans="1:18" ht="12" customHeight="1">
      <c r="A208" s="138"/>
      <c r="B208" s="109"/>
      <c r="C208" s="110"/>
      <c r="D208" s="153"/>
      <c r="E208" s="111"/>
      <c r="F208" s="170"/>
      <c r="K208" s="124"/>
      <c r="L208" s="82"/>
      <c r="M208" s="82"/>
      <c r="N208" s="82"/>
      <c r="O208" s="111"/>
      <c r="P208" s="82"/>
      <c r="Q208" s="83"/>
      <c r="R208" s="83"/>
    </row>
    <row r="209" spans="1:18" ht="12" customHeight="1">
      <c r="A209" s="138"/>
      <c r="B209" s="109"/>
      <c r="C209" s="110"/>
      <c r="D209" s="153"/>
      <c r="E209" s="111"/>
      <c r="F209" s="170"/>
      <c r="K209" s="124"/>
      <c r="L209" s="82"/>
      <c r="M209" s="82"/>
      <c r="N209" s="82"/>
      <c r="O209" s="111"/>
      <c r="P209" s="82"/>
      <c r="Q209" s="83"/>
      <c r="R209" s="83"/>
    </row>
    <row r="210" spans="1:18" ht="12" customHeight="1">
      <c r="A210" s="138"/>
      <c r="B210" s="109"/>
      <c r="C210" s="110"/>
      <c r="D210" s="153"/>
      <c r="E210" s="111"/>
      <c r="F210" s="170"/>
      <c r="K210" s="124"/>
      <c r="L210" s="82"/>
      <c r="M210" s="82"/>
      <c r="N210" s="82"/>
      <c r="O210" s="111"/>
      <c r="P210" s="82"/>
      <c r="Q210" s="83"/>
      <c r="R210" s="83"/>
    </row>
    <row r="211" spans="1:18" ht="12" customHeight="1">
      <c r="A211" s="138"/>
      <c r="B211" s="109"/>
      <c r="C211" s="110"/>
      <c r="D211" s="153"/>
      <c r="E211" s="111"/>
      <c r="F211" s="170"/>
      <c r="K211" s="124"/>
      <c r="L211" s="82"/>
      <c r="M211" s="82"/>
      <c r="N211" s="82"/>
      <c r="O211" s="111"/>
      <c r="P211" s="82"/>
      <c r="Q211" s="83"/>
      <c r="R211" s="83"/>
    </row>
    <row r="212" spans="1:18" ht="12" customHeight="1">
      <c r="A212" s="138"/>
      <c r="B212" s="109"/>
      <c r="C212" s="110"/>
      <c r="D212" s="153"/>
      <c r="E212" s="111"/>
      <c r="F212" s="170"/>
      <c r="K212" s="124"/>
      <c r="L212" s="82"/>
      <c r="M212" s="82"/>
      <c r="N212" s="82"/>
      <c r="O212" s="111"/>
      <c r="P212" s="82"/>
      <c r="Q212" s="83"/>
      <c r="R212" s="83"/>
    </row>
    <row r="213" spans="1:18" ht="13.8" thickBot="1">
      <c r="A213" s="138"/>
      <c r="B213" s="111"/>
      <c r="C213" s="110"/>
      <c r="D213" s="122"/>
      <c r="E213" s="122"/>
      <c r="F213" s="122"/>
      <c r="G213" s="139"/>
      <c r="H213" s="124"/>
      <c r="I213" s="124"/>
      <c r="J213" s="124"/>
      <c r="K213" s="62"/>
      <c r="L213" s="67"/>
      <c r="M213" s="67"/>
      <c r="N213" s="82"/>
      <c r="O213" s="82"/>
      <c r="P213" s="82"/>
      <c r="Q213" s="83"/>
      <c r="R213" s="83"/>
    </row>
    <row r="214" spans="1:18" ht="13.8" thickBot="1">
      <c r="A214" s="216" t="s">
        <v>0</v>
      </c>
      <c r="B214" s="218" t="s">
        <v>69</v>
      </c>
      <c r="C214" s="218"/>
      <c r="D214" s="218"/>
      <c r="E214" s="219"/>
      <c r="F214" s="218"/>
      <c r="G214" s="220" t="s">
        <v>70</v>
      </c>
      <c r="H214" s="221"/>
      <c r="I214" s="221"/>
      <c r="J214" s="222"/>
      <c r="K214" s="220" t="s">
        <v>71</v>
      </c>
      <c r="L214" s="221"/>
      <c r="M214" s="221"/>
      <c r="N214" s="222"/>
      <c r="O214" s="223" t="s">
        <v>6</v>
      </c>
      <c r="P214" s="225" t="s">
        <v>56</v>
      </c>
      <c r="Q214" s="226"/>
      <c r="R214" s="82"/>
    </row>
    <row r="215" spans="1:18" ht="16.2" thickBot="1">
      <c r="A215" s="217"/>
      <c r="B215" s="84" t="s">
        <v>1</v>
      </c>
      <c r="C215" s="85" t="s">
        <v>2</v>
      </c>
      <c r="D215" s="85" t="s">
        <v>3</v>
      </c>
      <c r="E215" s="86" t="s">
        <v>57</v>
      </c>
      <c r="F215" s="85" t="s">
        <v>58</v>
      </c>
      <c r="G215" s="87" t="s">
        <v>60</v>
      </c>
      <c r="H215" s="88" t="s">
        <v>3</v>
      </c>
      <c r="I215" s="88" t="s">
        <v>72</v>
      </c>
      <c r="J215" s="86" t="s">
        <v>59</v>
      </c>
      <c r="K215" s="85" t="s">
        <v>73</v>
      </c>
      <c r="L215" s="85" t="s">
        <v>74</v>
      </c>
      <c r="M215" s="85" t="s">
        <v>75</v>
      </c>
      <c r="N215" s="85" t="s">
        <v>76</v>
      </c>
      <c r="O215" s="224"/>
      <c r="P215" s="89" t="s">
        <v>61</v>
      </c>
      <c r="Q215" s="89" t="s">
        <v>62</v>
      </c>
      <c r="R215" s="90" t="s">
        <v>77</v>
      </c>
    </row>
    <row r="216" spans="1:18" ht="13.8" thickBot="1">
      <c r="A216" s="140">
        <v>15</v>
      </c>
      <c r="B216" s="93">
        <f>EXP(4.04764-8.75819/A216^0.56087)+1.19874*(1-EXP(-0.081*A216))^2.99578*($B$5-17.38)</f>
        <v>9.5085291059454633</v>
      </c>
      <c r="C216" s="141">
        <f>$B$6</f>
        <v>2200</v>
      </c>
      <c r="D216" s="142"/>
      <c r="E216" s="94"/>
      <c r="F216" s="147"/>
      <c r="G216" s="95"/>
      <c r="H216" s="94"/>
      <c r="I216" s="94"/>
      <c r="J216" s="94"/>
      <c r="K216" s="94"/>
      <c r="L216" s="142"/>
      <c r="M216" s="142"/>
      <c r="N216" s="142"/>
      <c r="O216" s="97"/>
      <c r="P216" s="148"/>
      <c r="Q216" s="160"/>
      <c r="R216" s="90"/>
    </row>
    <row r="217" spans="1:18">
      <c r="A217" s="161">
        <v>15</v>
      </c>
      <c r="B217" s="149">
        <f>EXP(4.04764-8.75819/A217^0.56087)+1.19874*(1-EXP(-0.081*A217))^2.99578*($B$5-17.38)</f>
        <v>9.5085291059454633</v>
      </c>
      <c r="C217" s="145">
        <f>IF(A217&lt;=$C$8,100^2/($B$4^2*B217^2),C216)</f>
        <v>2090.8248228660891</v>
      </c>
      <c r="D217" s="150">
        <f>(-7.5886+0.6547*B217+0.3669*A217+299.909*(1/SQRT(C217))-0.003528*A217^2)</f>
        <v>9.9052289536229896</v>
      </c>
      <c r="E217" s="162">
        <f>(PI()/4*(D217/100)^2)*C217</f>
        <v>16.111521893899372</v>
      </c>
      <c r="F217" s="167">
        <f>0.2768*E217+0.4376*E217*B217</f>
        <v>71.498621703001916</v>
      </c>
      <c r="G217" s="171">
        <f>C217-C218</f>
        <v>940.60147088805911</v>
      </c>
      <c r="H217" s="178">
        <f>6.3167+0.01803*D217^2-0.005994*G217+18.1328*(G217/C217)</f>
        <v>10.60514329777968</v>
      </c>
      <c r="I217" s="162">
        <f t="shared" ref="I217:I228" si="45">(PI()/4*(H217/100)^2)*G217</f>
        <v>8.3086146522791804</v>
      </c>
      <c r="J217" s="187">
        <f t="shared" ref="J217:J228" si="46">-0.03896*G217+0.0006721*H217^2*G217</f>
        <v>34.454662825243993</v>
      </c>
      <c r="K217" s="191">
        <f>C217-G217</f>
        <v>1150.22335197803</v>
      </c>
      <c r="L217" s="101"/>
      <c r="M217" s="101"/>
      <c r="N217" s="101"/>
      <c r="O217" s="105"/>
      <c r="P217" s="106"/>
      <c r="Q217" s="107"/>
      <c r="R217" s="82"/>
    </row>
    <row r="218" spans="1:18">
      <c r="A218" s="163">
        <f>A217+pdesb</f>
        <v>20</v>
      </c>
      <c r="B218" s="152">
        <f t="shared" ref="B218:B229" si="47">EXP(4.04764-8.75819/A218^0.56087)+1.19874*(1-EXP(-0.081*A218))^2.99578*($B$5-17.38)</f>
        <v>12.819794801507502</v>
      </c>
      <c r="C218" s="145">
        <f>IF(A218&lt;=$C$8,100^2/($B$4^2*B218^2),C217)</f>
        <v>1150.22335197803</v>
      </c>
      <c r="D218" s="153">
        <f t="shared" ref="D218:D229" si="48">(-7.5886+0.6547*B218+0.3669*A218+299.909*(1/SQRT(C218))-0.003528*A218^2)</f>
        <v>15.574294886535185</v>
      </c>
      <c r="E218" s="164">
        <f t="shared" ref="E218:E229" si="49">(PI()/4*(D218/100)^2)*C218</f>
        <v>21.912344578448636</v>
      </c>
      <c r="F218" s="168">
        <f t="shared" ref="F218:F229" si="50">0.2768*E218+0.4376*E218*B218</f>
        <v>128.9923236435173</v>
      </c>
      <c r="G218" s="172">
        <f t="shared" ref="G218:G228" si="51">C218-C219</f>
        <v>375.70209283897009</v>
      </c>
      <c r="H218" s="179">
        <f t="shared" ref="H218:H228" si="52">6.3167+0.01803*D218^2-0.005994*G218+18.1328*(G218/C218)</f>
        <v>14.36086391915218</v>
      </c>
      <c r="I218" s="164">
        <f t="shared" si="45"/>
        <v>6.0854770583989177</v>
      </c>
      <c r="J218" s="188">
        <f t="shared" si="46"/>
        <v>37.438769397344863</v>
      </c>
      <c r="K218" s="191">
        <f t="shared" ref="K218:K228" si="53">C218-G218</f>
        <v>774.52125913905991</v>
      </c>
      <c r="L218" s="111"/>
      <c r="M218" s="111"/>
      <c r="N218" s="111"/>
      <c r="O218" s="115"/>
      <c r="P218" s="116"/>
      <c r="Q218" s="117"/>
      <c r="R218" s="82"/>
    </row>
    <row r="219" spans="1:18">
      <c r="A219" s="163">
        <f t="shared" ref="A219:A227" si="54">A218+pdesb</f>
        <v>25</v>
      </c>
      <c r="B219" s="152">
        <f t="shared" si="47"/>
        <v>15.622678395248585</v>
      </c>
      <c r="C219" s="145">
        <f>IF(A219&lt;=$C$8,100^2/($B$4^2*B219^2),C218)</f>
        <v>774.52125913905991</v>
      </c>
      <c r="D219" s="153">
        <f t="shared" si="48"/>
        <v>20.383445811502646</v>
      </c>
      <c r="E219" s="164">
        <f t="shared" si="49"/>
        <v>25.274258931963477</v>
      </c>
      <c r="F219" s="168">
        <f t="shared" si="50"/>
        <v>179.78298333464787</v>
      </c>
      <c r="G219" s="172">
        <f t="shared" si="51"/>
        <v>190.35476698454966</v>
      </c>
      <c r="H219" s="179">
        <f t="shared" si="52"/>
        <v>17.123419717915027</v>
      </c>
      <c r="I219" s="164">
        <f t="shared" si="45"/>
        <v>4.383637590452258</v>
      </c>
      <c r="J219" s="188">
        <f t="shared" si="46"/>
        <v>30.096507004285154</v>
      </c>
      <c r="K219" s="191">
        <f t="shared" si="53"/>
        <v>584.16649215451025</v>
      </c>
      <c r="M219" s="111"/>
      <c r="N219" s="111"/>
      <c r="O219" s="115"/>
      <c r="P219" s="116"/>
      <c r="Q219" s="117"/>
      <c r="R219" s="82"/>
    </row>
    <row r="220" spans="1:18">
      <c r="A220" s="163">
        <f t="shared" si="54"/>
        <v>30</v>
      </c>
      <c r="B220" s="152">
        <f t="shared" si="47"/>
        <v>17.988868326662203</v>
      </c>
      <c r="C220" s="145">
        <f>IF(A220&lt;=$C$8,100^2/($B$4^2*B220^2),C219)</f>
        <v>584.16649215451025</v>
      </c>
      <c r="D220" s="153">
        <f t="shared" si="48"/>
        <v>24.429066168721892</v>
      </c>
      <c r="E220" s="164">
        <f t="shared" si="49"/>
        <v>27.380429429173205</v>
      </c>
      <c r="F220" s="168">
        <f t="shared" si="50"/>
        <v>223.11569329134582</v>
      </c>
      <c r="G220" s="172">
        <f t="shared" si="51"/>
        <v>111.57481285277856</v>
      </c>
      <c r="H220" s="179">
        <f t="shared" si="52"/>
        <v>19.871185038184535</v>
      </c>
      <c r="I220" s="164">
        <f t="shared" si="45"/>
        <v>3.4602189750321761</v>
      </c>
      <c r="J220" s="188">
        <f t="shared" si="46"/>
        <v>25.263671868978673</v>
      </c>
      <c r="K220" s="191">
        <f t="shared" si="53"/>
        <v>472.59167930173169</v>
      </c>
      <c r="L220" s="111"/>
      <c r="M220" s="111"/>
      <c r="N220" s="111"/>
      <c r="O220" s="115"/>
      <c r="P220" s="116"/>
      <c r="Q220" s="117"/>
      <c r="R220" s="82"/>
    </row>
    <row r="221" spans="1:18">
      <c r="A221" s="163">
        <f t="shared" si="54"/>
        <v>35</v>
      </c>
      <c r="B221" s="152">
        <f t="shared" si="47"/>
        <v>19.99996006609496</v>
      </c>
      <c r="C221" s="145">
        <f>IF(A221&lt;=$C$8,100^2/($B$4^2*B221^2),C220)</f>
        <v>472.59167930173169</v>
      </c>
      <c r="D221" s="153">
        <f t="shared" si="48"/>
        <v>27.820860309236064</v>
      </c>
      <c r="E221" s="164">
        <f t="shared" si="49"/>
        <v>28.728772061012613</v>
      </c>
      <c r="F221" s="168">
        <f t="shared" si="50"/>
        <v>259.3858351469712</v>
      </c>
      <c r="G221" s="172">
        <f t="shared" si="51"/>
        <v>72.178911758667141</v>
      </c>
      <c r="H221" s="179">
        <f t="shared" si="52"/>
        <v>22.608706393508037</v>
      </c>
      <c r="I221" s="164">
        <f t="shared" si="45"/>
        <v>2.8976881127880056</v>
      </c>
      <c r="J221" s="188">
        <f t="shared" si="46"/>
        <v>21.984710397367692</v>
      </c>
      <c r="K221" s="191">
        <f t="shared" si="53"/>
        <v>400.41276754306455</v>
      </c>
      <c r="L221" s="111"/>
      <c r="M221" s="111"/>
      <c r="N221" s="111"/>
      <c r="O221" s="115"/>
      <c r="P221" s="116"/>
      <c r="Q221" s="117"/>
      <c r="R221" s="82"/>
    </row>
    <row r="222" spans="1:18">
      <c r="A222" s="163">
        <f t="shared" si="54"/>
        <v>40</v>
      </c>
      <c r="B222" s="152">
        <f t="shared" si="47"/>
        <v>21.727922598897567</v>
      </c>
      <c r="C222" s="145">
        <f>IF(A222&lt;=$C$8,100^2/($B$4^2*B222^2),C221)</f>
        <v>400.41276754306455</v>
      </c>
      <c r="D222" s="153">
        <f t="shared" si="48"/>
        <v>30.655589864537607</v>
      </c>
      <c r="E222" s="164">
        <f t="shared" si="49"/>
        <v>29.554060121803456</v>
      </c>
      <c r="F222" s="168">
        <f t="shared" si="50"/>
        <v>289.18467340404459</v>
      </c>
      <c r="G222" s="172">
        <f t="shared" si="51"/>
        <v>50.13320716381287</v>
      </c>
      <c r="H222" s="179">
        <f t="shared" si="52"/>
        <v>25.230463717043527</v>
      </c>
      <c r="I222" s="164">
        <f t="shared" si="45"/>
        <v>2.5064891853387357</v>
      </c>
      <c r="J222" s="188">
        <f t="shared" si="46"/>
        <v>19.495948532834369</v>
      </c>
      <c r="K222" s="191">
        <f t="shared" si="53"/>
        <v>350.27956037925168</v>
      </c>
      <c r="L222" s="111"/>
      <c r="M222" s="111"/>
      <c r="N222" s="111"/>
      <c r="O222" s="115"/>
      <c r="P222" s="116"/>
      <c r="Q222" s="117"/>
      <c r="R222" s="82"/>
    </row>
    <row r="223" spans="1:18">
      <c r="A223" s="163">
        <f t="shared" si="54"/>
        <v>45</v>
      </c>
      <c r="B223" s="152">
        <f t="shared" si="47"/>
        <v>23.230832101091192</v>
      </c>
      <c r="C223" s="145">
        <f>IF(A223&lt;=$C$8,100^2/($B$4^2*B223^2),C222)</f>
        <v>350.27956037925168</v>
      </c>
      <c r="D223" s="153">
        <f t="shared" si="48"/>
        <v>33.01133771317857</v>
      </c>
      <c r="E223" s="164">
        <f t="shared" si="49"/>
        <v>29.979951394381878</v>
      </c>
      <c r="F223" s="168">
        <f t="shared" si="50"/>
        <v>313.06900401095913</v>
      </c>
      <c r="G223" s="172">
        <f t="shared" si="51"/>
        <v>36.729536222549939</v>
      </c>
      <c r="H223" s="179">
        <f t="shared" si="52"/>
        <v>27.64607223821206</v>
      </c>
      <c r="I223" s="164">
        <f t="shared" si="45"/>
        <v>2.2048152440893189</v>
      </c>
      <c r="J223" s="188">
        <f t="shared" si="46"/>
        <v>17.436598001862446</v>
      </c>
      <c r="K223" s="191">
        <f t="shared" si="53"/>
        <v>313.55002415670174</v>
      </c>
      <c r="L223" s="111"/>
      <c r="M223" s="111"/>
      <c r="N223" s="111"/>
      <c r="O223" s="115"/>
      <c r="P223" s="116"/>
      <c r="Q223" s="117"/>
      <c r="R223" s="82"/>
    </row>
    <row r="224" spans="1:18">
      <c r="A224" s="163">
        <f t="shared" si="54"/>
        <v>50</v>
      </c>
      <c r="B224" s="152">
        <f t="shared" si="47"/>
        <v>24.553801733943406</v>
      </c>
      <c r="C224" s="145">
        <f>IF(A224&lt;=$C$8,100^2/($B$4^2*B224^2),C223)</f>
        <v>313.55002415670174</v>
      </c>
      <c r="D224" s="153">
        <f t="shared" si="48"/>
        <v>34.94875808093078</v>
      </c>
      <c r="E224" s="164">
        <f t="shared" si="49"/>
        <v>30.078779843687929</v>
      </c>
      <c r="F224" s="168">
        <f t="shared" si="50"/>
        <v>331.5145846482713</v>
      </c>
      <c r="G224" s="172">
        <f t="shared" si="51"/>
        <v>28.041589059301316</v>
      </c>
      <c r="H224" s="179">
        <f t="shared" si="52"/>
        <v>29.792406801004816</v>
      </c>
      <c r="I224" s="164">
        <f t="shared" si="45"/>
        <v>1.9548060784098495</v>
      </c>
      <c r="J224" s="188">
        <f t="shared" si="46"/>
        <v>15.635641243521915</v>
      </c>
      <c r="K224" s="191">
        <f t="shared" si="53"/>
        <v>285.50843509740042</v>
      </c>
      <c r="L224" s="111"/>
      <c r="M224" s="111"/>
      <c r="N224" s="111"/>
      <c r="O224" s="115"/>
      <c r="P224" s="116"/>
      <c r="Q224" s="117"/>
      <c r="R224" s="82"/>
    </row>
    <row r="225" spans="1:18">
      <c r="A225" s="163">
        <f t="shared" si="54"/>
        <v>55</v>
      </c>
      <c r="B225" s="152">
        <f t="shared" si="47"/>
        <v>25.731357111216642</v>
      </c>
      <c r="C225" s="145">
        <f>IF(A225&lt;=$C$8,100^2/($B$4^2*B225^2),C224)</f>
        <v>285.50843509740042</v>
      </c>
      <c r="D225" s="153">
        <f t="shared" si="48"/>
        <v>36.514270334409645</v>
      </c>
      <c r="E225" s="164">
        <f t="shared" si="49"/>
        <v>29.897445169365728</v>
      </c>
      <c r="F225" s="168">
        <f t="shared" si="50"/>
        <v>344.92209729182821</v>
      </c>
      <c r="G225" s="172">
        <f t="shared" si="51"/>
        <v>22.115955130274642</v>
      </c>
      <c r="H225" s="179">
        <f t="shared" si="52"/>
        <v>31.627987257024213</v>
      </c>
      <c r="I225" s="164">
        <f t="shared" si="45"/>
        <v>1.737555525390071</v>
      </c>
      <c r="J225" s="188">
        <f t="shared" si="46"/>
        <v>14.007394721520717</v>
      </c>
      <c r="K225" s="191">
        <f t="shared" si="53"/>
        <v>263.39247996712578</v>
      </c>
      <c r="L225" s="111"/>
      <c r="M225" s="111"/>
      <c r="N225" s="111"/>
      <c r="O225" s="115"/>
      <c r="P225" s="116"/>
      <c r="Q225" s="117"/>
      <c r="R225" s="82"/>
    </row>
    <row r="226" spans="1:18">
      <c r="A226" s="163">
        <f t="shared" si="54"/>
        <v>60</v>
      </c>
      <c r="B226" s="152">
        <f t="shared" si="47"/>
        <v>26.789862111400492</v>
      </c>
      <c r="C226" s="145">
        <f>IF(A226&lt;=$C$8,100^2/($B$4^2*B226^2),C225)</f>
        <v>263.39247996712578</v>
      </c>
      <c r="D226" s="153">
        <f t="shared" si="48"/>
        <v>37.743320463060329</v>
      </c>
      <c r="E226" s="164">
        <f t="shared" si="49"/>
        <v>29.469547119501851</v>
      </c>
      <c r="F226" s="168">
        <f t="shared" si="50"/>
        <v>353.63585207294227</v>
      </c>
      <c r="G226" s="172">
        <f t="shared" si="51"/>
        <v>17.903317796608093</v>
      </c>
      <c r="H226" s="179">
        <f t="shared" si="52"/>
        <v>33.126695539886633</v>
      </c>
      <c r="I226" s="164">
        <f t="shared" si="45"/>
        <v>1.5430487055972151</v>
      </c>
      <c r="J226" s="188">
        <f t="shared" si="46"/>
        <v>12.507038052409774</v>
      </c>
      <c r="K226" s="191">
        <f t="shared" si="53"/>
        <v>245.48916217051769</v>
      </c>
      <c r="L226" s="111"/>
      <c r="M226" s="111"/>
      <c r="N226" s="111"/>
      <c r="O226" s="115"/>
      <c r="P226" s="116"/>
      <c r="Q226" s="117"/>
      <c r="R226" s="82"/>
    </row>
    <row r="227" spans="1:18">
      <c r="A227" s="163">
        <f t="shared" si="54"/>
        <v>65</v>
      </c>
      <c r="B227" s="152">
        <f t="shared" si="47"/>
        <v>27.749553664181299</v>
      </c>
      <c r="C227" s="145">
        <f>IF(A227&lt;=$C$8,100^2/($B$4^2*B227^2),C226)</f>
        <v>245.48916217051769</v>
      </c>
      <c r="D227" s="153">
        <f t="shared" si="48"/>
        <v>38.663116830642679</v>
      </c>
      <c r="E227" s="164">
        <f t="shared" si="49"/>
        <v>28.821456793767251</v>
      </c>
      <c r="F227" s="168">
        <f t="shared" si="50"/>
        <v>357.96262836231824</v>
      </c>
      <c r="G227" s="172">
        <f t="shared" si="51"/>
        <v>0</v>
      </c>
      <c r="H227" s="179">
        <f t="shared" si="52"/>
        <v>33.268603953170455</v>
      </c>
      <c r="I227" s="164">
        <f t="shared" si="45"/>
        <v>0</v>
      </c>
      <c r="J227" s="188">
        <f t="shared" si="46"/>
        <v>0</v>
      </c>
      <c r="K227" s="191">
        <f t="shared" si="53"/>
        <v>245.48916217051769</v>
      </c>
      <c r="L227" s="111"/>
      <c r="M227" s="111"/>
      <c r="N227" s="111"/>
      <c r="O227" s="115"/>
      <c r="P227" s="116"/>
      <c r="Q227" s="117"/>
      <c r="R227" s="82"/>
    </row>
    <row r="228" spans="1:18">
      <c r="A228" s="163">
        <v>70</v>
      </c>
      <c r="B228" s="152">
        <f t="shared" si="47"/>
        <v>28.626116569254211</v>
      </c>
      <c r="C228" s="146">
        <f>IF(A228&lt;=$C$8,100^2/($B$4^2*B228^2),C227)</f>
        <v>245.48916217051769</v>
      </c>
      <c r="D228" s="153">
        <f t="shared" si="48"/>
        <v>38.690102564593914</v>
      </c>
      <c r="E228" s="164">
        <f t="shared" si="49"/>
        <v>28.861703916022808</v>
      </c>
      <c r="F228" s="168">
        <f t="shared" si="50"/>
        <v>369.53338354474806</v>
      </c>
      <c r="G228" s="172">
        <f t="shared" si="51"/>
        <v>0</v>
      </c>
      <c r="H228" s="179">
        <f t="shared" si="52"/>
        <v>33.306240377352104</v>
      </c>
      <c r="I228" s="164">
        <f t="shared" si="45"/>
        <v>0</v>
      </c>
      <c r="J228" s="188">
        <f t="shared" si="46"/>
        <v>0</v>
      </c>
      <c r="K228" s="191">
        <f t="shared" si="53"/>
        <v>245.48916217051769</v>
      </c>
      <c r="L228" s="82"/>
      <c r="M228" s="82"/>
      <c r="N228" s="82"/>
      <c r="O228" s="115"/>
      <c r="P228" s="82"/>
      <c r="Q228" s="127"/>
      <c r="R228" s="83"/>
    </row>
    <row r="229" spans="1:18" ht="13.8" thickBot="1">
      <c r="A229" s="165">
        <v>75</v>
      </c>
      <c r="B229" s="156">
        <f t="shared" si="47"/>
        <v>29.431856571860372</v>
      </c>
      <c r="C229" s="146">
        <f>IF(A229&lt;=$C$8,100^2/($B$4^2*B229^2),C228)</f>
        <v>245.48916217051769</v>
      </c>
      <c r="D229" s="157">
        <f t="shared" si="48"/>
        <v>38.494320544300166</v>
      </c>
      <c r="E229" s="166">
        <f t="shared" si="49"/>
        <v>28.570347441590304</v>
      </c>
      <c r="F229" s="169">
        <f t="shared" si="50"/>
        <v>375.87664605637605</v>
      </c>
      <c r="G229" s="185"/>
      <c r="H229" s="186"/>
      <c r="I229" s="186"/>
      <c r="J229" s="189"/>
      <c r="K229" s="133"/>
      <c r="L229" s="135"/>
      <c r="M229" s="135"/>
      <c r="N229" s="135"/>
      <c r="O229" s="190"/>
      <c r="P229" s="135"/>
      <c r="Q229" s="137"/>
      <c r="R229" s="83"/>
    </row>
    <row r="230" spans="1:18" s="67" customFormat="1">
      <c r="A230" s="138"/>
      <c r="B230" s="109"/>
      <c r="C230" s="110"/>
      <c r="D230" s="153"/>
      <c r="E230" s="111"/>
      <c r="F230" s="170"/>
      <c r="G230" s="82"/>
      <c r="H230" s="82"/>
      <c r="I230" s="82"/>
      <c r="J230" s="82"/>
      <c r="K230" s="124"/>
      <c r="L230" s="82"/>
      <c r="M230" s="82"/>
      <c r="N230" s="82"/>
      <c r="O230" s="111"/>
      <c r="P230" s="82"/>
      <c r="Q230" s="83"/>
      <c r="R230" s="83"/>
    </row>
    <row r="231" spans="1:18" s="67" customFormat="1">
      <c r="A231" s="138"/>
      <c r="B231" s="109"/>
      <c r="C231" s="110"/>
      <c r="D231" s="153"/>
      <c r="E231" s="111"/>
      <c r="F231" s="170"/>
      <c r="G231" s="82"/>
      <c r="H231" s="82"/>
      <c r="I231" s="82"/>
      <c r="J231" s="82"/>
      <c r="K231" s="124"/>
      <c r="L231" s="82"/>
      <c r="M231" s="82"/>
      <c r="N231" s="82"/>
      <c r="O231" s="111"/>
      <c r="P231" s="82"/>
      <c r="Q231" s="83"/>
      <c r="R231" s="83"/>
    </row>
    <row r="232" spans="1:18" s="67" customFormat="1">
      <c r="A232" s="138"/>
      <c r="B232" s="109"/>
      <c r="C232" s="110"/>
      <c r="D232" s="153"/>
      <c r="E232" s="111"/>
      <c r="F232" s="170"/>
      <c r="G232" s="82"/>
      <c r="H232" s="82"/>
      <c r="I232" s="82"/>
      <c r="J232" s="82"/>
      <c r="K232" s="124"/>
      <c r="L232" s="82"/>
      <c r="M232" s="82"/>
      <c r="N232" s="82"/>
      <c r="O232" s="111"/>
      <c r="P232" s="82"/>
      <c r="Q232" s="83"/>
      <c r="R232" s="83"/>
    </row>
    <row r="233" spans="1:18" s="67" customFormat="1">
      <c r="A233" s="138"/>
      <c r="B233" s="109"/>
      <c r="C233" s="110"/>
      <c r="D233" s="153"/>
      <c r="E233" s="111"/>
      <c r="F233" s="170"/>
      <c r="G233" s="82"/>
      <c r="H233" s="82"/>
      <c r="I233" s="82"/>
      <c r="J233" s="82"/>
      <c r="K233" s="124"/>
      <c r="L233" s="82"/>
      <c r="M233" s="82"/>
      <c r="N233" s="82"/>
      <c r="O233" s="111"/>
      <c r="P233" s="82"/>
      <c r="Q233" s="83"/>
      <c r="R233" s="83"/>
    </row>
    <row r="234" spans="1:18" s="67" customFormat="1">
      <c r="A234" s="138"/>
      <c r="B234" s="109"/>
      <c r="C234" s="110"/>
      <c r="D234" s="153"/>
      <c r="E234" s="111"/>
      <c r="F234" s="170"/>
      <c r="G234" s="82"/>
      <c r="H234" s="82"/>
      <c r="I234" s="82"/>
      <c r="J234" s="82"/>
      <c r="K234" s="124"/>
      <c r="L234" s="82"/>
      <c r="M234" s="82"/>
      <c r="N234" s="82"/>
      <c r="O234" s="111"/>
      <c r="P234" s="82"/>
      <c r="Q234" s="83"/>
      <c r="R234" s="83"/>
    </row>
    <row r="235" spans="1:18" ht="13.8" thickBot="1">
      <c r="A235" s="138"/>
      <c r="B235" s="111"/>
      <c r="C235" s="110"/>
      <c r="D235" s="122"/>
      <c r="E235" s="122"/>
      <c r="F235" s="122"/>
      <c r="G235" s="139"/>
      <c r="H235" s="124"/>
      <c r="I235" s="124"/>
      <c r="J235" s="124"/>
      <c r="K235" s="62"/>
      <c r="L235" s="67"/>
      <c r="M235" s="67"/>
      <c r="N235" s="82"/>
      <c r="O235" s="82"/>
      <c r="P235" s="82"/>
      <c r="Q235" s="83"/>
      <c r="R235" s="83"/>
    </row>
    <row r="236" spans="1:18" ht="13.8" thickBot="1">
      <c r="A236" s="216" t="s">
        <v>0</v>
      </c>
      <c r="B236" s="218" t="s">
        <v>69</v>
      </c>
      <c r="C236" s="218"/>
      <c r="D236" s="218"/>
      <c r="E236" s="219"/>
      <c r="F236" s="218"/>
      <c r="G236" s="220" t="s">
        <v>70</v>
      </c>
      <c r="H236" s="221"/>
      <c r="I236" s="221"/>
      <c r="J236" s="222"/>
      <c r="K236" s="220" t="s">
        <v>71</v>
      </c>
      <c r="L236" s="221"/>
      <c r="M236" s="221"/>
      <c r="N236" s="222"/>
      <c r="O236" s="223" t="s">
        <v>6</v>
      </c>
      <c r="P236" s="225" t="s">
        <v>56</v>
      </c>
      <c r="Q236" s="226"/>
      <c r="R236" s="82"/>
    </row>
    <row r="237" spans="1:18" ht="16.2" thickBot="1">
      <c r="A237" s="217"/>
      <c r="B237" s="84" t="s">
        <v>1</v>
      </c>
      <c r="C237" s="85" t="s">
        <v>2</v>
      </c>
      <c r="D237" s="85" t="s">
        <v>3</v>
      </c>
      <c r="E237" s="86" t="s">
        <v>57</v>
      </c>
      <c r="F237" s="85" t="s">
        <v>58</v>
      </c>
      <c r="G237" s="87" t="s">
        <v>60</v>
      </c>
      <c r="H237" s="88" t="s">
        <v>3</v>
      </c>
      <c r="I237" s="88" t="s">
        <v>72</v>
      </c>
      <c r="J237" s="86" t="s">
        <v>59</v>
      </c>
      <c r="K237" s="85" t="s">
        <v>73</v>
      </c>
      <c r="L237" s="85" t="s">
        <v>74</v>
      </c>
      <c r="M237" s="85" t="s">
        <v>75</v>
      </c>
      <c r="N237" s="85" t="s">
        <v>76</v>
      </c>
      <c r="O237" s="224"/>
      <c r="P237" s="89" t="s">
        <v>61</v>
      </c>
      <c r="Q237" s="89" t="s">
        <v>62</v>
      </c>
      <c r="R237" s="90" t="s">
        <v>77</v>
      </c>
    </row>
    <row r="238" spans="1:18" ht="13.8" thickBot="1">
      <c r="A238" s="140">
        <v>15</v>
      </c>
      <c r="B238" s="93">
        <f>EXP(4.04764-8.75819/A238^0.56087)+1.19874*(1-EXP(-0.081*A238))^2.99578*($B$5-17.38)</f>
        <v>9.5085291059454633</v>
      </c>
      <c r="C238" s="141">
        <f>$B$6</f>
        <v>2200</v>
      </c>
      <c r="D238" s="142"/>
      <c r="E238" s="94"/>
      <c r="F238" s="147"/>
      <c r="G238" s="95"/>
      <c r="H238" s="94"/>
      <c r="I238" s="94"/>
      <c r="J238" s="94"/>
      <c r="K238" s="94"/>
      <c r="L238" s="94"/>
      <c r="M238" s="142"/>
      <c r="N238" s="142"/>
      <c r="O238" s="97"/>
      <c r="P238" s="148"/>
      <c r="Q238" s="160"/>
      <c r="R238" s="90"/>
    </row>
    <row r="239" spans="1:18">
      <c r="A239" s="161">
        <v>15</v>
      </c>
      <c r="B239" s="149">
        <f>EXP(4.04764-8.75819/A239^0.56087)+1.19874*(1-EXP(-0.081*A239))^2.99578*($B$5-17.38)</f>
        <v>9.5085291059454633</v>
      </c>
      <c r="C239" s="145">
        <f>IF(A239&lt;=$C$8,100^2/($B$4^2*B239^2),C238)</f>
        <v>2090.8248228660891</v>
      </c>
      <c r="D239" s="150">
        <f>(-7.5886+0.6547*B239+0.3669*A239+299.909*(1/SQRT(C239))-0.003528*A239^2)</f>
        <v>9.9052289536229896</v>
      </c>
      <c r="E239" s="162">
        <f>(PI()/4*(D239/100)^2)*C239</f>
        <v>16.111521893899372</v>
      </c>
      <c r="F239" s="167">
        <f>0.2768*E239+0.4376*E239*B239</f>
        <v>71.498621703001916</v>
      </c>
      <c r="G239" s="171">
        <f>C239-C240</f>
        <v>940.60147088805911</v>
      </c>
      <c r="H239" s="178">
        <f>6.3167+0.01803*D239^2-0.005994*G239+18.1328*(G239/C239)</f>
        <v>10.60514329777968</v>
      </c>
      <c r="I239" s="162">
        <f t="shared" ref="I239:I250" si="55">(PI()/4*(H239/100)^2)*G239</f>
        <v>8.3086146522791804</v>
      </c>
      <c r="J239" s="187">
        <f t="shared" ref="J239:J250" si="56">-0.03896*G239+0.0006721*H239^2*G239</f>
        <v>34.454662825243993</v>
      </c>
      <c r="K239" s="191">
        <f>C239-G239</f>
        <v>1150.22335197803</v>
      </c>
      <c r="L239" s="192">
        <f>E239-I239</f>
        <v>7.8029072416201917</v>
      </c>
      <c r="M239" s="101"/>
      <c r="N239" s="101"/>
      <c r="O239" s="105"/>
      <c r="P239" s="106"/>
      <c r="Q239" s="107"/>
      <c r="R239" s="82"/>
    </row>
    <row r="240" spans="1:18">
      <c r="A240" s="163">
        <f>A239+pdesb</f>
        <v>20</v>
      </c>
      <c r="B240" s="152">
        <f t="shared" ref="B240:B251" si="57">EXP(4.04764-8.75819/A240^0.56087)+1.19874*(1-EXP(-0.081*A240))^2.99578*($B$5-17.38)</f>
        <v>12.819794801507502</v>
      </c>
      <c r="C240" s="145">
        <f>IF(A240&lt;=$C$8,100^2/($B$4^2*B240^2),C239)</f>
        <v>1150.22335197803</v>
      </c>
      <c r="D240" s="153">
        <f t="shared" ref="D240:D251" si="58">(-7.5886+0.6547*B240+0.3669*A240+299.909*(1/SQRT(C240))-0.003528*A240^2)</f>
        <v>15.574294886535185</v>
      </c>
      <c r="E240" s="164">
        <f t="shared" ref="E240:E251" si="59">(PI()/4*(D240/100)^2)*C240</f>
        <v>21.912344578448636</v>
      </c>
      <c r="F240" s="168">
        <f t="shared" ref="F240:F251" si="60">0.2768*E240+0.4376*E240*B240</f>
        <v>128.9923236435173</v>
      </c>
      <c r="G240" s="172">
        <f t="shared" ref="G240:G250" si="61">C240-C241</f>
        <v>375.70209283897009</v>
      </c>
      <c r="H240" s="179">
        <f t="shared" ref="H240:H250" si="62">6.3167+0.01803*D240^2-0.005994*G240+18.1328*(G240/C240)</f>
        <v>14.36086391915218</v>
      </c>
      <c r="I240" s="164">
        <f t="shared" si="55"/>
        <v>6.0854770583989177</v>
      </c>
      <c r="J240" s="188">
        <f t="shared" si="56"/>
        <v>37.438769397344863</v>
      </c>
      <c r="K240" s="191">
        <f t="shared" ref="K240:K250" si="63">C240-G240</f>
        <v>774.52125913905991</v>
      </c>
      <c r="L240" s="192">
        <f t="shared" ref="L240:L250" si="64">E240-I240</f>
        <v>15.826867520049717</v>
      </c>
      <c r="M240" s="111"/>
      <c r="N240" s="111"/>
      <c r="O240" s="115"/>
      <c r="P240" s="116"/>
      <c r="Q240" s="117"/>
      <c r="R240" s="82"/>
    </row>
    <row r="241" spans="1:18">
      <c r="A241" s="163">
        <f t="shared" ref="A241:A249" si="65">A240+pdesb</f>
        <v>25</v>
      </c>
      <c r="B241" s="152">
        <f t="shared" si="57"/>
        <v>15.622678395248585</v>
      </c>
      <c r="C241" s="145">
        <f>IF(A241&lt;=$C$8,100^2/($B$4^2*B241^2),C240)</f>
        <v>774.52125913905991</v>
      </c>
      <c r="D241" s="153">
        <f t="shared" si="58"/>
        <v>20.383445811502646</v>
      </c>
      <c r="E241" s="164">
        <f t="shared" si="59"/>
        <v>25.274258931963477</v>
      </c>
      <c r="F241" s="168">
        <f t="shared" si="60"/>
        <v>179.78298333464787</v>
      </c>
      <c r="G241" s="172">
        <f t="shared" si="61"/>
        <v>190.35476698454966</v>
      </c>
      <c r="H241" s="179">
        <f t="shared" si="62"/>
        <v>17.123419717915027</v>
      </c>
      <c r="I241" s="164">
        <f t="shared" si="55"/>
        <v>4.383637590452258</v>
      </c>
      <c r="J241" s="188">
        <f t="shared" si="56"/>
        <v>30.096507004285154</v>
      </c>
      <c r="K241" s="191">
        <f t="shared" si="63"/>
        <v>584.16649215451025</v>
      </c>
      <c r="L241" s="192">
        <f t="shared" si="64"/>
        <v>20.890621341511221</v>
      </c>
      <c r="M241" s="111"/>
      <c r="N241" s="111"/>
      <c r="O241" s="115"/>
      <c r="P241" s="116"/>
      <c r="Q241" s="117"/>
      <c r="R241" s="82"/>
    </row>
    <row r="242" spans="1:18">
      <c r="A242" s="163">
        <f t="shared" si="65"/>
        <v>30</v>
      </c>
      <c r="B242" s="152">
        <f t="shared" si="57"/>
        <v>17.988868326662203</v>
      </c>
      <c r="C242" s="145">
        <f>IF(A242&lt;=$C$8,100^2/($B$4^2*B242^2),C241)</f>
        <v>584.16649215451025</v>
      </c>
      <c r="D242" s="153">
        <f t="shared" si="58"/>
        <v>24.429066168721892</v>
      </c>
      <c r="E242" s="164">
        <f t="shared" si="59"/>
        <v>27.380429429173205</v>
      </c>
      <c r="F242" s="168">
        <f t="shared" si="60"/>
        <v>223.11569329134582</v>
      </c>
      <c r="G242" s="172">
        <f t="shared" si="61"/>
        <v>111.57481285277856</v>
      </c>
      <c r="H242" s="179">
        <f t="shared" si="62"/>
        <v>19.871185038184535</v>
      </c>
      <c r="I242" s="164">
        <f t="shared" si="55"/>
        <v>3.4602189750321761</v>
      </c>
      <c r="J242" s="188">
        <f t="shared" si="56"/>
        <v>25.263671868978673</v>
      </c>
      <c r="K242" s="191">
        <f t="shared" si="63"/>
        <v>472.59167930173169</v>
      </c>
      <c r="L242" s="192">
        <f t="shared" si="64"/>
        <v>23.920210454141028</v>
      </c>
      <c r="M242" s="111"/>
      <c r="N242" s="111"/>
      <c r="O242" s="115"/>
      <c r="P242" s="116"/>
      <c r="Q242" s="117"/>
      <c r="R242" s="82"/>
    </row>
    <row r="243" spans="1:18">
      <c r="A243" s="163">
        <f t="shared" si="65"/>
        <v>35</v>
      </c>
      <c r="B243" s="152">
        <f t="shared" si="57"/>
        <v>19.99996006609496</v>
      </c>
      <c r="C243" s="145">
        <f>IF(A243&lt;=$C$8,100^2/($B$4^2*B243^2),C242)</f>
        <v>472.59167930173169</v>
      </c>
      <c r="D243" s="153">
        <f t="shared" si="58"/>
        <v>27.820860309236064</v>
      </c>
      <c r="E243" s="164">
        <f t="shared" si="59"/>
        <v>28.728772061012613</v>
      </c>
      <c r="F243" s="168">
        <f t="shared" si="60"/>
        <v>259.3858351469712</v>
      </c>
      <c r="G243" s="172">
        <f t="shared" si="61"/>
        <v>72.178911758667141</v>
      </c>
      <c r="H243" s="179">
        <f t="shared" si="62"/>
        <v>22.608706393508037</v>
      </c>
      <c r="I243" s="164">
        <f t="shared" si="55"/>
        <v>2.8976881127880056</v>
      </c>
      <c r="J243" s="188">
        <f t="shared" si="56"/>
        <v>21.984710397367692</v>
      </c>
      <c r="K243" s="191">
        <f t="shared" si="63"/>
        <v>400.41276754306455</v>
      </c>
      <c r="L243" s="192">
        <f t="shared" si="64"/>
        <v>25.831083948224606</v>
      </c>
      <c r="M243" s="111"/>
      <c r="N243" s="111"/>
      <c r="O243" s="115"/>
      <c r="P243" s="116"/>
      <c r="Q243" s="117"/>
      <c r="R243" s="82"/>
    </row>
    <row r="244" spans="1:18">
      <c r="A244" s="163">
        <f t="shared" si="65"/>
        <v>40</v>
      </c>
      <c r="B244" s="152">
        <f t="shared" si="57"/>
        <v>21.727922598897567</v>
      </c>
      <c r="C244" s="145">
        <f>IF(A244&lt;=$C$8,100^2/($B$4^2*B244^2),C243)</f>
        <v>400.41276754306455</v>
      </c>
      <c r="D244" s="153">
        <f t="shared" si="58"/>
        <v>30.655589864537607</v>
      </c>
      <c r="E244" s="164">
        <f t="shared" si="59"/>
        <v>29.554060121803456</v>
      </c>
      <c r="F244" s="168">
        <f t="shared" si="60"/>
        <v>289.18467340404459</v>
      </c>
      <c r="G244" s="172">
        <f t="shared" si="61"/>
        <v>50.13320716381287</v>
      </c>
      <c r="H244" s="179">
        <f t="shared" si="62"/>
        <v>25.230463717043527</v>
      </c>
      <c r="I244" s="164">
        <f t="shared" si="55"/>
        <v>2.5064891853387357</v>
      </c>
      <c r="J244" s="188">
        <f t="shared" si="56"/>
        <v>19.495948532834369</v>
      </c>
      <c r="K244" s="191">
        <f t="shared" si="63"/>
        <v>350.27956037925168</v>
      </c>
      <c r="L244" s="192">
        <f t="shared" si="64"/>
        <v>27.047570936464719</v>
      </c>
      <c r="M244" s="111"/>
      <c r="N244" s="111"/>
      <c r="O244" s="115"/>
      <c r="P244" s="116"/>
      <c r="Q244" s="117"/>
      <c r="R244" s="82"/>
    </row>
    <row r="245" spans="1:18">
      <c r="A245" s="163">
        <f t="shared" si="65"/>
        <v>45</v>
      </c>
      <c r="B245" s="152">
        <f t="shared" si="57"/>
        <v>23.230832101091192</v>
      </c>
      <c r="C245" s="145">
        <f>IF(A245&lt;=$C$8,100^2/($B$4^2*B245^2),C244)</f>
        <v>350.27956037925168</v>
      </c>
      <c r="D245" s="153">
        <f t="shared" si="58"/>
        <v>33.01133771317857</v>
      </c>
      <c r="E245" s="164">
        <f t="shared" si="59"/>
        <v>29.979951394381878</v>
      </c>
      <c r="F245" s="168">
        <f t="shared" si="60"/>
        <v>313.06900401095913</v>
      </c>
      <c r="G245" s="172">
        <f t="shared" si="61"/>
        <v>36.729536222549939</v>
      </c>
      <c r="H245" s="179">
        <f t="shared" si="62"/>
        <v>27.64607223821206</v>
      </c>
      <c r="I245" s="164">
        <f t="shared" si="55"/>
        <v>2.2048152440893189</v>
      </c>
      <c r="J245" s="188">
        <f t="shared" si="56"/>
        <v>17.436598001862446</v>
      </c>
      <c r="K245" s="191">
        <f t="shared" si="63"/>
        <v>313.55002415670174</v>
      </c>
      <c r="L245" s="192">
        <f t="shared" si="64"/>
        <v>27.77513615029256</v>
      </c>
      <c r="M245" s="111"/>
      <c r="N245" s="111"/>
      <c r="O245" s="115"/>
      <c r="P245" s="116"/>
      <c r="Q245" s="117"/>
      <c r="R245" s="82"/>
    </row>
    <row r="246" spans="1:18">
      <c r="A246" s="163">
        <f t="shared" si="65"/>
        <v>50</v>
      </c>
      <c r="B246" s="152">
        <f t="shared" si="57"/>
        <v>24.553801733943406</v>
      </c>
      <c r="C246" s="145">
        <f>IF(A246&lt;=$C$8,100^2/($B$4^2*B246^2),C245)</f>
        <v>313.55002415670174</v>
      </c>
      <c r="D246" s="153">
        <f t="shared" si="58"/>
        <v>34.94875808093078</v>
      </c>
      <c r="E246" s="164">
        <f t="shared" si="59"/>
        <v>30.078779843687929</v>
      </c>
      <c r="F246" s="168">
        <f t="shared" si="60"/>
        <v>331.5145846482713</v>
      </c>
      <c r="G246" s="172">
        <f t="shared" si="61"/>
        <v>28.041589059301316</v>
      </c>
      <c r="H246" s="179">
        <f t="shared" si="62"/>
        <v>29.792406801004816</v>
      </c>
      <c r="I246" s="164">
        <f t="shared" si="55"/>
        <v>1.9548060784098495</v>
      </c>
      <c r="J246" s="188">
        <f t="shared" si="56"/>
        <v>15.635641243521915</v>
      </c>
      <c r="K246" s="191">
        <f t="shared" si="63"/>
        <v>285.50843509740042</v>
      </c>
      <c r="L246" s="192">
        <f t="shared" si="64"/>
        <v>28.12397376527808</v>
      </c>
      <c r="M246" s="111"/>
      <c r="N246" s="111"/>
      <c r="O246" s="115"/>
      <c r="P246" s="116"/>
      <c r="Q246" s="117"/>
      <c r="R246" s="82"/>
    </row>
    <row r="247" spans="1:18">
      <c r="A247" s="163">
        <f t="shared" si="65"/>
        <v>55</v>
      </c>
      <c r="B247" s="152">
        <f t="shared" si="57"/>
        <v>25.731357111216642</v>
      </c>
      <c r="C247" s="145">
        <f>IF(A247&lt;=$C$8,100^2/($B$4^2*B247^2),C246)</f>
        <v>285.50843509740042</v>
      </c>
      <c r="D247" s="153">
        <f t="shared" si="58"/>
        <v>36.514270334409645</v>
      </c>
      <c r="E247" s="164">
        <f t="shared" si="59"/>
        <v>29.897445169365728</v>
      </c>
      <c r="F247" s="168">
        <f t="shared" si="60"/>
        <v>344.92209729182821</v>
      </c>
      <c r="G247" s="172">
        <f t="shared" si="61"/>
        <v>22.115955130274642</v>
      </c>
      <c r="H247" s="179">
        <f t="shared" si="62"/>
        <v>31.627987257024213</v>
      </c>
      <c r="I247" s="164">
        <f t="shared" si="55"/>
        <v>1.737555525390071</v>
      </c>
      <c r="J247" s="188">
        <f t="shared" si="56"/>
        <v>14.007394721520717</v>
      </c>
      <c r="K247" s="191">
        <f t="shared" si="63"/>
        <v>263.39247996712578</v>
      </c>
      <c r="L247" s="192">
        <f t="shared" si="64"/>
        <v>28.159889643975657</v>
      </c>
      <c r="M247" s="111"/>
      <c r="N247" s="111"/>
      <c r="O247" s="115"/>
      <c r="P247" s="116"/>
      <c r="Q247" s="117"/>
      <c r="R247" s="82"/>
    </row>
    <row r="248" spans="1:18">
      <c r="A248" s="163">
        <f t="shared" si="65"/>
        <v>60</v>
      </c>
      <c r="B248" s="152">
        <f t="shared" si="57"/>
        <v>26.789862111400492</v>
      </c>
      <c r="C248" s="145">
        <f>IF(A248&lt;=$C$8,100^2/($B$4^2*B248^2),C247)</f>
        <v>263.39247996712578</v>
      </c>
      <c r="D248" s="153">
        <f t="shared" si="58"/>
        <v>37.743320463060329</v>
      </c>
      <c r="E248" s="164">
        <f t="shared" si="59"/>
        <v>29.469547119501851</v>
      </c>
      <c r="F248" s="168">
        <f t="shared" si="60"/>
        <v>353.63585207294227</v>
      </c>
      <c r="G248" s="172">
        <f t="shared" si="61"/>
        <v>17.903317796608093</v>
      </c>
      <c r="H248" s="179">
        <f t="shared" si="62"/>
        <v>33.126695539886633</v>
      </c>
      <c r="I248" s="164">
        <f t="shared" si="55"/>
        <v>1.5430487055972151</v>
      </c>
      <c r="J248" s="188">
        <f t="shared" si="56"/>
        <v>12.507038052409774</v>
      </c>
      <c r="K248" s="191">
        <f t="shared" si="63"/>
        <v>245.48916217051769</v>
      </c>
      <c r="L248" s="192">
        <f t="shared" si="64"/>
        <v>27.926498413904635</v>
      </c>
      <c r="M248" s="111"/>
      <c r="N248" s="111"/>
      <c r="O248" s="115"/>
      <c r="P248" s="116"/>
      <c r="Q248" s="117"/>
      <c r="R248" s="82"/>
    </row>
    <row r="249" spans="1:18">
      <c r="A249" s="163">
        <f t="shared" si="65"/>
        <v>65</v>
      </c>
      <c r="B249" s="152">
        <f t="shared" si="57"/>
        <v>27.749553664181299</v>
      </c>
      <c r="C249" s="145">
        <f>IF(A249&lt;=$C$8,100^2/($B$4^2*B249^2),C248)</f>
        <v>245.48916217051769</v>
      </c>
      <c r="D249" s="153">
        <f t="shared" si="58"/>
        <v>38.663116830642679</v>
      </c>
      <c r="E249" s="164">
        <f t="shared" si="59"/>
        <v>28.821456793767251</v>
      </c>
      <c r="F249" s="168">
        <f t="shared" si="60"/>
        <v>357.96262836231824</v>
      </c>
      <c r="G249" s="172">
        <f t="shared" si="61"/>
        <v>0</v>
      </c>
      <c r="H249" s="179">
        <f t="shared" si="62"/>
        <v>33.268603953170455</v>
      </c>
      <c r="I249" s="164">
        <f t="shared" si="55"/>
        <v>0</v>
      </c>
      <c r="J249" s="188">
        <f t="shared" si="56"/>
        <v>0</v>
      </c>
      <c r="K249" s="191">
        <f t="shared" si="63"/>
        <v>245.48916217051769</v>
      </c>
      <c r="L249" s="192">
        <f t="shared" si="64"/>
        <v>28.821456793767251</v>
      </c>
      <c r="M249" s="111"/>
      <c r="N249" s="111"/>
      <c r="O249" s="115"/>
      <c r="P249" s="116"/>
      <c r="Q249" s="117"/>
      <c r="R249" s="82"/>
    </row>
    <row r="250" spans="1:18">
      <c r="A250" s="163">
        <v>70</v>
      </c>
      <c r="B250" s="152">
        <f t="shared" si="57"/>
        <v>28.626116569254211</v>
      </c>
      <c r="C250" s="146">
        <f>IF(A250&lt;=$C$8,100^2/($B$4^2*B250^2),C249)</f>
        <v>245.48916217051769</v>
      </c>
      <c r="D250" s="153">
        <f t="shared" si="58"/>
        <v>38.690102564593914</v>
      </c>
      <c r="E250" s="164">
        <f t="shared" si="59"/>
        <v>28.861703916022808</v>
      </c>
      <c r="F250" s="168">
        <f t="shared" si="60"/>
        <v>369.53338354474806</v>
      </c>
      <c r="G250" s="172">
        <f t="shared" si="61"/>
        <v>0</v>
      </c>
      <c r="H250" s="179">
        <f t="shared" si="62"/>
        <v>33.306240377352104</v>
      </c>
      <c r="I250" s="164">
        <f t="shared" si="55"/>
        <v>0</v>
      </c>
      <c r="J250" s="188">
        <f t="shared" si="56"/>
        <v>0</v>
      </c>
      <c r="K250" s="191">
        <f t="shared" si="63"/>
        <v>245.48916217051769</v>
      </c>
      <c r="L250" s="192">
        <f t="shared" si="64"/>
        <v>28.861703916022808</v>
      </c>
      <c r="M250" s="82"/>
      <c r="N250" s="82"/>
      <c r="O250" s="115"/>
      <c r="P250" s="82"/>
      <c r="Q250" s="127"/>
      <c r="R250" s="83"/>
    </row>
    <row r="251" spans="1:18" ht="13.8" thickBot="1">
      <c r="A251" s="165">
        <v>75</v>
      </c>
      <c r="B251" s="156">
        <f t="shared" si="57"/>
        <v>29.431856571860372</v>
      </c>
      <c r="C251" s="146">
        <f>IF(A251&lt;=$C$8,100^2/($B$4^2*B251^2),C250)</f>
        <v>245.48916217051769</v>
      </c>
      <c r="D251" s="157">
        <f t="shared" si="58"/>
        <v>38.494320544300166</v>
      </c>
      <c r="E251" s="166">
        <f t="shared" si="59"/>
        <v>28.570347441590304</v>
      </c>
      <c r="F251" s="169">
        <f t="shared" si="60"/>
        <v>375.87664605637605</v>
      </c>
      <c r="G251" s="185"/>
      <c r="H251" s="186"/>
      <c r="I251" s="186"/>
      <c r="J251" s="189"/>
      <c r="K251" s="133"/>
      <c r="L251" s="135"/>
      <c r="M251" s="135"/>
      <c r="N251" s="135"/>
      <c r="O251" s="190"/>
      <c r="P251" s="135"/>
      <c r="Q251" s="137"/>
      <c r="R251" s="83"/>
    </row>
    <row r="252" spans="1:18" ht="13.8" thickBot="1">
      <c r="A252" s="193"/>
      <c r="B252" s="194"/>
      <c r="C252" s="110"/>
    </row>
    <row r="253" spans="1:18" s="67" customFormat="1">
      <c r="A253" s="138"/>
      <c r="B253" s="109"/>
      <c r="C253" s="110"/>
    </row>
    <row r="254" spans="1:18" s="67" customFormat="1">
      <c r="A254" s="138"/>
      <c r="B254" s="109"/>
      <c r="C254" s="110"/>
    </row>
    <row r="255" spans="1:18" s="67" customFormat="1">
      <c r="A255" s="138"/>
      <c r="B255" s="109"/>
      <c r="C255" s="110"/>
    </row>
    <row r="256" spans="1:18" ht="13.8" thickBot="1"/>
    <row r="257" spans="1:18" ht="13.8" thickBot="1">
      <c r="A257" s="216" t="s">
        <v>0</v>
      </c>
      <c r="B257" s="218" t="s">
        <v>69</v>
      </c>
      <c r="C257" s="218"/>
      <c r="D257" s="218"/>
      <c r="E257" s="219"/>
      <c r="F257" s="218"/>
      <c r="G257" s="220" t="s">
        <v>70</v>
      </c>
      <c r="H257" s="221"/>
      <c r="I257" s="221"/>
      <c r="J257" s="222"/>
      <c r="K257" s="220" t="s">
        <v>71</v>
      </c>
      <c r="L257" s="221"/>
      <c r="M257" s="221"/>
      <c r="N257" s="222"/>
      <c r="O257" s="223" t="s">
        <v>6</v>
      </c>
      <c r="P257" s="225" t="s">
        <v>56</v>
      </c>
      <c r="Q257" s="226"/>
      <c r="R257" s="82"/>
    </row>
    <row r="258" spans="1:18" ht="16.2" thickBot="1">
      <c r="A258" s="217"/>
      <c r="B258" s="84" t="s">
        <v>1</v>
      </c>
      <c r="C258" s="85" t="s">
        <v>2</v>
      </c>
      <c r="D258" s="85" t="s">
        <v>3</v>
      </c>
      <c r="E258" s="86" t="s">
        <v>57</v>
      </c>
      <c r="F258" s="85" t="s">
        <v>58</v>
      </c>
      <c r="G258" s="87" t="s">
        <v>60</v>
      </c>
      <c r="H258" s="88" t="s">
        <v>3</v>
      </c>
      <c r="I258" s="88" t="s">
        <v>72</v>
      </c>
      <c r="J258" s="86" t="s">
        <v>59</v>
      </c>
      <c r="K258" s="85" t="s">
        <v>73</v>
      </c>
      <c r="L258" s="85" t="s">
        <v>74</v>
      </c>
      <c r="M258" s="85" t="s">
        <v>75</v>
      </c>
      <c r="N258" s="85" t="s">
        <v>76</v>
      </c>
      <c r="O258" s="224"/>
      <c r="P258" s="89" t="s">
        <v>61</v>
      </c>
      <c r="Q258" s="89" t="s">
        <v>62</v>
      </c>
      <c r="R258" s="90" t="s">
        <v>77</v>
      </c>
    </row>
    <row r="259" spans="1:18" ht="13.8" thickBot="1">
      <c r="A259" s="140">
        <v>15</v>
      </c>
      <c r="B259" s="93">
        <f>EXP(4.04764-8.75819/A259^0.56087)+1.19874*(1-EXP(-0.081*A259))^2.99578*($B$5-17.38)</f>
        <v>9.5085291059454633</v>
      </c>
      <c r="C259" s="141">
        <f>$B$6</f>
        <v>2200</v>
      </c>
      <c r="D259" s="142"/>
      <c r="E259" s="94"/>
      <c r="F259" s="147"/>
      <c r="G259" s="95"/>
      <c r="H259" s="94"/>
      <c r="I259" s="94"/>
      <c r="J259" s="94"/>
      <c r="K259" s="144"/>
      <c r="L259" s="142"/>
      <c r="M259" s="142"/>
      <c r="N259" s="147"/>
      <c r="O259" s="97"/>
      <c r="P259" s="148"/>
      <c r="Q259" s="160"/>
      <c r="R259" s="90"/>
    </row>
    <row r="260" spans="1:18">
      <c r="A260" s="161">
        <v>15</v>
      </c>
      <c r="B260" s="149">
        <f>EXP(4.04764-8.75819/A260^0.56087)+1.19874*(1-EXP(-0.081*A260))^2.99578*($B$5-17.38)</f>
        <v>9.5085291059454633</v>
      </c>
      <c r="C260" s="145">
        <f>IF(A260&lt;=$C$8,100^2/($B$4^2*B260^2),C259)</f>
        <v>2090.8248228660891</v>
      </c>
      <c r="D260" s="150">
        <f>(-7.5886+0.6547*B260+0.3669*A260+299.909*(1/SQRT(C260))-0.003528*A260^2)</f>
        <v>9.9052289536229896</v>
      </c>
      <c r="E260" s="162">
        <f>(PI()/4*(D260/100)^2)*C260</f>
        <v>16.111521893899372</v>
      </c>
      <c r="F260" s="167">
        <f>0.2768*E260+0.4376*E260*B260</f>
        <v>71.498621703001916</v>
      </c>
      <c r="G260" s="171">
        <f>C260-C261</f>
        <v>940.60147088805911</v>
      </c>
      <c r="H260" s="178">
        <f>6.3167+0.01803*D260^2-0.005994*G260+18.1328*(G260/C260)</f>
        <v>10.60514329777968</v>
      </c>
      <c r="I260" s="162">
        <f t="shared" ref="I260:I271" si="66">(PI()/4*(H260/100)^2)*G260</f>
        <v>8.3086146522791804</v>
      </c>
      <c r="J260" s="187">
        <f t="shared" ref="J260:J271" si="67">-0.03896*G260+0.0006721*H260^2*G260</f>
        <v>34.454662825243993</v>
      </c>
      <c r="K260" s="195">
        <f>C260-G260</f>
        <v>1150.22335197803</v>
      </c>
      <c r="L260" s="196">
        <f>E260-I260</f>
        <v>7.8029072416201917</v>
      </c>
      <c r="M260" s="197">
        <f>SQRT((L260*40000)/(K260*PI()))</f>
        <v>9.2937757935359269</v>
      </c>
      <c r="N260" s="151"/>
      <c r="O260" s="151"/>
      <c r="P260" s="106"/>
      <c r="Q260" s="107"/>
      <c r="R260" s="82"/>
    </row>
    <row r="261" spans="1:18">
      <c r="A261" s="163">
        <f>A260+pdesb</f>
        <v>20</v>
      </c>
      <c r="B261" s="152">
        <f t="shared" ref="B261:B272" si="68">EXP(4.04764-8.75819/A261^0.56087)+1.19874*(1-EXP(-0.081*A261))^2.99578*($B$5-17.38)</f>
        <v>12.819794801507502</v>
      </c>
      <c r="C261" s="145">
        <f>IF(A261&lt;=$C$8,100^2/($B$4^2*B261^2),C260)</f>
        <v>1150.22335197803</v>
      </c>
      <c r="D261" s="153">
        <f t="shared" ref="D261:D272" si="69">(-7.5886+0.6547*B261+0.3669*A261+299.909*(1/SQRT(C261))-0.003528*A261^2)</f>
        <v>15.574294886535185</v>
      </c>
      <c r="E261" s="164">
        <f t="shared" ref="E261:E272" si="70">(PI()/4*(D261/100)^2)*C261</f>
        <v>21.912344578448636</v>
      </c>
      <c r="F261" s="168">
        <f t="shared" ref="F261:F272" si="71">0.2768*E261+0.4376*E261*B261</f>
        <v>128.9923236435173</v>
      </c>
      <c r="G261" s="172">
        <f t="shared" ref="G261:G271" si="72">C261-C262</f>
        <v>375.70209283897009</v>
      </c>
      <c r="H261" s="179">
        <f t="shared" ref="H261:H271" si="73">6.3167+0.01803*D261^2-0.005994*G261+18.1328*(G261/C261)</f>
        <v>14.36086391915218</v>
      </c>
      <c r="I261" s="164">
        <f t="shared" si="66"/>
        <v>6.0854770583989177</v>
      </c>
      <c r="J261" s="188">
        <f t="shared" si="67"/>
        <v>37.438769397344863</v>
      </c>
      <c r="K261" s="198">
        <f t="shared" ref="K261:K271" si="74">C261-G261</f>
        <v>774.52125913905991</v>
      </c>
      <c r="L261" s="192">
        <f t="shared" ref="L261:L271" si="75">E261-I261</f>
        <v>15.826867520049717</v>
      </c>
      <c r="M261" s="199">
        <f t="shared" ref="M261:M271" si="76">SQRT((L261*40000)/(K261*PI()))</f>
        <v>16.130055861910108</v>
      </c>
      <c r="N261" s="154"/>
      <c r="O261" s="154"/>
      <c r="P261" s="116"/>
      <c r="Q261" s="117"/>
      <c r="R261" s="82"/>
    </row>
    <row r="262" spans="1:18">
      <c r="A262" s="163">
        <f t="shared" ref="A262:A270" si="77">A261+pdesb</f>
        <v>25</v>
      </c>
      <c r="B262" s="152">
        <f t="shared" si="68"/>
        <v>15.622678395248585</v>
      </c>
      <c r="C262" s="145">
        <f>IF(A262&lt;=$C$8,100^2/($B$4^2*B262^2),C261)</f>
        <v>774.52125913905991</v>
      </c>
      <c r="D262" s="153">
        <f t="shared" si="69"/>
        <v>20.383445811502646</v>
      </c>
      <c r="E262" s="164">
        <f t="shared" si="70"/>
        <v>25.274258931963477</v>
      </c>
      <c r="F262" s="168">
        <f t="shared" si="71"/>
        <v>179.78298333464787</v>
      </c>
      <c r="G262" s="172">
        <f t="shared" si="72"/>
        <v>190.35476698454966</v>
      </c>
      <c r="H262" s="179">
        <f t="shared" si="73"/>
        <v>17.123419717915027</v>
      </c>
      <c r="I262" s="164">
        <f t="shared" si="66"/>
        <v>4.383637590452258</v>
      </c>
      <c r="J262" s="188">
        <f t="shared" si="67"/>
        <v>30.096507004285154</v>
      </c>
      <c r="K262" s="198">
        <f t="shared" si="74"/>
        <v>584.16649215451025</v>
      </c>
      <c r="L262" s="192">
        <f t="shared" si="75"/>
        <v>20.890621341511221</v>
      </c>
      <c r="M262" s="199">
        <f t="shared" si="76"/>
        <v>21.338427754593251</v>
      </c>
      <c r="N262" s="154"/>
      <c r="O262" s="154"/>
      <c r="P262" s="116"/>
      <c r="Q262" s="117"/>
      <c r="R262" s="82"/>
    </row>
    <row r="263" spans="1:18">
      <c r="A263" s="163">
        <f t="shared" si="77"/>
        <v>30</v>
      </c>
      <c r="B263" s="152">
        <f t="shared" si="68"/>
        <v>17.988868326662203</v>
      </c>
      <c r="C263" s="145">
        <f>IF(A263&lt;=$C$8,100^2/($B$4^2*B263^2),C262)</f>
        <v>584.16649215451025</v>
      </c>
      <c r="D263" s="153">
        <f t="shared" si="69"/>
        <v>24.429066168721892</v>
      </c>
      <c r="E263" s="164">
        <f t="shared" si="70"/>
        <v>27.380429429173205</v>
      </c>
      <c r="F263" s="168">
        <f t="shared" si="71"/>
        <v>223.11569329134582</v>
      </c>
      <c r="G263" s="172">
        <f t="shared" si="72"/>
        <v>111.57481285277856</v>
      </c>
      <c r="H263" s="179">
        <f t="shared" si="73"/>
        <v>19.871185038184535</v>
      </c>
      <c r="I263" s="164">
        <f t="shared" si="66"/>
        <v>3.4602189750321761</v>
      </c>
      <c r="J263" s="188">
        <f t="shared" si="67"/>
        <v>25.263671868978673</v>
      </c>
      <c r="K263" s="198">
        <f t="shared" si="74"/>
        <v>472.59167930173169</v>
      </c>
      <c r="L263" s="192">
        <f t="shared" si="75"/>
        <v>23.920210454141028</v>
      </c>
      <c r="M263" s="199">
        <f t="shared" si="76"/>
        <v>25.386014396758782</v>
      </c>
      <c r="N263" s="154"/>
      <c r="O263" s="154"/>
      <c r="P263" s="116"/>
      <c r="Q263" s="117"/>
      <c r="R263" s="82"/>
    </row>
    <row r="264" spans="1:18">
      <c r="A264" s="163">
        <f t="shared" si="77"/>
        <v>35</v>
      </c>
      <c r="B264" s="152">
        <f t="shared" si="68"/>
        <v>19.99996006609496</v>
      </c>
      <c r="C264" s="145">
        <f>IF(A264&lt;=$C$8,100^2/($B$4^2*B264^2),C263)</f>
        <v>472.59167930173169</v>
      </c>
      <c r="D264" s="153">
        <f t="shared" si="69"/>
        <v>27.820860309236064</v>
      </c>
      <c r="E264" s="164">
        <f t="shared" si="70"/>
        <v>28.728772061012613</v>
      </c>
      <c r="F264" s="168">
        <f t="shared" si="71"/>
        <v>259.3858351469712</v>
      </c>
      <c r="G264" s="172">
        <f t="shared" si="72"/>
        <v>72.178911758667141</v>
      </c>
      <c r="H264" s="179">
        <f t="shared" si="73"/>
        <v>22.608706393508037</v>
      </c>
      <c r="I264" s="164">
        <f t="shared" si="66"/>
        <v>2.8976881127880056</v>
      </c>
      <c r="J264" s="188">
        <f t="shared" si="67"/>
        <v>21.984710397367692</v>
      </c>
      <c r="K264" s="198">
        <f t="shared" si="74"/>
        <v>400.41276754306455</v>
      </c>
      <c r="L264" s="192">
        <f t="shared" si="75"/>
        <v>25.831083948224606</v>
      </c>
      <c r="M264" s="199">
        <f t="shared" si="76"/>
        <v>28.659751224705076</v>
      </c>
      <c r="N264" s="154"/>
      <c r="O264" s="154"/>
      <c r="P264" s="116"/>
      <c r="Q264" s="117"/>
      <c r="R264" s="82"/>
    </row>
    <row r="265" spans="1:18">
      <c r="A265" s="163">
        <f t="shared" si="77"/>
        <v>40</v>
      </c>
      <c r="B265" s="152">
        <f t="shared" si="68"/>
        <v>21.727922598897567</v>
      </c>
      <c r="C265" s="145">
        <f>IF(A265&lt;=$C$8,100^2/($B$4^2*B265^2),C264)</f>
        <v>400.41276754306455</v>
      </c>
      <c r="D265" s="153">
        <f t="shared" si="69"/>
        <v>30.655589864537607</v>
      </c>
      <c r="E265" s="164">
        <f t="shared" si="70"/>
        <v>29.554060121803456</v>
      </c>
      <c r="F265" s="168">
        <f t="shared" si="71"/>
        <v>289.18467340404459</v>
      </c>
      <c r="G265" s="172">
        <f t="shared" si="72"/>
        <v>50.13320716381287</v>
      </c>
      <c r="H265" s="179">
        <f t="shared" si="73"/>
        <v>25.230463717043527</v>
      </c>
      <c r="I265" s="164">
        <f t="shared" si="66"/>
        <v>2.5064891853387357</v>
      </c>
      <c r="J265" s="188">
        <f t="shared" si="67"/>
        <v>19.495948532834369</v>
      </c>
      <c r="K265" s="198">
        <f t="shared" si="74"/>
        <v>350.27956037925168</v>
      </c>
      <c r="L265" s="192">
        <f t="shared" si="75"/>
        <v>27.047570936464719</v>
      </c>
      <c r="M265" s="199">
        <f t="shared" si="76"/>
        <v>31.35536030076636</v>
      </c>
      <c r="N265" s="154"/>
      <c r="O265" s="154"/>
      <c r="P265" s="116"/>
      <c r="Q265" s="117"/>
      <c r="R265" s="82"/>
    </row>
    <row r="266" spans="1:18">
      <c r="A266" s="163">
        <f t="shared" si="77"/>
        <v>45</v>
      </c>
      <c r="B266" s="152">
        <f t="shared" si="68"/>
        <v>23.230832101091192</v>
      </c>
      <c r="C266" s="145">
        <f>IF(A266&lt;=$C$8,100^2/($B$4^2*B266^2),C265)</f>
        <v>350.27956037925168</v>
      </c>
      <c r="D266" s="153">
        <f t="shared" si="69"/>
        <v>33.01133771317857</v>
      </c>
      <c r="E266" s="164">
        <f t="shared" si="70"/>
        <v>29.979951394381878</v>
      </c>
      <c r="F266" s="168">
        <f t="shared" si="71"/>
        <v>313.06900401095913</v>
      </c>
      <c r="G266" s="172">
        <f t="shared" si="72"/>
        <v>36.729536222549939</v>
      </c>
      <c r="H266" s="179">
        <f t="shared" si="73"/>
        <v>27.64607223821206</v>
      </c>
      <c r="I266" s="164">
        <f t="shared" si="66"/>
        <v>2.2048152440893189</v>
      </c>
      <c r="J266" s="188">
        <f t="shared" si="67"/>
        <v>17.436598001862446</v>
      </c>
      <c r="K266" s="198">
        <f t="shared" si="74"/>
        <v>313.55002415670174</v>
      </c>
      <c r="L266" s="192">
        <f t="shared" si="75"/>
        <v>27.77513615029256</v>
      </c>
      <c r="M266" s="199">
        <f t="shared" si="76"/>
        <v>33.583792526629992</v>
      </c>
      <c r="N266" s="154"/>
      <c r="O266" s="154"/>
      <c r="P266" s="116"/>
      <c r="Q266" s="117"/>
      <c r="R266" s="82"/>
    </row>
    <row r="267" spans="1:18">
      <c r="A267" s="163">
        <f t="shared" si="77"/>
        <v>50</v>
      </c>
      <c r="B267" s="152">
        <f t="shared" si="68"/>
        <v>24.553801733943406</v>
      </c>
      <c r="C267" s="145">
        <f>IF(A267&lt;=$C$8,100^2/($B$4^2*B267^2),C266)</f>
        <v>313.55002415670174</v>
      </c>
      <c r="D267" s="153">
        <f t="shared" si="69"/>
        <v>34.94875808093078</v>
      </c>
      <c r="E267" s="164">
        <f t="shared" si="70"/>
        <v>30.078779843687929</v>
      </c>
      <c r="F267" s="168">
        <f t="shared" si="71"/>
        <v>331.5145846482713</v>
      </c>
      <c r="G267" s="172">
        <f t="shared" si="72"/>
        <v>28.041589059301316</v>
      </c>
      <c r="H267" s="179">
        <f t="shared" si="73"/>
        <v>29.792406801004816</v>
      </c>
      <c r="I267" s="164">
        <f t="shared" si="66"/>
        <v>1.9548060784098495</v>
      </c>
      <c r="J267" s="188">
        <f t="shared" si="67"/>
        <v>15.635641243521915</v>
      </c>
      <c r="K267" s="198">
        <f t="shared" si="74"/>
        <v>285.50843509740042</v>
      </c>
      <c r="L267" s="192">
        <f t="shared" si="75"/>
        <v>28.12397376527808</v>
      </c>
      <c r="M267" s="199">
        <f t="shared" si="76"/>
        <v>35.414729548885759</v>
      </c>
      <c r="N267" s="154"/>
      <c r="O267" s="154"/>
      <c r="P267" s="116"/>
      <c r="Q267" s="117"/>
      <c r="R267" s="82"/>
    </row>
    <row r="268" spans="1:18">
      <c r="A268" s="163">
        <f t="shared" si="77"/>
        <v>55</v>
      </c>
      <c r="B268" s="152">
        <f t="shared" si="68"/>
        <v>25.731357111216642</v>
      </c>
      <c r="C268" s="145">
        <f>IF(A268&lt;=$C$8,100^2/($B$4^2*B268^2),C267)</f>
        <v>285.50843509740042</v>
      </c>
      <c r="D268" s="153">
        <f t="shared" si="69"/>
        <v>36.514270334409645</v>
      </c>
      <c r="E268" s="164">
        <f t="shared" si="70"/>
        <v>29.897445169365728</v>
      </c>
      <c r="F268" s="168">
        <f t="shared" si="71"/>
        <v>344.92209729182821</v>
      </c>
      <c r="G268" s="172">
        <f t="shared" si="72"/>
        <v>22.115955130274642</v>
      </c>
      <c r="H268" s="179">
        <f t="shared" si="73"/>
        <v>31.627987257024213</v>
      </c>
      <c r="I268" s="164">
        <f t="shared" si="66"/>
        <v>1.737555525390071</v>
      </c>
      <c r="J268" s="188">
        <f t="shared" si="67"/>
        <v>14.007394721520717</v>
      </c>
      <c r="K268" s="198">
        <f t="shared" si="74"/>
        <v>263.39247996712578</v>
      </c>
      <c r="L268" s="192">
        <f t="shared" si="75"/>
        <v>28.159889643975657</v>
      </c>
      <c r="M268" s="199">
        <f t="shared" si="76"/>
        <v>36.895113259941077</v>
      </c>
      <c r="N268" s="154"/>
      <c r="O268" s="154"/>
      <c r="P268" s="116"/>
      <c r="Q268" s="117"/>
      <c r="R268" s="82"/>
    </row>
    <row r="269" spans="1:18">
      <c r="A269" s="163">
        <f t="shared" si="77"/>
        <v>60</v>
      </c>
      <c r="B269" s="152">
        <f t="shared" si="68"/>
        <v>26.789862111400492</v>
      </c>
      <c r="C269" s="145">
        <f>IF(A269&lt;=$C$8,100^2/($B$4^2*B269^2),C268)</f>
        <v>263.39247996712578</v>
      </c>
      <c r="D269" s="153">
        <f t="shared" si="69"/>
        <v>37.743320463060329</v>
      </c>
      <c r="E269" s="164">
        <f t="shared" si="70"/>
        <v>29.469547119501851</v>
      </c>
      <c r="F269" s="168">
        <f t="shared" si="71"/>
        <v>353.63585207294227</v>
      </c>
      <c r="G269" s="172">
        <f t="shared" si="72"/>
        <v>17.903317796608093</v>
      </c>
      <c r="H269" s="179">
        <f t="shared" si="73"/>
        <v>33.126695539886633</v>
      </c>
      <c r="I269" s="164">
        <f t="shared" si="66"/>
        <v>1.5430487055972151</v>
      </c>
      <c r="J269" s="188">
        <f t="shared" si="67"/>
        <v>12.507038052409774</v>
      </c>
      <c r="K269" s="198">
        <f t="shared" si="74"/>
        <v>245.48916217051769</v>
      </c>
      <c r="L269" s="192">
        <f t="shared" si="75"/>
        <v>27.926498413904635</v>
      </c>
      <c r="M269" s="199">
        <f t="shared" si="76"/>
        <v>38.058103236233258</v>
      </c>
      <c r="N269" s="154"/>
      <c r="O269" s="154"/>
      <c r="P269" s="116"/>
      <c r="Q269" s="117"/>
      <c r="R269" s="82"/>
    </row>
    <row r="270" spans="1:18">
      <c r="A270" s="163">
        <f t="shared" si="77"/>
        <v>65</v>
      </c>
      <c r="B270" s="152">
        <f t="shared" si="68"/>
        <v>27.749553664181299</v>
      </c>
      <c r="C270" s="145">
        <f>IF(A270&lt;=$C$8,100^2/($B$4^2*B270^2),C269)</f>
        <v>245.48916217051769</v>
      </c>
      <c r="D270" s="153">
        <f t="shared" si="69"/>
        <v>38.663116830642679</v>
      </c>
      <c r="E270" s="164">
        <f t="shared" si="70"/>
        <v>28.821456793767251</v>
      </c>
      <c r="F270" s="168">
        <f t="shared" si="71"/>
        <v>357.96262836231824</v>
      </c>
      <c r="G270" s="172">
        <f t="shared" si="72"/>
        <v>0</v>
      </c>
      <c r="H270" s="179">
        <f t="shared" si="73"/>
        <v>33.268603953170455</v>
      </c>
      <c r="I270" s="164">
        <f t="shared" si="66"/>
        <v>0</v>
      </c>
      <c r="J270" s="188">
        <f t="shared" si="67"/>
        <v>0</v>
      </c>
      <c r="K270" s="198">
        <f t="shared" si="74"/>
        <v>245.48916217051769</v>
      </c>
      <c r="L270" s="192">
        <f t="shared" si="75"/>
        <v>28.821456793767251</v>
      </c>
      <c r="M270" s="199">
        <f t="shared" si="76"/>
        <v>38.663116830642679</v>
      </c>
      <c r="N270" s="154"/>
      <c r="O270" s="154"/>
      <c r="P270" s="116"/>
      <c r="Q270" s="117"/>
      <c r="R270" s="82"/>
    </row>
    <row r="271" spans="1:18">
      <c r="A271" s="163">
        <v>70</v>
      </c>
      <c r="B271" s="152">
        <f t="shared" si="68"/>
        <v>28.626116569254211</v>
      </c>
      <c r="C271" s="146">
        <f>IF(A271&lt;=$C$8,100^2/($B$4^2*B271^2),C270)</f>
        <v>245.48916217051769</v>
      </c>
      <c r="D271" s="153">
        <f t="shared" si="69"/>
        <v>38.690102564593914</v>
      </c>
      <c r="E271" s="164">
        <f t="shared" si="70"/>
        <v>28.861703916022808</v>
      </c>
      <c r="F271" s="168">
        <f t="shared" si="71"/>
        <v>369.53338354474806</v>
      </c>
      <c r="G271" s="172">
        <f t="shared" si="72"/>
        <v>0</v>
      </c>
      <c r="H271" s="179">
        <f t="shared" si="73"/>
        <v>33.306240377352104</v>
      </c>
      <c r="I271" s="164">
        <f t="shared" si="66"/>
        <v>0</v>
      </c>
      <c r="J271" s="188">
        <f t="shared" si="67"/>
        <v>0</v>
      </c>
      <c r="K271" s="198">
        <f t="shared" si="74"/>
        <v>245.48916217051769</v>
      </c>
      <c r="L271" s="192">
        <f t="shared" si="75"/>
        <v>28.861703916022808</v>
      </c>
      <c r="M271" s="199">
        <f t="shared" si="76"/>
        <v>38.690102564593914</v>
      </c>
      <c r="N271" s="154"/>
      <c r="O271" s="154"/>
      <c r="P271" s="82"/>
      <c r="Q271" s="127"/>
      <c r="R271" s="83"/>
    </row>
    <row r="272" spans="1:18" ht="13.8" thickBot="1">
      <c r="A272" s="165">
        <v>75</v>
      </c>
      <c r="B272" s="156">
        <f t="shared" si="68"/>
        <v>29.431856571860372</v>
      </c>
      <c r="C272" s="146">
        <f>IF(A272&lt;=$C$8,100^2/($B$4^2*B272^2),C271)</f>
        <v>245.48916217051769</v>
      </c>
      <c r="D272" s="157">
        <f t="shared" si="69"/>
        <v>38.494320544300166</v>
      </c>
      <c r="E272" s="166">
        <f t="shared" si="70"/>
        <v>28.570347441590304</v>
      </c>
      <c r="F272" s="169">
        <f t="shared" si="71"/>
        <v>375.87664605637605</v>
      </c>
      <c r="G272" s="185"/>
      <c r="H272" s="186"/>
      <c r="I272" s="186"/>
      <c r="J272" s="189"/>
      <c r="K272" s="134"/>
      <c r="L272" s="135"/>
      <c r="M272" s="135"/>
      <c r="N272" s="200"/>
      <c r="O272" s="201"/>
      <c r="P272" s="135"/>
      <c r="Q272" s="137"/>
      <c r="R272" s="83"/>
    </row>
    <row r="273" spans="1:18" s="67" customFormat="1" ht="13.8" thickBot="1">
      <c r="A273" s="193"/>
      <c r="B273" s="194"/>
      <c r="C273" s="110"/>
    </row>
    <row r="274" spans="1:18" s="67" customFormat="1">
      <c r="A274" s="138"/>
      <c r="B274" s="109"/>
      <c r="C274" s="110"/>
    </row>
    <row r="275" spans="1:18" s="67" customFormat="1">
      <c r="A275" s="138"/>
      <c r="B275" s="109"/>
      <c r="C275" s="110"/>
    </row>
    <row r="276" spans="1:18" s="67" customFormat="1">
      <c r="A276" s="138"/>
      <c r="B276" s="109"/>
      <c r="C276" s="110"/>
    </row>
    <row r="277" spans="1:18">
      <c r="A277" s="138"/>
      <c r="B277" s="109"/>
      <c r="C277" s="110"/>
      <c r="D277" s="111"/>
      <c r="E277" s="111"/>
      <c r="F277" s="111"/>
      <c r="G277" s="110"/>
      <c r="H277" s="113"/>
      <c r="I277" s="111"/>
      <c r="J277" s="111"/>
      <c r="K277" s="183"/>
      <c r="L277" s="111"/>
      <c r="M277" s="111"/>
      <c r="N277" s="111"/>
      <c r="O277" s="111"/>
      <c r="P277" s="116"/>
      <c r="Q277" s="116"/>
      <c r="R277" s="82"/>
    </row>
    <row r="278" spans="1:18" ht="13.8" thickBot="1">
      <c r="A278" s="138"/>
      <c r="B278" s="109"/>
      <c r="C278" s="110"/>
      <c r="D278" s="111"/>
      <c r="E278" s="111"/>
      <c r="F278" s="111"/>
      <c r="G278" s="110"/>
      <c r="H278" s="113"/>
      <c r="I278" s="111"/>
      <c r="J278" s="111"/>
      <c r="K278" s="183"/>
      <c r="L278" s="111"/>
      <c r="M278" s="111"/>
      <c r="N278" s="111"/>
      <c r="O278" s="111"/>
      <c r="P278" s="116"/>
      <c r="Q278" s="116"/>
      <c r="R278" s="82"/>
    </row>
    <row r="279" spans="1:18" ht="13.8" thickBot="1">
      <c r="A279" s="216" t="s">
        <v>0</v>
      </c>
      <c r="B279" s="218" t="s">
        <v>69</v>
      </c>
      <c r="C279" s="218"/>
      <c r="D279" s="218"/>
      <c r="E279" s="219"/>
      <c r="F279" s="218"/>
      <c r="G279" s="220" t="s">
        <v>70</v>
      </c>
      <c r="H279" s="221"/>
      <c r="I279" s="221"/>
      <c r="J279" s="222"/>
      <c r="K279" s="220" t="s">
        <v>71</v>
      </c>
      <c r="L279" s="221"/>
      <c r="M279" s="221"/>
      <c r="N279" s="222"/>
      <c r="O279" s="223" t="s">
        <v>6</v>
      </c>
      <c r="P279" s="225" t="s">
        <v>56</v>
      </c>
      <c r="Q279" s="226"/>
      <c r="R279" s="82"/>
    </row>
    <row r="280" spans="1:18" ht="16.2" thickBot="1">
      <c r="A280" s="217"/>
      <c r="B280" s="84" t="s">
        <v>1</v>
      </c>
      <c r="C280" s="85" t="s">
        <v>2</v>
      </c>
      <c r="D280" s="85" t="s">
        <v>3</v>
      </c>
      <c r="E280" s="86" t="s">
        <v>57</v>
      </c>
      <c r="F280" s="85" t="s">
        <v>58</v>
      </c>
      <c r="G280" s="87" t="s">
        <v>60</v>
      </c>
      <c r="H280" s="88" t="s">
        <v>3</v>
      </c>
      <c r="I280" s="88" t="s">
        <v>72</v>
      </c>
      <c r="J280" s="86" t="s">
        <v>59</v>
      </c>
      <c r="K280" s="85" t="s">
        <v>73</v>
      </c>
      <c r="L280" s="85" t="s">
        <v>74</v>
      </c>
      <c r="M280" s="85" t="s">
        <v>75</v>
      </c>
      <c r="N280" s="85" t="s">
        <v>76</v>
      </c>
      <c r="O280" s="224"/>
      <c r="P280" s="89" t="s">
        <v>61</v>
      </c>
      <c r="Q280" s="89" t="s">
        <v>62</v>
      </c>
      <c r="R280" s="90" t="s">
        <v>77</v>
      </c>
    </row>
    <row r="281" spans="1:18" ht="13.8" thickBot="1">
      <c r="A281" s="140">
        <v>15</v>
      </c>
      <c r="B281" s="93">
        <f>EXP(4.04764-8.75819/A281^0.56087)+1.19874*(1-EXP(-0.081*A281))^2.99578*($B$5-17.38)</f>
        <v>9.5085291059454633</v>
      </c>
      <c r="C281" s="141">
        <f>$B$6</f>
        <v>2200</v>
      </c>
      <c r="D281" s="142"/>
      <c r="E281" s="94"/>
      <c r="F281" s="147"/>
      <c r="G281" s="95"/>
      <c r="H281" s="94"/>
      <c r="I281" s="94"/>
      <c r="J281" s="94"/>
      <c r="K281" s="144"/>
      <c r="L281" s="142"/>
      <c r="M281" s="142"/>
      <c r="N281" s="147"/>
      <c r="O281" s="97"/>
      <c r="P281" s="148"/>
      <c r="Q281" s="160"/>
      <c r="R281" s="90"/>
    </row>
    <row r="282" spans="1:18">
      <c r="A282" s="161">
        <v>15</v>
      </c>
      <c r="B282" s="149">
        <f>EXP(4.04764-8.75819/A282^0.56087)+1.19874*(1-EXP(-0.081*A282))^2.99578*($B$5-17.38)</f>
        <v>9.5085291059454633</v>
      </c>
      <c r="C282" s="145">
        <f>IF(A282&lt;=$C$8,100^2/($B$4^2*B282^2),C281)</f>
        <v>2090.8248228660891</v>
      </c>
      <c r="D282" s="150">
        <f>(-7.5886+0.6547*B282+0.3669*A282+299.909*(1/SQRT(C282))-0.003528*A282^2)</f>
        <v>9.9052289536229896</v>
      </c>
      <c r="E282" s="162">
        <f>(PI()/4*(D282/100)^2)*C282</f>
        <v>16.111521893899372</v>
      </c>
      <c r="F282" s="167">
        <f>0.2768*E282+0.4376*E282*B282</f>
        <v>71.498621703001916</v>
      </c>
      <c r="G282" s="171">
        <f>C282-C283</f>
        <v>940.60147088805911</v>
      </c>
      <c r="H282" s="178">
        <f>6.3167+0.01803*D282^2-0.005994*G282+18.1328*(G282/C282)</f>
        <v>10.60514329777968</v>
      </c>
      <c r="I282" s="162">
        <f t="shared" ref="I282:I293" si="78">(PI()/4*(H282/100)^2)*G282</f>
        <v>8.3086146522791804</v>
      </c>
      <c r="J282" s="187">
        <f t="shared" ref="J282:J293" si="79">-0.03896*G282+0.0006721*H282^2*G282</f>
        <v>34.454662825243993</v>
      </c>
      <c r="K282" s="195">
        <f>C282-G282</f>
        <v>1150.22335197803</v>
      </c>
      <c r="L282" s="196">
        <f>E282-I282</f>
        <v>7.8029072416201917</v>
      </c>
      <c r="M282" s="197">
        <f>SQRT((L282*40000)/(K282*PI()))</f>
        <v>9.2937757935359269</v>
      </c>
      <c r="N282" s="202">
        <f>F282-J282</f>
        <v>37.043958877757923</v>
      </c>
      <c r="O282" s="151"/>
      <c r="P282" s="106"/>
      <c r="Q282" s="107"/>
      <c r="R282" s="82"/>
    </row>
    <row r="283" spans="1:18">
      <c r="A283" s="163">
        <f>A282+pdesb</f>
        <v>20</v>
      </c>
      <c r="B283" s="152">
        <f t="shared" ref="B283:B294" si="80">EXP(4.04764-8.75819/A283^0.56087)+1.19874*(1-EXP(-0.081*A283))^2.99578*($B$5-17.38)</f>
        <v>12.819794801507502</v>
      </c>
      <c r="C283" s="145">
        <f>IF(A283&lt;=$C$8,100^2/($B$4^2*B283^2),C282)</f>
        <v>1150.22335197803</v>
      </c>
      <c r="D283" s="153">
        <f t="shared" ref="D283:D294" si="81">(-7.5886+0.6547*B283+0.3669*A283+299.909*(1/SQRT(C283))-0.003528*A283^2)</f>
        <v>15.574294886535185</v>
      </c>
      <c r="E283" s="164">
        <f t="shared" ref="E283:E294" si="82">(PI()/4*(D283/100)^2)*C283</f>
        <v>21.912344578448636</v>
      </c>
      <c r="F283" s="168">
        <f t="shared" ref="F283:F294" si="83">0.2768*E283+0.4376*E283*B283</f>
        <v>128.9923236435173</v>
      </c>
      <c r="G283" s="172">
        <f t="shared" ref="G283:G293" si="84">C283-C284</f>
        <v>375.70209283897009</v>
      </c>
      <c r="H283" s="179">
        <f t="shared" ref="H283:H293" si="85">6.3167+0.01803*D283^2-0.005994*G283+18.1328*(G283/C283)</f>
        <v>14.36086391915218</v>
      </c>
      <c r="I283" s="164">
        <f t="shared" si="78"/>
        <v>6.0854770583989177</v>
      </c>
      <c r="J283" s="188">
        <f t="shared" si="79"/>
        <v>37.438769397344863</v>
      </c>
      <c r="K283" s="198">
        <f t="shared" ref="K283:K293" si="86">C283-G283</f>
        <v>774.52125913905991</v>
      </c>
      <c r="L283" s="192">
        <f t="shared" ref="L283:L293" si="87">E283-I283</f>
        <v>15.826867520049717</v>
      </c>
      <c r="M283" s="199">
        <f t="shared" ref="M283:M293" si="88">SQRT((L283*40000)/(K283*PI()))</f>
        <v>16.130055861910108</v>
      </c>
      <c r="N283" s="203">
        <f t="shared" ref="N283:N293" si="89">F283-J283</f>
        <v>91.553554246172439</v>
      </c>
      <c r="O283" s="154"/>
      <c r="P283" s="116"/>
      <c r="Q283" s="117"/>
      <c r="R283" s="82"/>
    </row>
    <row r="284" spans="1:18">
      <c r="A284" s="163">
        <f t="shared" ref="A284:A292" si="90">A283+pdesb</f>
        <v>25</v>
      </c>
      <c r="B284" s="152">
        <f t="shared" si="80"/>
        <v>15.622678395248585</v>
      </c>
      <c r="C284" s="145">
        <f>IF(A284&lt;=$C$8,100^2/($B$4^2*B284^2),C283)</f>
        <v>774.52125913905991</v>
      </c>
      <c r="D284" s="153">
        <f t="shared" si="81"/>
        <v>20.383445811502646</v>
      </c>
      <c r="E284" s="164">
        <f t="shared" si="82"/>
        <v>25.274258931963477</v>
      </c>
      <c r="F284" s="168">
        <f t="shared" si="83"/>
        <v>179.78298333464787</v>
      </c>
      <c r="G284" s="172">
        <f t="shared" si="84"/>
        <v>190.35476698454966</v>
      </c>
      <c r="H284" s="179">
        <f t="shared" si="85"/>
        <v>17.123419717915027</v>
      </c>
      <c r="I284" s="164">
        <f t="shared" si="78"/>
        <v>4.383637590452258</v>
      </c>
      <c r="J284" s="188">
        <f t="shared" si="79"/>
        <v>30.096507004285154</v>
      </c>
      <c r="K284" s="198">
        <f t="shared" si="86"/>
        <v>584.16649215451025</v>
      </c>
      <c r="L284" s="192">
        <f t="shared" si="87"/>
        <v>20.890621341511221</v>
      </c>
      <c r="M284" s="199">
        <f t="shared" si="88"/>
        <v>21.338427754593251</v>
      </c>
      <c r="N284" s="203">
        <f t="shared" si="89"/>
        <v>149.68647633036272</v>
      </c>
      <c r="O284" s="154"/>
      <c r="P284" s="116"/>
      <c r="Q284" s="117"/>
      <c r="R284" s="82"/>
    </row>
    <row r="285" spans="1:18">
      <c r="A285" s="163">
        <f t="shared" si="90"/>
        <v>30</v>
      </c>
      <c r="B285" s="152">
        <f t="shared" si="80"/>
        <v>17.988868326662203</v>
      </c>
      <c r="C285" s="145">
        <f>IF(A285&lt;=$C$8,100^2/($B$4^2*B285^2),C284)</f>
        <v>584.16649215451025</v>
      </c>
      <c r="D285" s="153">
        <f t="shared" si="81"/>
        <v>24.429066168721892</v>
      </c>
      <c r="E285" s="164">
        <f t="shared" si="82"/>
        <v>27.380429429173205</v>
      </c>
      <c r="F285" s="168">
        <f t="shared" si="83"/>
        <v>223.11569329134582</v>
      </c>
      <c r="G285" s="172">
        <f t="shared" si="84"/>
        <v>111.57481285277856</v>
      </c>
      <c r="H285" s="179">
        <f t="shared" si="85"/>
        <v>19.871185038184535</v>
      </c>
      <c r="I285" s="164">
        <f t="shared" si="78"/>
        <v>3.4602189750321761</v>
      </c>
      <c r="J285" s="188">
        <f t="shared" si="79"/>
        <v>25.263671868978673</v>
      </c>
      <c r="K285" s="198">
        <f t="shared" si="86"/>
        <v>472.59167930173169</v>
      </c>
      <c r="L285" s="192">
        <f t="shared" si="87"/>
        <v>23.920210454141028</v>
      </c>
      <c r="M285" s="199">
        <f t="shared" si="88"/>
        <v>25.386014396758782</v>
      </c>
      <c r="N285" s="203">
        <f t="shared" si="89"/>
        <v>197.85202142236716</v>
      </c>
      <c r="O285" s="154"/>
      <c r="P285" s="116"/>
      <c r="Q285" s="117"/>
      <c r="R285" s="82"/>
    </row>
    <row r="286" spans="1:18">
      <c r="A286" s="163">
        <f t="shared" si="90"/>
        <v>35</v>
      </c>
      <c r="B286" s="152">
        <f t="shared" si="80"/>
        <v>19.99996006609496</v>
      </c>
      <c r="C286" s="145">
        <f>IF(A286&lt;=$C$8,100^2/($B$4^2*B286^2),C285)</f>
        <v>472.59167930173169</v>
      </c>
      <c r="D286" s="153">
        <f t="shared" si="81"/>
        <v>27.820860309236064</v>
      </c>
      <c r="E286" s="164">
        <f t="shared" si="82"/>
        <v>28.728772061012613</v>
      </c>
      <c r="F286" s="168">
        <f t="shared" si="83"/>
        <v>259.3858351469712</v>
      </c>
      <c r="G286" s="172">
        <f t="shared" si="84"/>
        <v>72.178911758667141</v>
      </c>
      <c r="H286" s="179">
        <f t="shared" si="85"/>
        <v>22.608706393508037</v>
      </c>
      <c r="I286" s="164">
        <f t="shared" si="78"/>
        <v>2.8976881127880056</v>
      </c>
      <c r="J286" s="188">
        <f t="shared" si="79"/>
        <v>21.984710397367692</v>
      </c>
      <c r="K286" s="198">
        <f t="shared" si="86"/>
        <v>400.41276754306455</v>
      </c>
      <c r="L286" s="192">
        <f t="shared" si="87"/>
        <v>25.831083948224606</v>
      </c>
      <c r="M286" s="199">
        <f t="shared" si="88"/>
        <v>28.659751224705076</v>
      </c>
      <c r="N286" s="203">
        <f t="shared" si="89"/>
        <v>237.40112474960353</v>
      </c>
      <c r="O286" s="154"/>
      <c r="P286" s="116"/>
      <c r="Q286" s="117"/>
      <c r="R286" s="82"/>
    </row>
    <row r="287" spans="1:18">
      <c r="A287" s="163">
        <f t="shared" si="90"/>
        <v>40</v>
      </c>
      <c r="B287" s="152">
        <f t="shared" si="80"/>
        <v>21.727922598897567</v>
      </c>
      <c r="C287" s="145">
        <f>IF(A287&lt;=$C$8,100^2/($B$4^2*B287^2),C286)</f>
        <v>400.41276754306455</v>
      </c>
      <c r="D287" s="153">
        <f t="shared" si="81"/>
        <v>30.655589864537607</v>
      </c>
      <c r="E287" s="164">
        <f t="shared" si="82"/>
        <v>29.554060121803456</v>
      </c>
      <c r="F287" s="168">
        <f t="shared" si="83"/>
        <v>289.18467340404459</v>
      </c>
      <c r="G287" s="172">
        <f t="shared" si="84"/>
        <v>50.13320716381287</v>
      </c>
      <c r="H287" s="179">
        <f t="shared" si="85"/>
        <v>25.230463717043527</v>
      </c>
      <c r="I287" s="164">
        <f t="shared" si="78"/>
        <v>2.5064891853387357</v>
      </c>
      <c r="J287" s="188">
        <f t="shared" si="79"/>
        <v>19.495948532834369</v>
      </c>
      <c r="K287" s="198">
        <f t="shared" si="86"/>
        <v>350.27956037925168</v>
      </c>
      <c r="L287" s="192">
        <f t="shared" si="87"/>
        <v>27.047570936464719</v>
      </c>
      <c r="M287" s="199">
        <f t="shared" si="88"/>
        <v>31.35536030076636</v>
      </c>
      <c r="N287" s="203">
        <f t="shared" si="89"/>
        <v>269.68872487121024</v>
      </c>
      <c r="O287" s="154"/>
      <c r="P287" s="116"/>
      <c r="Q287" s="117"/>
      <c r="R287" s="82"/>
    </row>
    <row r="288" spans="1:18">
      <c r="A288" s="163">
        <f t="shared" si="90"/>
        <v>45</v>
      </c>
      <c r="B288" s="152">
        <f t="shared" si="80"/>
        <v>23.230832101091192</v>
      </c>
      <c r="C288" s="145">
        <f>IF(A288&lt;=$C$8,100^2/($B$4^2*B288^2),C287)</f>
        <v>350.27956037925168</v>
      </c>
      <c r="D288" s="153">
        <f t="shared" si="81"/>
        <v>33.01133771317857</v>
      </c>
      <c r="E288" s="164">
        <f t="shared" si="82"/>
        <v>29.979951394381878</v>
      </c>
      <c r="F288" s="168">
        <f t="shared" si="83"/>
        <v>313.06900401095913</v>
      </c>
      <c r="G288" s="172">
        <f t="shared" si="84"/>
        <v>36.729536222549939</v>
      </c>
      <c r="H288" s="179">
        <f t="shared" si="85"/>
        <v>27.64607223821206</v>
      </c>
      <c r="I288" s="164">
        <f t="shared" si="78"/>
        <v>2.2048152440893189</v>
      </c>
      <c r="J288" s="188">
        <f t="shared" si="79"/>
        <v>17.436598001862446</v>
      </c>
      <c r="K288" s="198">
        <f t="shared" si="86"/>
        <v>313.55002415670174</v>
      </c>
      <c r="L288" s="192">
        <f t="shared" si="87"/>
        <v>27.77513615029256</v>
      </c>
      <c r="M288" s="199">
        <f t="shared" si="88"/>
        <v>33.583792526629992</v>
      </c>
      <c r="N288" s="203">
        <f t="shared" si="89"/>
        <v>295.63240600909671</v>
      </c>
      <c r="O288" s="154"/>
      <c r="P288" s="116"/>
      <c r="Q288" s="117"/>
      <c r="R288" s="82"/>
    </row>
    <row r="289" spans="1:18">
      <c r="A289" s="163">
        <f t="shared" si="90"/>
        <v>50</v>
      </c>
      <c r="B289" s="152">
        <f t="shared" si="80"/>
        <v>24.553801733943406</v>
      </c>
      <c r="C289" s="145">
        <f>IF(A289&lt;=$C$8,100^2/($B$4^2*B289^2),C288)</f>
        <v>313.55002415670174</v>
      </c>
      <c r="D289" s="153">
        <f t="shared" si="81"/>
        <v>34.94875808093078</v>
      </c>
      <c r="E289" s="164">
        <f t="shared" si="82"/>
        <v>30.078779843687929</v>
      </c>
      <c r="F289" s="168">
        <f t="shared" si="83"/>
        <v>331.5145846482713</v>
      </c>
      <c r="G289" s="172">
        <f t="shared" si="84"/>
        <v>28.041589059301316</v>
      </c>
      <c r="H289" s="179">
        <f t="shared" si="85"/>
        <v>29.792406801004816</v>
      </c>
      <c r="I289" s="164">
        <f t="shared" si="78"/>
        <v>1.9548060784098495</v>
      </c>
      <c r="J289" s="188">
        <f t="shared" si="79"/>
        <v>15.635641243521915</v>
      </c>
      <c r="K289" s="198">
        <f t="shared" si="86"/>
        <v>285.50843509740042</v>
      </c>
      <c r="L289" s="192">
        <f t="shared" si="87"/>
        <v>28.12397376527808</v>
      </c>
      <c r="M289" s="199">
        <f t="shared" si="88"/>
        <v>35.414729548885759</v>
      </c>
      <c r="N289" s="203">
        <f t="shared" si="89"/>
        <v>315.87894340474941</v>
      </c>
      <c r="O289" s="154"/>
      <c r="P289" s="116"/>
      <c r="Q289" s="117"/>
      <c r="R289" s="82"/>
    </row>
    <row r="290" spans="1:18">
      <c r="A290" s="163">
        <f t="shared" si="90"/>
        <v>55</v>
      </c>
      <c r="B290" s="152">
        <f t="shared" si="80"/>
        <v>25.731357111216642</v>
      </c>
      <c r="C290" s="145">
        <f>IF(A290&lt;=$C$8,100^2/($B$4^2*B290^2),C289)</f>
        <v>285.50843509740042</v>
      </c>
      <c r="D290" s="153">
        <f t="shared" si="81"/>
        <v>36.514270334409645</v>
      </c>
      <c r="E290" s="164">
        <f t="shared" si="82"/>
        <v>29.897445169365728</v>
      </c>
      <c r="F290" s="168">
        <f t="shared" si="83"/>
        <v>344.92209729182821</v>
      </c>
      <c r="G290" s="172">
        <f t="shared" si="84"/>
        <v>22.115955130274642</v>
      </c>
      <c r="H290" s="179">
        <f t="shared" si="85"/>
        <v>31.627987257024213</v>
      </c>
      <c r="I290" s="164">
        <f t="shared" si="78"/>
        <v>1.737555525390071</v>
      </c>
      <c r="J290" s="188">
        <f t="shared" si="79"/>
        <v>14.007394721520717</v>
      </c>
      <c r="K290" s="198">
        <f t="shared" si="86"/>
        <v>263.39247996712578</v>
      </c>
      <c r="L290" s="192">
        <f t="shared" si="87"/>
        <v>28.159889643975657</v>
      </c>
      <c r="M290" s="199">
        <f t="shared" si="88"/>
        <v>36.895113259941077</v>
      </c>
      <c r="N290" s="203">
        <f t="shared" si="89"/>
        <v>330.9147025703075</v>
      </c>
      <c r="O290" s="154"/>
      <c r="P290" s="116"/>
      <c r="Q290" s="117"/>
      <c r="R290" s="82"/>
    </row>
    <row r="291" spans="1:18">
      <c r="A291" s="163">
        <f t="shared" si="90"/>
        <v>60</v>
      </c>
      <c r="B291" s="152">
        <f t="shared" si="80"/>
        <v>26.789862111400492</v>
      </c>
      <c r="C291" s="145">
        <f>IF(A291&lt;=$C$8,100^2/($B$4^2*B291^2),C290)</f>
        <v>263.39247996712578</v>
      </c>
      <c r="D291" s="153">
        <f t="shared" si="81"/>
        <v>37.743320463060329</v>
      </c>
      <c r="E291" s="164">
        <f t="shared" si="82"/>
        <v>29.469547119501851</v>
      </c>
      <c r="F291" s="168">
        <f t="shared" si="83"/>
        <v>353.63585207294227</v>
      </c>
      <c r="G291" s="172">
        <f t="shared" si="84"/>
        <v>17.903317796608093</v>
      </c>
      <c r="H291" s="179">
        <f t="shared" si="85"/>
        <v>33.126695539886633</v>
      </c>
      <c r="I291" s="164">
        <f t="shared" si="78"/>
        <v>1.5430487055972151</v>
      </c>
      <c r="J291" s="188">
        <f t="shared" si="79"/>
        <v>12.507038052409774</v>
      </c>
      <c r="K291" s="198">
        <f t="shared" si="86"/>
        <v>245.48916217051769</v>
      </c>
      <c r="L291" s="192">
        <f t="shared" si="87"/>
        <v>27.926498413904635</v>
      </c>
      <c r="M291" s="199">
        <f t="shared" si="88"/>
        <v>38.058103236233258</v>
      </c>
      <c r="N291" s="203">
        <f t="shared" si="89"/>
        <v>341.1288140205325</v>
      </c>
      <c r="O291" s="154"/>
      <c r="P291" s="116"/>
      <c r="Q291" s="117"/>
      <c r="R291" s="82"/>
    </row>
    <row r="292" spans="1:18">
      <c r="A292" s="163">
        <f t="shared" si="90"/>
        <v>65</v>
      </c>
      <c r="B292" s="152">
        <f t="shared" si="80"/>
        <v>27.749553664181299</v>
      </c>
      <c r="C292" s="145">
        <f>IF(A292&lt;=$C$8,100^2/($B$4^2*B292^2),C291)</f>
        <v>245.48916217051769</v>
      </c>
      <c r="D292" s="153">
        <f t="shared" si="81"/>
        <v>38.663116830642679</v>
      </c>
      <c r="E292" s="164">
        <f t="shared" si="82"/>
        <v>28.821456793767251</v>
      </c>
      <c r="F292" s="168">
        <f t="shared" si="83"/>
        <v>357.96262836231824</v>
      </c>
      <c r="G292" s="172">
        <f t="shared" si="84"/>
        <v>0</v>
      </c>
      <c r="H292" s="179">
        <f t="shared" si="85"/>
        <v>33.268603953170455</v>
      </c>
      <c r="I292" s="164">
        <f t="shared" si="78"/>
        <v>0</v>
      </c>
      <c r="J292" s="188">
        <f t="shared" si="79"/>
        <v>0</v>
      </c>
      <c r="K292" s="198">
        <f t="shared" si="86"/>
        <v>245.48916217051769</v>
      </c>
      <c r="L292" s="192">
        <f t="shared" si="87"/>
        <v>28.821456793767251</v>
      </c>
      <c r="M292" s="199">
        <f t="shared" si="88"/>
        <v>38.663116830642679</v>
      </c>
      <c r="N292" s="203">
        <f t="shared" si="89"/>
        <v>357.96262836231824</v>
      </c>
      <c r="O292" s="154"/>
      <c r="P292" s="116"/>
      <c r="Q292" s="117"/>
      <c r="R292" s="82"/>
    </row>
    <row r="293" spans="1:18">
      <c r="A293" s="163">
        <v>70</v>
      </c>
      <c r="B293" s="152">
        <f t="shared" si="80"/>
        <v>28.626116569254211</v>
      </c>
      <c r="C293" s="146">
        <f>IF(A293&lt;=$C$8,100^2/($B$4^2*B293^2),C292)</f>
        <v>245.48916217051769</v>
      </c>
      <c r="D293" s="153">
        <f t="shared" si="81"/>
        <v>38.690102564593914</v>
      </c>
      <c r="E293" s="164">
        <f t="shared" si="82"/>
        <v>28.861703916022808</v>
      </c>
      <c r="F293" s="168">
        <f t="shared" si="83"/>
        <v>369.53338354474806</v>
      </c>
      <c r="G293" s="172">
        <f t="shared" si="84"/>
        <v>0</v>
      </c>
      <c r="H293" s="179">
        <f t="shared" si="85"/>
        <v>33.306240377352104</v>
      </c>
      <c r="I293" s="164">
        <f t="shared" si="78"/>
        <v>0</v>
      </c>
      <c r="J293" s="188">
        <f t="shared" si="79"/>
        <v>0</v>
      </c>
      <c r="K293" s="198">
        <f t="shared" si="86"/>
        <v>245.48916217051769</v>
      </c>
      <c r="L293" s="192">
        <f t="shared" si="87"/>
        <v>28.861703916022808</v>
      </c>
      <c r="M293" s="199">
        <f t="shared" si="88"/>
        <v>38.690102564593914</v>
      </c>
      <c r="N293" s="203">
        <f t="shared" si="89"/>
        <v>369.53338354474806</v>
      </c>
      <c r="O293" s="154"/>
      <c r="P293" s="82"/>
      <c r="Q293" s="127"/>
      <c r="R293" s="83"/>
    </row>
    <row r="294" spans="1:18" ht="13.8" thickBot="1">
      <c r="A294" s="165">
        <v>75</v>
      </c>
      <c r="B294" s="156">
        <f t="shared" si="80"/>
        <v>29.431856571860372</v>
      </c>
      <c r="C294" s="146">
        <f>IF(A294&lt;=$C$8,100^2/($B$4^2*B294^2),C293)</f>
        <v>245.48916217051769</v>
      </c>
      <c r="D294" s="157">
        <f t="shared" si="81"/>
        <v>38.494320544300166</v>
      </c>
      <c r="E294" s="166">
        <f t="shared" si="82"/>
        <v>28.570347441590304</v>
      </c>
      <c r="F294" s="169">
        <f t="shared" si="83"/>
        <v>375.87664605637605</v>
      </c>
      <c r="G294" s="185"/>
      <c r="H294" s="186"/>
      <c r="I294" s="186"/>
      <c r="J294" s="189"/>
      <c r="K294" s="134"/>
      <c r="L294" s="135"/>
      <c r="M294" s="135"/>
      <c r="N294" s="200"/>
      <c r="O294" s="201"/>
      <c r="P294" s="135"/>
      <c r="Q294" s="137"/>
      <c r="R294" s="83"/>
    </row>
    <row r="295" spans="1:18" s="67" customFormat="1" ht="13.8" thickBot="1">
      <c r="A295" s="138"/>
      <c r="B295" s="109"/>
      <c r="C295" s="110"/>
      <c r="D295" s="153"/>
      <c r="E295" s="111"/>
      <c r="F295" s="170"/>
      <c r="G295" s="82"/>
      <c r="H295" s="82"/>
      <c r="I295" s="82"/>
      <c r="J295" s="82"/>
      <c r="K295" s="124"/>
      <c r="L295" s="82"/>
      <c r="M295" s="82"/>
      <c r="N295" s="82"/>
      <c r="O295" s="111"/>
      <c r="P295" s="82"/>
      <c r="Q295" s="83"/>
      <c r="R295" s="83"/>
    </row>
    <row r="296" spans="1:18" ht="13.8" thickBot="1">
      <c r="A296" s="216" t="s">
        <v>0</v>
      </c>
      <c r="B296" s="218" t="s">
        <v>69</v>
      </c>
      <c r="C296" s="218"/>
      <c r="D296" s="218"/>
      <c r="E296" s="219"/>
      <c r="F296" s="218"/>
      <c r="G296" s="220" t="s">
        <v>70</v>
      </c>
      <c r="H296" s="221"/>
      <c r="I296" s="221"/>
      <c r="J296" s="222"/>
      <c r="K296" s="220" t="s">
        <v>71</v>
      </c>
      <c r="L296" s="221"/>
      <c r="M296" s="221"/>
      <c r="N296" s="222"/>
      <c r="O296" s="223" t="s">
        <v>6</v>
      </c>
      <c r="P296" s="225" t="s">
        <v>56</v>
      </c>
      <c r="Q296" s="226"/>
      <c r="R296" s="82"/>
    </row>
    <row r="297" spans="1:18" ht="16.2" thickBot="1">
      <c r="A297" s="217"/>
      <c r="B297" s="84" t="s">
        <v>1</v>
      </c>
      <c r="C297" s="85" t="s">
        <v>2</v>
      </c>
      <c r="D297" s="85" t="s">
        <v>3</v>
      </c>
      <c r="E297" s="86" t="s">
        <v>57</v>
      </c>
      <c r="F297" s="85" t="s">
        <v>58</v>
      </c>
      <c r="G297" s="87" t="s">
        <v>60</v>
      </c>
      <c r="H297" s="88" t="s">
        <v>3</v>
      </c>
      <c r="I297" s="88" t="s">
        <v>72</v>
      </c>
      <c r="J297" s="86" t="s">
        <v>59</v>
      </c>
      <c r="K297" s="85" t="s">
        <v>73</v>
      </c>
      <c r="L297" s="85" t="s">
        <v>74</v>
      </c>
      <c r="M297" s="85" t="s">
        <v>75</v>
      </c>
      <c r="N297" s="85" t="s">
        <v>76</v>
      </c>
      <c r="O297" s="224"/>
      <c r="P297" s="89" t="s">
        <v>61</v>
      </c>
      <c r="Q297" s="89" t="s">
        <v>62</v>
      </c>
      <c r="R297" s="90" t="s">
        <v>77</v>
      </c>
    </row>
    <row r="298" spans="1:18" ht="13.8" thickBot="1">
      <c r="A298" s="140">
        <v>15</v>
      </c>
      <c r="B298" s="93">
        <f>EXP(4.04764-8.75819/A298^0.56087)+1.19874*(1-EXP(-0.081*A298))^2.99578*($B$5-17.38)</f>
        <v>9.5085291059454633</v>
      </c>
      <c r="C298" s="141">
        <f>$B$6</f>
        <v>2200</v>
      </c>
      <c r="D298" s="142"/>
      <c r="E298" s="94"/>
      <c r="F298" s="147"/>
      <c r="G298" s="95"/>
      <c r="H298" s="94"/>
      <c r="I298" s="94"/>
      <c r="J298" s="94"/>
      <c r="K298" s="144"/>
      <c r="L298" s="142"/>
      <c r="M298" s="142"/>
      <c r="N298" s="147"/>
      <c r="O298" s="97"/>
      <c r="P298" s="143"/>
      <c r="Q298" s="160"/>
      <c r="R298" s="90"/>
    </row>
    <row r="299" spans="1:18">
      <c r="A299" s="161">
        <v>15</v>
      </c>
      <c r="B299" s="149">
        <f>EXP(4.04764-8.75819/A299^0.56087)+1.19874*(1-EXP(-0.081*A299))^2.99578*($B$5-17.38)</f>
        <v>9.5085291059454633</v>
      </c>
      <c r="C299" s="145">
        <f>IF(A299&lt;=$C$8,100^2/($B$4^2*B299^2),C298)</f>
        <v>2090.8248228660891</v>
      </c>
      <c r="D299" s="150">
        <f>(-7.5886+0.6547*B299+0.3669*A299+299.909*(1/SQRT(C299))-0.003528*A299^2)</f>
        <v>9.9052289536229896</v>
      </c>
      <c r="E299" s="162">
        <f>(PI()/4*(D299/100)^2)*C299</f>
        <v>16.111521893899372</v>
      </c>
      <c r="F299" s="167">
        <f>0.2768*E299+0.4376*E299*B299</f>
        <v>71.498621703001916</v>
      </c>
      <c r="G299" s="171">
        <f>C299-C300</f>
        <v>940.60147088805911</v>
      </c>
      <c r="H299" s="178">
        <f>6.3167+0.01803*D299^2-0.005994*G299+18.1328*(G299/C299)</f>
        <v>10.60514329777968</v>
      </c>
      <c r="I299" s="162">
        <f t="shared" ref="I299:I310" si="91">(PI()/4*(H299/100)^2)*G299</f>
        <v>8.3086146522791804</v>
      </c>
      <c r="J299" s="187">
        <f t="shared" ref="J299:J310" si="92">-0.03896*G299+0.0006721*H299^2*G299</f>
        <v>34.454662825243993</v>
      </c>
      <c r="K299" s="195">
        <f>C299-G299</f>
        <v>1150.22335197803</v>
      </c>
      <c r="L299" s="196">
        <f>E299-I299</f>
        <v>7.8029072416201917</v>
      </c>
      <c r="M299" s="197">
        <f>SQRT((L299*40000)/(K299*PI()))</f>
        <v>9.2937757935359269</v>
      </c>
      <c r="N299" s="202">
        <f>F299-J299</f>
        <v>37.043958877757923</v>
      </c>
      <c r="O299" s="105">
        <f>F299</f>
        <v>71.498621703001916</v>
      </c>
      <c r="P299" s="204">
        <f>O299/A299</f>
        <v>4.7665747802001279</v>
      </c>
      <c r="Q299" s="107">
        <f>(O300-O299)/(A300-A299)</f>
        <v>18.389672953151873</v>
      </c>
      <c r="R299" s="82"/>
    </row>
    <row r="300" spans="1:18">
      <c r="A300" s="163">
        <f>A299+pdesb</f>
        <v>20</v>
      </c>
      <c r="B300" s="152">
        <f t="shared" ref="B300:B311" si="93">EXP(4.04764-8.75819/A300^0.56087)+1.19874*(1-EXP(-0.081*A300))^2.99578*($B$5-17.38)</f>
        <v>12.819794801507502</v>
      </c>
      <c r="C300" s="145">
        <f>IF(A300&lt;=$C$8,100^2/($B$4^2*B300^2),C299)</f>
        <v>1150.22335197803</v>
      </c>
      <c r="D300" s="153">
        <f t="shared" ref="D300:D311" si="94">(-7.5886+0.6547*B300+0.3669*A300+299.909*(1/SQRT(C300))-0.003528*A300^2)</f>
        <v>15.574294886535185</v>
      </c>
      <c r="E300" s="164">
        <f t="shared" ref="E300:E311" si="95">(PI()/4*(D300/100)^2)*C300</f>
        <v>21.912344578448636</v>
      </c>
      <c r="F300" s="168">
        <f t="shared" ref="F300:F311" si="96">0.2768*E300+0.4376*E300*B300</f>
        <v>128.9923236435173</v>
      </c>
      <c r="G300" s="172">
        <f t="shared" ref="G300:G310" si="97">C300-C301</f>
        <v>375.70209283897009</v>
      </c>
      <c r="H300" s="179">
        <f t="shared" ref="H300:H310" si="98">6.3167+0.01803*D300^2-0.005994*G300+18.1328*(G300/C300)</f>
        <v>14.36086391915218</v>
      </c>
      <c r="I300" s="164">
        <f t="shared" si="91"/>
        <v>6.0854770583989177</v>
      </c>
      <c r="J300" s="188">
        <f t="shared" si="92"/>
        <v>37.438769397344863</v>
      </c>
      <c r="K300" s="198">
        <f t="shared" ref="K300:K310" si="99">C300-G300</f>
        <v>774.52125913905991</v>
      </c>
      <c r="L300" s="192">
        <f t="shared" ref="L300:L310" si="100">E300-I300</f>
        <v>15.826867520049717</v>
      </c>
      <c r="M300" s="199">
        <f t="shared" ref="M300:M310" si="101">SQRT((L300*40000)/(K300*PI()))</f>
        <v>16.130055861910108</v>
      </c>
      <c r="N300" s="203">
        <f t="shared" ref="N300:N310" si="102">F300-J300</f>
        <v>91.553554246172439</v>
      </c>
      <c r="O300" s="115">
        <f>F300+J299</f>
        <v>163.44698646876128</v>
      </c>
      <c r="P300" s="205">
        <f t="shared" ref="P300:P310" si="103">O300/A300</f>
        <v>8.1723493234380644</v>
      </c>
      <c r="Q300" s="117">
        <f t="shared" ref="Q300:Q309" si="104">(O301-O300)/(A301-A300)</f>
        <v>17.645885817695092</v>
      </c>
      <c r="R300" s="82"/>
    </row>
    <row r="301" spans="1:18">
      <c r="A301" s="163">
        <f t="shared" ref="A301:A309" si="105">A300+pdesb</f>
        <v>25</v>
      </c>
      <c r="B301" s="152">
        <f t="shared" si="93"/>
        <v>15.622678395248585</v>
      </c>
      <c r="C301" s="145">
        <f>IF(A301&lt;=$C$8,100^2/($B$4^2*B301^2),C300)</f>
        <v>774.52125913905991</v>
      </c>
      <c r="D301" s="153">
        <f t="shared" si="94"/>
        <v>20.383445811502646</v>
      </c>
      <c r="E301" s="164">
        <f t="shared" si="95"/>
        <v>25.274258931963477</v>
      </c>
      <c r="F301" s="168">
        <f t="shared" si="96"/>
        <v>179.78298333464787</v>
      </c>
      <c r="G301" s="172">
        <f t="shared" si="97"/>
        <v>190.35476698454966</v>
      </c>
      <c r="H301" s="179">
        <f t="shared" si="98"/>
        <v>17.123419717915027</v>
      </c>
      <c r="I301" s="164">
        <f t="shared" si="91"/>
        <v>4.383637590452258</v>
      </c>
      <c r="J301" s="188">
        <f t="shared" si="92"/>
        <v>30.096507004285154</v>
      </c>
      <c r="K301" s="198">
        <f t="shared" si="99"/>
        <v>584.16649215451025</v>
      </c>
      <c r="L301" s="192">
        <f t="shared" si="100"/>
        <v>20.890621341511221</v>
      </c>
      <c r="M301" s="199">
        <f t="shared" si="101"/>
        <v>21.338427754593251</v>
      </c>
      <c r="N301" s="203">
        <f t="shared" si="102"/>
        <v>149.68647633036272</v>
      </c>
      <c r="O301" s="115">
        <f>F301+SUM(J$299:J300)</f>
        <v>251.67641555723674</v>
      </c>
      <c r="P301" s="205">
        <f t="shared" si="103"/>
        <v>10.067056622289469</v>
      </c>
      <c r="Q301" s="117">
        <f t="shared" si="104"/>
        <v>14.685843392196626</v>
      </c>
      <c r="R301" s="82"/>
    </row>
    <row r="302" spans="1:18">
      <c r="A302" s="163">
        <f t="shared" si="105"/>
        <v>30</v>
      </c>
      <c r="B302" s="152">
        <f t="shared" si="93"/>
        <v>17.988868326662203</v>
      </c>
      <c r="C302" s="145">
        <f>IF(A302&lt;=$C$8,100^2/($B$4^2*B302^2),C301)</f>
        <v>584.16649215451025</v>
      </c>
      <c r="D302" s="153">
        <f t="shared" si="94"/>
        <v>24.429066168721892</v>
      </c>
      <c r="E302" s="164">
        <f t="shared" si="95"/>
        <v>27.380429429173205</v>
      </c>
      <c r="F302" s="168">
        <f t="shared" si="96"/>
        <v>223.11569329134582</v>
      </c>
      <c r="G302" s="172">
        <f t="shared" si="97"/>
        <v>111.57481285277856</v>
      </c>
      <c r="H302" s="179">
        <f t="shared" si="98"/>
        <v>19.871185038184535</v>
      </c>
      <c r="I302" s="164">
        <f t="shared" si="91"/>
        <v>3.4602189750321761</v>
      </c>
      <c r="J302" s="188">
        <f t="shared" si="92"/>
        <v>25.263671868978673</v>
      </c>
      <c r="K302" s="198">
        <f t="shared" si="99"/>
        <v>472.59167930173169</v>
      </c>
      <c r="L302" s="192">
        <f t="shared" si="100"/>
        <v>23.920210454141028</v>
      </c>
      <c r="M302" s="199">
        <f t="shared" si="101"/>
        <v>25.386014396758782</v>
      </c>
      <c r="N302" s="203">
        <f t="shared" si="102"/>
        <v>197.85202142236716</v>
      </c>
      <c r="O302" s="115">
        <f>F302+SUM(J$299:J301)</f>
        <v>325.10563251821986</v>
      </c>
      <c r="P302" s="205">
        <f t="shared" si="103"/>
        <v>10.836854417273996</v>
      </c>
      <c r="Q302" s="117">
        <f t="shared" si="104"/>
        <v>12.306762744920809</v>
      </c>
      <c r="R302" s="82"/>
    </row>
    <row r="303" spans="1:18">
      <c r="A303" s="163">
        <f t="shared" si="105"/>
        <v>35</v>
      </c>
      <c r="B303" s="152">
        <f t="shared" si="93"/>
        <v>19.99996006609496</v>
      </c>
      <c r="C303" s="145">
        <f>IF(A303&lt;=$C$8,100^2/($B$4^2*B303^2),C302)</f>
        <v>472.59167930173169</v>
      </c>
      <c r="D303" s="153">
        <f t="shared" si="94"/>
        <v>27.820860309236064</v>
      </c>
      <c r="E303" s="164">
        <f t="shared" si="95"/>
        <v>28.728772061012613</v>
      </c>
      <c r="F303" s="168">
        <f t="shared" si="96"/>
        <v>259.3858351469712</v>
      </c>
      <c r="G303" s="172">
        <f t="shared" si="97"/>
        <v>72.178911758667141</v>
      </c>
      <c r="H303" s="179">
        <f t="shared" si="98"/>
        <v>22.608706393508037</v>
      </c>
      <c r="I303" s="164">
        <f t="shared" si="91"/>
        <v>2.8976881127880056</v>
      </c>
      <c r="J303" s="188">
        <f t="shared" si="92"/>
        <v>21.984710397367692</v>
      </c>
      <c r="K303" s="198">
        <f t="shared" si="99"/>
        <v>400.41276754306455</v>
      </c>
      <c r="L303" s="192">
        <f t="shared" si="100"/>
        <v>25.831083948224606</v>
      </c>
      <c r="M303" s="199">
        <f t="shared" si="101"/>
        <v>28.659751224705076</v>
      </c>
      <c r="N303" s="203">
        <f t="shared" si="102"/>
        <v>237.40112474960353</v>
      </c>
      <c r="O303" s="115">
        <f>F303+SUM(J$299:J302)</f>
        <v>386.63944624282391</v>
      </c>
      <c r="P303" s="205">
        <f t="shared" si="103"/>
        <v>11.046841321223541</v>
      </c>
      <c r="Q303" s="117">
        <f t="shared" si="104"/>
        <v>10.356709730888213</v>
      </c>
      <c r="R303" s="82"/>
    </row>
    <row r="304" spans="1:18">
      <c r="A304" s="163">
        <f t="shared" si="105"/>
        <v>40</v>
      </c>
      <c r="B304" s="152">
        <f t="shared" si="93"/>
        <v>21.727922598897567</v>
      </c>
      <c r="C304" s="145">
        <f>IF(A304&lt;=$C$8,100^2/($B$4^2*B304^2),C303)</f>
        <v>400.41276754306455</v>
      </c>
      <c r="D304" s="153">
        <f t="shared" si="94"/>
        <v>30.655589864537607</v>
      </c>
      <c r="E304" s="164">
        <f t="shared" si="95"/>
        <v>29.554060121803456</v>
      </c>
      <c r="F304" s="168">
        <f t="shared" si="96"/>
        <v>289.18467340404459</v>
      </c>
      <c r="G304" s="172">
        <f t="shared" si="97"/>
        <v>50.13320716381287</v>
      </c>
      <c r="H304" s="179">
        <f t="shared" si="98"/>
        <v>25.230463717043527</v>
      </c>
      <c r="I304" s="164">
        <f t="shared" si="91"/>
        <v>2.5064891853387357</v>
      </c>
      <c r="J304" s="188">
        <f t="shared" si="92"/>
        <v>19.495948532834369</v>
      </c>
      <c r="K304" s="198">
        <f t="shared" si="99"/>
        <v>350.27956037925168</v>
      </c>
      <c r="L304" s="192">
        <f t="shared" si="100"/>
        <v>27.047570936464719</v>
      </c>
      <c r="M304" s="199">
        <f t="shared" si="101"/>
        <v>31.35536030076636</v>
      </c>
      <c r="N304" s="203">
        <f t="shared" si="102"/>
        <v>269.68872487121024</v>
      </c>
      <c r="O304" s="115">
        <f>F304+SUM(J$299:J303)</f>
        <v>438.42299489726497</v>
      </c>
      <c r="P304" s="205">
        <f t="shared" si="103"/>
        <v>10.960574872431625</v>
      </c>
      <c r="Q304" s="117">
        <f t="shared" si="104"/>
        <v>8.6760558279497904</v>
      </c>
      <c r="R304" s="82"/>
    </row>
    <row r="305" spans="1:18">
      <c r="A305" s="163">
        <f t="shared" si="105"/>
        <v>45</v>
      </c>
      <c r="B305" s="152">
        <f t="shared" si="93"/>
        <v>23.230832101091192</v>
      </c>
      <c r="C305" s="145">
        <f>IF(A305&lt;=$C$8,100^2/($B$4^2*B305^2),C304)</f>
        <v>350.27956037925168</v>
      </c>
      <c r="D305" s="153">
        <f t="shared" si="94"/>
        <v>33.01133771317857</v>
      </c>
      <c r="E305" s="164">
        <f t="shared" si="95"/>
        <v>29.979951394381878</v>
      </c>
      <c r="F305" s="168">
        <f t="shared" si="96"/>
        <v>313.06900401095913</v>
      </c>
      <c r="G305" s="172">
        <f t="shared" si="97"/>
        <v>36.729536222549939</v>
      </c>
      <c r="H305" s="179">
        <f t="shared" si="98"/>
        <v>27.64607223821206</v>
      </c>
      <c r="I305" s="164">
        <f t="shared" si="91"/>
        <v>2.2048152440893189</v>
      </c>
      <c r="J305" s="188">
        <f t="shared" si="92"/>
        <v>17.436598001862446</v>
      </c>
      <c r="K305" s="198">
        <f t="shared" si="99"/>
        <v>313.55002415670174</v>
      </c>
      <c r="L305" s="192">
        <f t="shared" si="100"/>
        <v>27.77513615029256</v>
      </c>
      <c r="M305" s="199">
        <f t="shared" si="101"/>
        <v>33.583792526629992</v>
      </c>
      <c r="N305" s="203">
        <f t="shared" si="102"/>
        <v>295.63240600909671</v>
      </c>
      <c r="O305" s="115">
        <f>F305+SUM(J$299:J304)</f>
        <v>481.80327403701392</v>
      </c>
      <c r="P305" s="205">
        <f t="shared" si="103"/>
        <v>10.706739423044754</v>
      </c>
      <c r="Q305" s="117">
        <f t="shared" si="104"/>
        <v>7.176435727834928</v>
      </c>
      <c r="R305" s="82"/>
    </row>
    <row r="306" spans="1:18">
      <c r="A306" s="163">
        <f t="shared" si="105"/>
        <v>50</v>
      </c>
      <c r="B306" s="152">
        <f t="shared" si="93"/>
        <v>24.553801733943406</v>
      </c>
      <c r="C306" s="145">
        <f>IF(A306&lt;=$C$8,100^2/($B$4^2*B306^2),C305)</f>
        <v>313.55002415670174</v>
      </c>
      <c r="D306" s="153">
        <f t="shared" si="94"/>
        <v>34.94875808093078</v>
      </c>
      <c r="E306" s="164">
        <f t="shared" si="95"/>
        <v>30.078779843687929</v>
      </c>
      <c r="F306" s="168">
        <f t="shared" si="96"/>
        <v>331.5145846482713</v>
      </c>
      <c r="G306" s="172">
        <f t="shared" si="97"/>
        <v>28.041589059301316</v>
      </c>
      <c r="H306" s="179">
        <f t="shared" si="98"/>
        <v>29.792406801004816</v>
      </c>
      <c r="I306" s="164">
        <f t="shared" si="91"/>
        <v>1.9548060784098495</v>
      </c>
      <c r="J306" s="188">
        <f t="shared" si="92"/>
        <v>15.635641243521915</v>
      </c>
      <c r="K306" s="198">
        <f t="shared" si="99"/>
        <v>285.50843509740042</v>
      </c>
      <c r="L306" s="192">
        <f t="shared" si="100"/>
        <v>28.12397376527808</v>
      </c>
      <c r="M306" s="199">
        <f t="shared" si="101"/>
        <v>35.414729548885759</v>
      </c>
      <c r="N306" s="203">
        <f t="shared" si="102"/>
        <v>315.87894340474941</v>
      </c>
      <c r="O306" s="115">
        <f>F306+SUM(J$299:J305)</f>
        <v>517.68545267618856</v>
      </c>
      <c r="P306" s="205">
        <f t="shared" si="103"/>
        <v>10.353709053523771</v>
      </c>
      <c r="Q306" s="117">
        <f t="shared" si="104"/>
        <v>5.8086307774157602</v>
      </c>
      <c r="R306" s="82"/>
    </row>
    <row r="307" spans="1:18">
      <c r="A307" s="163">
        <f t="shared" si="105"/>
        <v>55</v>
      </c>
      <c r="B307" s="152">
        <f t="shared" si="93"/>
        <v>25.731357111216642</v>
      </c>
      <c r="C307" s="145">
        <f>IF(A307&lt;=$C$8,100^2/($B$4^2*B307^2),C306)</f>
        <v>285.50843509740042</v>
      </c>
      <c r="D307" s="153">
        <f t="shared" si="94"/>
        <v>36.514270334409645</v>
      </c>
      <c r="E307" s="164">
        <f t="shared" si="95"/>
        <v>29.897445169365728</v>
      </c>
      <c r="F307" s="168">
        <f t="shared" si="96"/>
        <v>344.92209729182821</v>
      </c>
      <c r="G307" s="172">
        <f t="shared" si="97"/>
        <v>22.115955130274642</v>
      </c>
      <c r="H307" s="179">
        <f t="shared" si="98"/>
        <v>31.627987257024213</v>
      </c>
      <c r="I307" s="164">
        <f t="shared" si="91"/>
        <v>1.737555525390071</v>
      </c>
      <c r="J307" s="188">
        <f t="shared" si="92"/>
        <v>14.007394721520717</v>
      </c>
      <c r="K307" s="198">
        <f t="shared" si="99"/>
        <v>263.39247996712578</v>
      </c>
      <c r="L307" s="192">
        <f t="shared" si="100"/>
        <v>28.159889643975657</v>
      </c>
      <c r="M307" s="199">
        <f t="shared" si="101"/>
        <v>36.895113259941077</v>
      </c>
      <c r="N307" s="203">
        <f t="shared" si="102"/>
        <v>330.9147025703075</v>
      </c>
      <c r="O307" s="115">
        <f>F307+SUM(J$299:J306)</f>
        <v>546.72860656326736</v>
      </c>
      <c r="P307" s="205">
        <f t="shared" si="103"/>
        <v>9.9405201193321346</v>
      </c>
      <c r="Q307" s="117">
        <f t="shared" si="104"/>
        <v>4.5442299005269433</v>
      </c>
      <c r="R307" s="82"/>
    </row>
    <row r="308" spans="1:18">
      <c r="A308" s="163">
        <f t="shared" si="105"/>
        <v>60</v>
      </c>
      <c r="B308" s="152">
        <f t="shared" si="93"/>
        <v>26.789862111400492</v>
      </c>
      <c r="C308" s="145">
        <f>IF(A308&lt;=$C$8,100^2/($B$4^2*B308^2),C307)</f>
        <v>263.39247996712578</v>
      </c>
      <c r="D308" s="153">
        <f t="shared" si="94"/>
        <v>37.743320463060329</v>
      </c>
      <c r="E308" s="164">
        <f t="shared" si="95"/>
        <v>29.469547119501851</v>
      </c>
      <c r="F308" s="168">
        <f t="shared" si="96"/>
        <v>353.63585207294227</v>
      </c>
      <c r="G308" s="172">
        <f t="shared" si="97"/>
        <v>17.903317796608093</v>
      </c>
      <c r="H308" s="179">
        <f t="shared" si="98"/>
        <v>33.126695539886633</v>
      </c>
      <c r="I308" s="164">
        <f t="shared" si="91"/>
        <v>1.5430487055972151</v>
      </c>
      <c r="J308" s="188">
        <f t="shared" si="92"/>
        <v>12.507038052409774</v>
      </c>
      <c r="K308" s="198">
        <f t="shared" si="99"/>
        <v>245.48916217051769</v>
      </c>
      <c r="L308" s="192">
        <f t="shared" si="100"/>
        <v>27.926498413904635</v>
      </c>
      <c r="M308" s="199">
        <f t="shared" si="101"/>
        <v>38.058103236233258</v>
      </c>
      <c r="N308" s="203">
        <f t="shared" si="102"/>
        <v>341.1288140205325</v>
      </c>
      <c r="O308" s="115">
        <f>F308+SUM(J$299:J307)</f>
        <v>569.44975606590208</v>
      </c>
      <c r="P308" s="205">
        <f t="shared" si="103"/>
        <v>9.4908292677650348</v>
      </c>
      <c r="Q308" s="117">
        <f t="shared" si="104"/>
        <v>3.3667628683571591</v>
      </c>
      <c r="R308" s="82"/>
    </row>
    <row r="309" spans="1:18">
      <c r="A309" s="163">
        <f t="shared" si="105"/>
        <v>65</v>
      </c>
      <c r="B309" s="152">
        <f t="shared" si="93"/>
        <v>27.749553664181299</v>
      </c>
      <c r="C309" s="145">
        <f>IF(A309&lt;=$C$8,100^2/($B$4^2*B309^2),C308)</f>
        <v>245.48916217051769</v>
      </c>
      <c r="D309" s="153">
        <f t="shared" si="94"/>
        <v>38.663116830642679</v>
      </c>
      <c r="E309" s="164">
        <f t="shared" si="95"/>
        <v>28.821456793767251</v>
      </c>
      <c r="F309" s="168">
        <f t="shared" si="96"/>
        <v>357.96262836231824</v>
      </c>
      <c r="G309" s="172">
        <f t="shared" si="97"/>
        <v>0</v>
      </c>
      <c r="H309" s="179">
        <f t="shared" si="98"/>
        <v>33.268603953170455</v>
      </c>
      <c r="I309" s="164">
        <f t="shared" si="91"/>
        <v>0</v>
      </c>
      <c r="J309" s="188">
        <f t="shared" si="92"/>
        <v>0</v>
      </c>
      <c r="K309" s="198">
        <f t="shared" si="99"/>
        <v>245.48916217051769</v>
      </c>
      <c r="L309" s="192">
        <f t="shared" si="100"/>
        <v>28.821456793767251</v>
      </c>
      <c r="M309" s="199">
        <f t="shared" si="101"/>
        <v>38.663116830642679</v>
      </c>
      <c r="N309" s="203">
        <f t="shared" si="102"/>
        <v>357.96262836231824</v>
      </c>
      <c r="O309" s="115">
        <f>F309+SUM(J$299:J308)</f>
        <v>586.28357040768788</v>
      </c>
      <c r="P309" s="205">
        <f t="shared" si="103"/>
        <v>9.0197472370413525</v>
      </c>
      <c r="Q309" s="117">
        <f t="shared" si="104"/>
        <v>2.3141510364859643</v>
      </c>
      <c r="R309" s="82"/>
    </row>
    <row r="310" spans="1:18">
      <c r="A310" s="163">
        <v>70</v>
      </c>
      <c r="B310" s="152">
        <f t="shared" si="93"/>
        <v>28.626116569254211</v>
      </c>
      <c r="C310" s="146">
        <f>IF(A310&lt;=$C$8,100^2/($B$4^2*B310^2),C309)</f>
        <v>245.48916217051769</v>
      </c>
      <c r="D310" s="153">
        <f t="shared" si="94"/>
        <v>38.690102564593914</v>
      </c>
      <c r="E310" s="164">
        <f t="shared" si="95"/>
        <v>28.861703916022808</v>
      </c>
      <c r="F310" s="168">
        <f t="shared" si="96"/>
        <v>369.53338354474806</v>
      </c>
      <c r="G310" s="172">
        <f t="shared" si="97"/>
        <v>0</v>
      </c>
      <c r="H310" s="179">
        <f t="shared" si="98"/>
        <v>33.306240377352104</v>
      </c>
      <c r="I310" s="164">
        <f t="shared" si="91"/>
        <v>0</v>
      </c>
      <c r="J310" s="188">
        <f t="shared" si="92"/>
        <v>0</v>
      </c>
      <c r="K310" s="198">
        <f t="shared" si="99"/>
        <v>245.48916217051769</v>
      </c>
      <c r="L310" s="192">
        <f t="shared" si="100"/>
        <v>28.861703916022808</v>
      </c>
      <c r="M310" s="199">
        <f t="shared" si="101"/>
        <v>38.690102564593914</v>
      </c>
      <c r="N310" s="203">
        <f t="shared" si="102"/>
        <v>369.53338354474806</v>
      </c>
      <c r="O310" s="115">
        <f>F310+SUM(J$299:J309)</f>
        <v>597.8543255901177</v>
      </c>
      <c r="P310" s="205">
        <f t="shared" si="103"/>
        <v>8.5407760798588246</v>
      </c>
      <c r="Q310" s="117"/>
      <c r="R310" s="83"/>
    </row>
    <row r="311" spans="1:18" ht="13.8" thickBot="1">
      <c r="A311" s="165">
        <v>75</v>
      </c>
      <c r="B311" s="156">
        <f t="shared" si="93"/>
        <v>29.431856571860372</v>
      </c>
      <c r="C311" s="146">
        <f>IF(A311&lt;=$C$8,100^2/($B$4^2*B311^2),C310)</f>
        <v>245.48916217051769</v>
      </c>
      <c r="D311" s="157">
        <f t="shared" si="94"/>
        <v>38.494320544300166</v>
      </c>
      <c r="E311" s="166">
        <f t="shared" si="95"/>
        <v>28.570347441590304</v>
      </c>
      <c r="F311" s="169">
        <f t="shared" si="96"/>
        <v>375.87664605637605</v>
      </c>
      <c r="G311" s="185"/>
      <c r="H311" s="186"/>
      <c r="I311" s="186"/>
      <c r="J311" s="189"/>
      <c r="K311" s="134"/>
      <c r="L311" s="135"/>
      <c r="M311" s="135"/>
      <c r="N311" s="200"/>
      <c r="O311" s="190"/>
      <c r="P311" s="206"/>
      <c r="Q311" s="137"/>
      <c r="R311" s="83"/>
    </row>
  </sheetData>
  <mergeCells count="87">
    <mergeCell ref="A296:A297"/>
    <mergeCell ref="B296:F296"/>
    <mergeCell ref="G296:J296"/>
    <mergeCell ref="K296:N296"/>
    <mergeCell ref="O296:O297"/>
    <mergeCell ref="P296:Q296"/>
    <mergeCell ref="A279:A280"/>
    <mergeCell ref="B279:F279"/>
    <mergeCell ref="G279:J279"/>
    <mergeCell ref="K279:N279"/>
    <mergeCell ref="O279:O280"/>
    <mergeCell ref="P279:Q279"/>
    <mergeCell ref="A257:A258"/>
    <mergeCell ref="B257:F257"/>
    <mergeCell ref="G257:J257"/>
    <mergeCell ref="K257:N257"/>
    <mergeCell ref="O257:O258"/>
    <mergeCell ref="P257:Q257"/>
    <mergeCell ref="A236:A237"/>
    <mergeCell ref="B236:F236"/>
    <mergeCell ref="G236:J236"/>
    <mergeCell ref="K236:N236"/>
    <mergeCell ref="O236:O237"/>
    <mergeCell ref="P236:Q236"/>
    <mergeCell ref="A214:A215"/>
    <mergeCell ref="B214:F214"/>
    <mergeCell ref="G214:J214"/>
    <mergeCell ref="K214:N214"/>
    <mergeCell ref="O214:O215"/>
    <mergeCell ref="P214:Q214"/>
    <mergeCell ref="A192:A193"/>
    <mergeCell ref="B192:F192"/>
    <mergeCell ref="G192:J192"/>
    <mergeCell ref="K192:N192"/>
    <mergeCell ref="O192:O193"/>
    <mergeCell ref="P192:Q192"/>
    <mergeCell ref="A162:A163"/>
    <mergeCell ref="B162:F162"/>
    <mergeCell ref="G162:J162"/>
    <mergeCell ref="K162:N162"/>
    <mergeCell ref="O162:O163"/>
    <mergeCell ref="P162:Q162"/>
    <mergeCell ref="A142:A143"/>
    <mergeCell ref="B142:F142"/>
    <mergeCell ref="G142:J142"/>
    <mergeCell ref="K142:N142"/>
    <mergeCell ref="O142:O143"/>
    <mergeCell ref="P142:Q142"/>
    <mergeCell ref="A116:A117"/>
    <mergeCell ref="B116:F116"/>
    <mergeCell ref="G116:J116"/>
    <mergeCell ref="K116:N116"/>
    <mergeCell ref="O116:O117"/>
    <mergeCell ref="P116:Q116"/>
    <mergeCell ref="A96:A97"/>
    <mergeCell ref="B96:F96"/>
    <mergeCell ref="G96:J96"/>
    <mergeCell ref="K96:N96"/>
    <mergeCell ref="O96:O97"/>
    <mergeCell ref="P96:Q96"/>
    <mergeCell ref="A71:A72"/>
    <mergeCell ref="B71:F71"/>
    <mergeCell ref="G71:J71"/>
    <mergeCell ref="K71:N71"/>
    <mergeCell ref="O71:O72"/>
    <mergeCell ref="P71:Q71"/>
    <mergeCell ref="A51:A52"/>
    <mergeCell ref="B51:F51"/>
    <mergeCell ref="G51:J51"/>
    <mergeCell ref="K51:N51"/>
    <mergeCell ref="O51:O52"/>
    <mergeCell ref="P51:Q51"/>
    <mergeCell ref="P12:Q12"/>
    <mergeCell ref="A30:A31"/>
    <mergeCell ref="B30:F30"/>
    <mergeCell ref="G30:J30"/>
    <mergeCell ref="K30:N30"/>
    <mergeCell ref="O30:O31"/>
    <mergeCell ref="P30:Q30"/>
    <mergeCell ref="A12:A13"/>
    <mergeCell ref="B12:F12"/>
    <mergeCell ref="G12:J12"/>
    <mergeCell ref="K12:N12"/>
    <mergeCell ref="O12:O13"/>
    <mergeCell ref="A8:B8"/>
    <mergeCell ref="A7:B7"/>
    <mergeCell ref="A9:B9"/>
  </mergeCells>
  <pageMargins left="0" right="0" top="0" bottom="0" header="0" footer="0"/>
  <pageSetup paperSize="9" orientation="landscape" horizontalDpi="300" verticalDpi="300" r:id="rId1"/>
  <headerFooter alignWithMargins="0"/>
  <drawing r:id="rId2"/>
  <legacyDrawing r:id="rId3"/>
  <oleObjects>
    <mc:AlternateContent xmlns:mc="http://schemas.openxmlformats.org/markup-compatibility/2006">
      <mc:Choice Requires="x14">
        <oleObject progId="Equation.3" shapeId="7169" r:id="rId4">
          <objectPr defaultSize="0" autoPict="0" r:id="rId5">
            <anchor moveWithCells="1" sizeWithCells="1">
              <from>
                <xdr:col>2</xdr:col>
                <xdr:colOff>289560</xdr:colOff>
                <xdr:row>17</xdr:row>
                <xdr:rowOff>160020</xdr:rowOff>
              </from>
              <to>
                <xdr:col>9</xdr:col>
                <xdr:colOff>464820</xdr:colOff>
                <xdr:row>21</xdr:row>
                <xdr:rowOff>144780</xdr:rowOff>
              </to>
            </anchor>
          </objectPr>
        </oleObject>
      </mc:Choice>
      <mc:Fallback>
        <oleObject progId="Equation.3" shapeId="7169" r:id="rId4"/>
      </mc:Fallback>
    </mc:AlternateContent>
    <mc:AlternateContent xmlns:mc="http://schemas.openxmlformats.org/markup-compatibility/2006">
      <mc:Choice Requires="x14">
        <oleObject progId="Equation.3" shapeId="7170" r:id="rId6">
          <objectPr defaultSize="0" autoPict="0" r:id="rId7">
            <anchor moveWithCells="1">
              <from>
                <xdr:col>3</xdr:col>
                <xdr:colOff>45720</xdr:colOff>
                <xdr:row>32</xdr:row>
                <xdr:rowOff>60960</xdr:rowOff>
              </from>
              <to>
                <xdr:col>8</xdr:col>
                <xdr:colOff>266700</xdr:colOff>
                <xdr:row>35</xdr:row>
                <xdr:rowOff>91440</xdr:rowOff>
              </to>
            </anchor>
          </objectPr>
        </oleObject>
      </mc:Choice>
      <mc:Fallback>
        <oleObject progId="Equation.3" shapeId="7170" r:id="rId6"/>
      </mc:Fallback>
    </mc:AlternateContent>
    <mc:AlternateContent xmlns:mc="http://schemas.openxmlformats.org/markup-compatibility/2006">
      <mc:Choice Requires="x14">
        <oleObject progId="Equation.3" shapeId="7171" r:id="rId8">
          <objectPr defaultSize="0" autoPict="0" r:id="rId9">
            <anchor moveWithCells="1">
              <from>
                <xdr:col>5</xdr:col>
                <xdr:colOff>312420</xdr:colOff>
                <xdr:row>76</xdr:row>
                <xdr:rowOff>45720</xdr:rowOff>
              </from>
              <to>
                <xdr:col>8</xdr:col>
                <xdr:colOff>259080</xdr:colOff>
                <xdr:row>80</xdr:row>
                <xdr:rowOff>76200</xdr:rowOff>
              </to>
            </anchor>
          </objectPr>
        </oleObject>
      </mc:Choice>
      <mc:Fallback>
        <oleObject progId="Equation.3" shapeId="7171" r:id="rId8"/>
      </mc:Fallback>
    </mc:AlternateContent>
    <mc:AlternateContent xmlns:mc="http://schemas.openxmlformats.org/markup-compatibility/2006">
      <mc:Choice Requires="x14">
        <oleObject progId="Equation.3" shapeId="7172" r:id="rId10">
          <objectPr defaultSize="0" autoPict="0" r:id="rId11">
            <anchor moveWithCells="1" sizeWithCells="1">
              <from>
                <xdr:col>6</xdr:col>
                <xdr:colOff>121920</xdr:colOff>
                <xdr:row>102</xdr:row>
                <xdr:rowOff>0</xdr:rowOff>
              </from>
              <to>
                <xdr:col>10</xdr:col>
                <xdr:colOff>106680</xdr:colOff>
                <xdr:row>103</xdr:row>
                <xdr:rowOff>129540</xdr:rowOff>
              </to>
            </anchor>
          </objectPr>
        </oleObject>
      </mc:Choice>
      <mc:Fallback>
        <oleObject progId="Equation.3" shapeId="7172" r:id="rId10"/>
      </mc:Fallback>
    </mc:AlternateContent>
    <mc:AlternateContent xmlns:mc="http://schemas.openxmlformats.org/markup-compatibility/2006">
      <mc:Choice Requires="x14">
        <oleObject progId="Equation.3" shapeId="7173" r:id="rId12">
          <objectPr defaultSize="0" autoPict="0" r:id="rId13">
            <anchor moveWithCells="1" sizeWithCells="1">
              <from>
                <xdr:col>7</xdr:col>
                <xdr:colOff>83820</xdr:colOff>
                <xdr:row>121</xdr:row>
                <xdr:rowOff>0</xdr:rowOff>
              </from>
              <to>
                <xdr:col>9</xdr:col>
                <xdr:colOff>312420</xdr:colOff>
                <xdr:row>122</xdr:row>
                <xdr:rowOff>160020</xdr:rowOff>
              </to>
            </anchor>
          </objectPr>
        </oleObject>
      </mc:Choice>
      <mc:Fallback>
        <oleObject progId="Equation.3" shapeId="7173" r:id="rId12"/>
      </mc:Fallback>
    </mc:AlternateContent>
    <mc:AlternateContent xmlns:mc="http://schemas.openxmlformats.org/markup-compatibility/2006">
      <mc:Choice Requires="x14">
        <oleObject progId="Equation.3" shapeId="7174" r:id="rId14">
          <objectPr defaultSize="0" autoPict="0" r:id="rId15">
            <anchor moveWithCells="1" sizeWithCells="1">
              <from>
                <xdr:col>8</xdr:col>
                <xdr:colOff>83820</xdr:colOff>
                <xdr:row>147</xdr:row>
                <xdr:rowOff>129540</xdr:rowOff>
              </from>
              <to>
                <xdr:col>13</xdr:col>
                <xdr:colOff>548640</xdr:colOff>
                <xdr:row>150</xdr:row>
                <xdr:rowOff>22860</xdr:rowOff>
              </to>
            </anchor>
          </objectPr>
        </oleObject>
      </mc:Choice>
      <mc:Fallback>
        <oleObject progId="Equation.3" shapeId="7174" r:id="rId14"/>
      </mc:Fallback>
    </mc:AlternateContent>
    <mc:AlternateContent xmlns:mc="http://schemas.openxmlformats.org/markup-compatibility/2006">
      <mc:Choice Requires="x14">
        <oleObject progId="Equation.3" shapeId="7175" r:id="rId16">
          <objectPr defaultSize="0" autoPict="0" r:id="rId17">
            <anchor moveWithCells="1">
              <from>
                <xdr:col>9</xdr:col>
                <xdr:colOff>91440</xdr:colOff>
                <xdr:row>167</xdr:row>
                <xdr:rowOff>38100</xdr:rowOff>
              </from>
              <to>
                <xdr:col>12</xdr:col>
                <xdr:colOff>83820</xdr:colOff>
                <xdr:row>171</xdr:row>
                <xdr:rowOff>106680</xdr:rowOff>
              </to>
            </anchor>
          </objectPr>
        </oleObject>
      </mc:Choice>
      <mc:Fallback>
        <oleObject progId="Equation.3" shapeId="7175" r:id="rId16"/>
      </mc:Fallback>
    </mc:AlternateContent>
    <mc:AlternateContent xmlns:mc="http://schemas.openxmlformats.org/markup-compatibility/2006">
      <mc:Choice Requires="x14">
        <oleObject progId="Equation.3" shapeId="7176" r:id="rId18">
          <objectPr defaultSize="0" autoPict="0" r:id="rId19">
            <anchor moveWithCells="1" sizeWithCells="1">
              <from>
                <xdr:col>10</xdr:col>
                <xdr:colOff>76200</xdr:colOff>
                <xdr:row>196</xdr:row>
                <xdr:rowOff>137160</xdr:rowOff>
              </from>
              <to>
                <xdr:col>14</xdr:col>
                <xdr:colOff>251460</xdr:colOff>
                <xdr:row>198</xdr:row>
                <xdr:rowOff>99060</xdr:rowOff>
              </to>
            </anchor>
          </objectPr>
        </oleObject>
      </mc:Choice>
      <mc:Fallback>
        <oleObject progId="Equation.3" shapeId="7176" r:id="rId18"/>
      </mc:Fallback>
    </mc:AlternateContent>
    <mc:AlternateContent xmlns:mc="http://schemas.openxmlformats.org/markup-compatibility/2006">
      <mc:Choice Requires="x14">
        <oleObject progId="Equation.3" shapeId="7177" r:id="rId20">
          <objectPr defaultSize="0" r:id="rId21">
            <anchor moveWithCells="1" sizeWithCells="1">
              <from>
                <xdr:col>11</xdr:col>
                <xdr:colOff>83820</xdr:colOff>
                <xdr:row>218</xdr:row>
                <xdr:rowOff>91440</xdr:rowOff>
              </from>
              <to>
                <xdr:col>13</xdr:col>
                <xdr:colOff>30480</xdr:colOff>
                <xdr:row>219</xdr:row>
                <xdr:rowOff>160020</xdr:rowOff>
              </to>
            </anchor>
          </objectPr>
        </oleObject>
      </mc:Choice>
      <mc:Fallback>
        <oleObject progId="Equation.3" shapeId="7177" r:id="rId20"/>
      </mc:Fallback>
    </mc:AlternateContent>
    <mc:AlternateContent xmlns:mc="http://schemas.openxmlformats.org/markup-compatibility/2006">
      <mc:Choice Requires="x14">
        <oleObject progId="Equation.3" shapeId="7178" r:id="rId22">
          <objectPr defaultSize="0" autoPict="0" r:id="rId23">
            <anchor moveWithCells="1" sizeWithCells="1">
              <from>
                <xdr:col>12</xdr:col>
                <xdr:colOff>76200</xdr:colOff>
                <xdr:row>240</xdr:row>
                <xdr:rowOff>22860</xdr:rowOff>
              </from>
              <to>
                <xdr:col>14</xdr:col>
                <xdr:colOff>22860</xdr:colOff>
                <xdr:row>242</xdr:row>
                <xdr:rowOff>22860</xdr:rowOff>
              </to>
            </anchor>
          </objectPr>
        </oleObject>
      </mc:Choice>
      <mc:Fallback>
        <oleObject progId="Equation.3" shapeId="7178" r:id="rId22"/>
      </mc:Fallback>
    </mc:AlternateContent>
    <mc:AlternateContent xmlns:mc="http://schemas.openxmlformats.org/markup-compatibility/2006">
      <mc:Choice Requires="x14">
        <oleObject progId="Equation.3" shapeId="7179" r:id="rId24">
          <objectPr defaultSize="0" autoPict="0" r:id="rId25">
            <anchor moveWithCells="1" sizeWithCells="1">
              <from>
                <xdr:col>13</xdr:col>
                <xdr:colOff>68580</xdr:colOff>
                <xdr:row>263</xdr:row>
                <xdr:rowOff>30480</xdr:rowOff>
              </from>
              <to>
                <xdr:col>17</xdr:col>
                <xdr:colOff>381000</xdr:colOff>
                <xdr:row>266</xdr:row>
                <xdr:rowOff>121920</xdr:rowOff>
              </to>
            </anchor>
          </objectPr>
        </oleObject>
      </mc:Choice>
      <mc:Fallback>
        <oleObject progId="Equation.3" shapeId="7179" r:id="rId24"/>
      </mc:Fallback>
    </mc:AlternateContent>
    <mc:AlternateContent xmlns:mc="http://schemas.openxmlformats.org/markup-compatibility/2006">
      <mc:Choice Requires="x14">
        <oleObject progId="Equation.3" shapeId="7180" r:id="rId26">
          <objectPr defaultSize="0" autoPict="0" r:id="rId27">
            <anchor moveWithCells="1" sizeWithCells="1">
              <from>
                <xdr:col>14</xdr:col>
                <xdr:colOff>76200</xdr:colOff>
                <xdr:row>286</xdr:row>
                <xdr:rowOff>22860</xdr:rowOff>
              </from>
              <to>
                <xdr:col>16</xdr:col>
                <xdr:colOff>22860</xdr:colOff>
                <xdr:row>288</xdr:row>
                <xdr:rowOff>22860</xdr:rowOff>
              </to>
            </anchor>
          </objectPr>
        </oleObject>
      </mc:Choice>
      <mc:Fallback>
        <oleObject progId="Equation.3" shapeId="7180" r:id="rId2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9"/>
  <sheetViews>
    <sheetView zoomScale="88" zoomScaleNormal="88" workbookViewId="0">
      <selection activeCell="I19" sqref="I19"/>
    </sheetView>
  </sheetViews>
  <sheetFormatPr defaultRowHeight="14.4"/>
  <sheetData>
    <row r="1" spans="1:25" ht="21">
      <c r="A1" s="53" t="s">
        <v>38</v>
      </c>
      <c r="B1" s="53"/>
      <c r="C1" s="53"/>
      <c r="D1" s="53"/>
      <c r="E1" s="53"/>
      <c r="F1" s="53"/>
      <c r="G1" s="53"/>
      <c r="H1" s="53"/>
      <c r="I1" s="53"/>
      <c r="J1" s="53"/>
      <c r="K1" s="53"/>
      <c r="L1" s="53"/>
      <c r="M1" s="53"/>
      <c r="N1" s="53"/>
      <c r="O1" s="53"/>
      <c r="P1" s="53"/>
      <c r="Q1" s="52"/>
      <c r="R1" s="208" t="s">
        <v>86</v>
      </c>
      <c r="S1" s="53"/>
      <c r="T1" s="53"/>
      <c r="U1" s="53"/>
      <c r="V1" s="53"/>
      <c r="W1" s="53"/>
      <c r="X1" s="53"/>
      <c r="Y1" s="52"/>
    </row>
    <row r="2" spans="1:25">
      <c r="A2" s="43"/>
      <c r="B2" s="43"/>
      <c r="C2" s="43"/>
      <c r="D2" s="43"/>
      <c r="E2" s="43"/>
      <c r="F2" s="43"/>
      <c r="G2" s="43"/>
      <c r="H2" s="43"/>
      <c r="I2" s="43"/>
      <c r="J2" s="43"/>
      <c r="K2" s="43"/>
      <c r="L2" s="43"/>
      <c r="M2" s="43"/>
      <c r="N2" s="43"/>
      <c r="O2" s="43"/>
      <c r="P2" s="43"/>
      <c r="R2" s="43"/>
      <c r="S2" s="43"/>
      <c r="T2" s="43"/>
      <c r="U2" s="43"/>
      <c r="V2" s="43"/>
      <c r="W2" s="43"/>
      <c r="X2" s="43"/>
    </row>
    <row r="3" spans="1:25">
      <c r="A3" s="41" t="s">
        <v>29</v>
      </c>
      <c r="B3" s="42">
        <v>20</v>
      </c>
      <c r="C3" s="36" t="s">
        <v>1</v>
      </c>
      <c r="D3" s="48"/>
      <c r="E3" s="40" t="s">
        <v>3</v>
      </c>
      <c r="F3" s="40" t="s">
        <v>10</v>
      </c>
      <c r="G3" s="40" t="s">
        <v>19</v>
      </c>
      <c r="H3" s="49"/>
      <c r="I3" s="49"/>
      <c r="J3" s="49"/>
      <c r="K3" s="49"/>
      <c r="L3" s="49"/>
      <c r="M3" s="36" t="s">
        <v>6</v>
      </c>
      <c r="N3" s="43"/>
      <c r="O3" s="43"/>
      <c r="P3" s="43"/>
      <c r="R3" s="43"/>
      <c r="S3" s="43"/>
      <c r="T3" s="43"/>
      <c r="U3" s="43"/>
      <c r="V3" s="43"/>
      <c r="W3" s="43"/>
      <c r="X3" s="43"/>
    </row>
    <row r="4" spans="1:25">
      <c r="A4" s="41" t="s">
        <v>35</v>
      </c>
      <c r="B4" s="44">
        <v>2500</v>
      </c>
      <c r="C4" s="37">
        <v>69</v>
      </c>
      <c r="D4" s="47"/>
      <c r="E4" s="38">
        <v>-4.3666999999999998</v>
      </c>
      <c r="F4" s="38">
        <v>-0.17199999999999999</v>
      </c>
      <c r="G4" s="50">
        <v>5.126E-5</v>
      </c>
      <c r="H4" s="47"/>
      <c r="I4" s="47"/>
      <c r="J4" s="47"/>
      <c r="K4" s="47"/>
      <c r="L4" s="47"/>
      <c r="M4" s="38">
        <v>7.4340999999999999</v>
      </c>
      <c r="N4" s="43"/>
      <c r="O4" s="43"/>
      <c r="P4" s="43"/>
      <c r="R4" s="43"/>
      <c r="S4" s="43"/>
      <c r="T4" s="43"/>
      <c r="U4" s="43"/>
      <c r="V4" s="43"/>
      <c r="W4" s="43"/>
      <c r="X4" s="43"/>
    </row>
    <row r="5" spans="1:25">
      <c r="A5" s="41" t="s">
        <v>30</v>
      </c>
      <c r="B5" s="44">
        <v>2250</v>
      </c>
      <c r="C5" s="37">
        <v>0.45820300000000003</v>
      </c>
      <c r="D5" s="47"/>
      <c r="E5" s="38">
        <v>1.0153000000000001</v>
      </c>
      <c r="F5" s="38">
        <v>0.20330000000000001</v>
      </c>
      <c r="G5" s="38">
        <v>2.0507</v>
      </c>
      <c r="H5" s="47"/>
      <c r="I5" s="47"/>
      <c r="J5" s="47"/>
      <c r="K5" s="47"/>
      <c r="L5" s="47"/>
      <c r="M5" s="38">
        <v>9.2999999999999992E-3</v>
      </c>
      <c r="N5" s="43"/>
      <c r="O5" s="43"/>
      <c r="P5" s="43"/>
      <c r="R5" s="58" t="s">
        <v>40</v>
      </c>
      <c r="S5" s="43"/>
      <c r="T5" s="43"/>
      <c r="U5" s="43"/>
      <c r="V5" s="43"/>
      <c r="W5" s="43"/>
      <c r="X5" s="43"/>
    </row>
    <row r="6" spans="1:25">
      <c r="A6" s="41" t="s">
        <v>24</v>
      </c>
      <c r="B6" s="44">
        <v>20</v>
      </c>
      <c r="C6" s="47"/>
      <c r="D6" s="47"/>
      <c r="E6" s="38">
        <v>242.41569999999999</v>
      </c>
      <c r="F6" s="38">
        <v>1.417</v>
      </c>
      <c r="G6" s="38">
        <v>0.84279999999999999</v>
      </c>
      <c r="H6" s="47"/>
      <c r="I6" s="47"/>
      <c r="J6" s="47"/>
      <c r="K6" s="47"/>
      <c r="L6" s="47"/>
      <c r="M6" s="38">
        <v>15.133800000000001</v>
      </c>
      <c r="N6" s="43"/>
      <c r="O6" s="43"/>
      <c r="P6" s="43"/>
      <c r="R6" s="43"/>
      <c r="S6" s="43"/>
      <c r="T6" s="43"/>
      <c r="U6" s="43"/>
      <c r="V6" s="43"/>
      <c r="W6" s="43"/>
      <c r="X6" s="43"/>
    </row>
    <row r="7" spans="1:25">
      <c r="A7" s="41" t="s">
        <v>18</v>
      </c>
      <c r="B7" s="44">
        <v>0.22</v>
      </c>
      <c r="C7" s="212" t="s">
        <v>87</v>
      </c>
      <c r="D7" s="47"/>
      <c r="E7" s="47"/>
      <c r="F7" s="47"/>
      <c r="G7" s="47"/>
      <c r="H7" s="47"/>
      <c r="I7" s="47"/>
      <c r="J7" s="47"/>
      <c r="K7" s="47"/>
      <c r="L7" s="47"/>
      <c r="M7" s="38">
        <v>0.96460000000000001</v>
      </c>
      <c r="N7" s="43"/>
      <c r="O7" s="43"/>
      <c r="P7" s="43"/>
      <c r="R7" s="43"/>
      <c r="S7" s="43"/>
      <c r="T7" s="43"/>
      <c r="U7" s="43"/>
      <c r="V7" s="43"/>
      <c r="W7" s="43"/>
      <c r="X7" s="43"/>
    </row>
    <row r="8" spans="1:25" ht="15.6">
      <c r="A8" s="41" t="s">
        <v>33</v>
      </c>
      <c r="B8" s="45">
        <v>80</v>
      </c>
      <c r="C8" s="43" t="s">
        <v>39</v>
      </c>
      <c r="D8" s="44">
        <v>60</v>
      </c>
      <c r="E8" s="43"/>
      <c r="F8" s="43"/>
      <c r="G8" s="43"/>
      <c r="H8" s="43"/>
      <c r="I8" s="43"/>
      <c r="J8" s="43"/>
      <c r="K8" s="43"/>
      <c r="L8" s="43"/>
      <c r="M8" s="43"/>
      <c r="N8" s="43"/>
      <c r="O8" s="43"/>
      <c r="P8" s="43"/>
      <c r="R8" s="58" t="s">
        <v>41</v>
      </c>
      <c r="S8" s="43"/>
      <c r="T8" s="43"/>
      <c r="U8" s="43"/>
      <c r="V8" s="43"/>
      <c r="W8" s="43"/>
      <c r="X8" s="43"/>
    </row>
    <row r="9" spans="1:25">
      <c r="A9" s="41" t="s">
        <v>36</v>
      </c>
      <c r="B9" s="45">
        <v>5</v>
      </c>
      <c r="C9" s="55" t="s">
        <v>40</v>
      </c>
      <c r="D9" s="55" t="s">
        <v>41</v>
      </c>
      <c r="E9" s="55" t="s">
        <v>42</v>
      </c>
      <c r="F9" s="55" t="s">
        <v>43</v>
      </c>
      <c r="G9" s="55" t="s">
        <v>44</v>
      </c>
      <c r="H9" s="55" t="s">
        <v>45</v>
      </c>
      <c r="I9" s="55" t="s">
        <v>46</v>
      </c>
      <c r="J9" s="55" t="s">
        <v>47</v>
      </c>
      <c r="K9" s="55" t="s">
        <v>49</v>
      </c>
      <c r="L9" s="55" t="s">
        <v>50</v>
      </c>
      <c r="M9" s="55" t="s">
        <v>48</v>
      </c>
      <c r="N9" s="55" t="s">
        <v>51</v>
      </c>
      <c r="O9" s="55" t="s">
        <v>52</v>
      </c>
      <c r="P9" s="55" t="s">
        <v>53</v>
      </c>
      <c r="R9" s="43"/>
      <c r="S9" s="43"/>
      <c r="T9" s="43"/>
      <c r="U9" s="43"/>
      <c r="V9" s="43"/>
      <c r="W9" s="43"/>
      <c r="X9" s="43"/>
    </row>
    <row r="10" spans="1:25">
      <c r="A10" s="43"/>
      <c r="B10" s="43"/>
      <c r="C10" s="228" t="s">
        <v>22</v>
      </c>
      <c r="D10" s="228"/>
      <c r="E10" s="228"/>
      <c r="F10" s="228"/>
      <c r="G10" s="228"/>
      <c r="H10" s="228"/>
      <c r="I10" s="228"/>
      <c r="J10" s="229" t="s">
        <v>11</v>
      </c>
      <c r="K10" s="229"/>
      <c r="L10" s="229"/>
      <c r="M10" s="230" t="s">
        <v>6</v>
      </c>
      <c r="N10" s="246" t="s">
        <v>23</v>
      </c>
      <c r="O10" s="246"/>
      <c r="P10" s="246"/>
      <c r="R10" s="58" t="s">
        <v>42</v>
      </c>
      <c r="S10" s="43"/>
      <c r="T10" s="43"/>
      <c r="U10" s="43"/>
      <c r="V10" s="43"/>
      <c r="W10" s="43"/>
      <c r="X10" s="43"/>
    </row>
    <row r="11" spans="1:25">
      <c r="A11" s="43"/>
      <c r="B11" s="242" t="s">
        <v>0</v>
      </c>
      <c r="C11" s="236" t="s">
        <v>12</v>
      </c>
      <c r="D11" s="236" t="s">
        <v>34</v>
      </c>
      <c r="E11" s="231" t="s">
        <v>21</v>
      </c>
      <c r="F11" s="232"/>
      <c r="G11" s="233"/>
      <c r="H11" s="234" t="s">
        <v>15</v>
      </c>
      <c r="I11" s="234" t="s">
        <v>16</v>
      </c>
      <c r="J11" s="238" t="s">
        <v>4</v>
      </c>
      <c r="K11" s="238" t="s">
        <v>5</v>
      </c>
      <c r="L11" s="240" t="s">
        <v>17</v>
      </c>
      <c r="M11" s="230"/>
      <c r="N11" s="247" t="s">
        <v>7</v>
      </c>
      <c r="O11" s="247" t="s">
        <v>8</v>
      </c>
      <c r="P11" s="247" t="s">
        <v>9</v>
      </c>
      <c r="R11" s="43"/>
      <c r="S11" s="43"/>
      <c r="T11" s="43"/>
      <c r="U11" s="43"/>
      <c r="V11" s="43"/>
      <c r="W11" s="43"/>
      <c r="X11" s="43"/>
    </row>
    <row r="12" spans="1:25" ht="30.6">
      <c r="A12" s="41"/>
      <c r="B12" s="243"/>
      <c r="C12" s="237"/>
      <c r="D12" s="237"/>
      <c r="E12" s="34" t="s">
        <v>14</v>
      </c>
      <c r="F12" s="34" t="s">
        <v>13</v>
      </c>
      <c r="G12" s="35" t="s">
        <v>20</v>
      </c>
      <c r="H12" s="235"/>
      <c r="I12" s="235"/>
      <c r="J12" s="239"/>
      <c r="K12" s="239"/>
      <c r="L12" s="241"/>
      <c r="M12" s="230"/>
      <c r="N12" s="248"/>
      <c r="O12" s="248"/>
      <c r="P12" s="248"/>
      <c r="Q12" s="2"/>
      <c r="R12" s="58" t="s">
        <v>43</v>
      </c>
      <c r="S12" s="41"/>
      <c r="T12" s="41"/>
      <c r="U12" s="41"/>
      <c r="V12" s="41"/>
      <c r="W12" s="41"/>
      <c r="X12" s="41"/>
      <c r="Y12" s="2"/>
    </row>
    <row r="13" spans="1:25">
      <c r="A13" s="46" t="s">
        <v>31</v>
      </c>
      <c r="B13" s="39">
        <f>B3</f>
        <v>20</v>
      </c>
      <c r="C13" s="5"/>
      <c r="D13" s="11"/>
      <c r="E13" s="3"/>
      <c r="F13" s="3"/>
      <c r="G13" s="2"/>
      <c r="H13" s="3"/>
      <c r="I13" s="3"/>
      <c r="J13" s="3"/>
      <c r="K13" s="3"/>
      <c r="L13" s="215"/>
      <c r="M13" s="3"/>
      <c r="N13" s="3"/>
      <c r="O13" s="3"/>
      <c r="P13" s="3"/>
      <c r="Q13" s="2"/>
      <c r="R13" s="2"/>
      <c r="S13" s="41"/>
      <c r="T13" s="41"/>
      <c r="U13" s="41"/>
      <c r="V13" s="41"/>
      <c r="W13" s="41"/>
      <c r="X13" s="41"/>
      <c r="Y13" s="2"/>
    </row>
    <row r="14" spans="1:25">
      <c r="A14" s="46" t="s">
        <v>32</v>
      </c>
      <c r="B14" s="9">
        <v>20</v>
      </c>
      <c r="C14" s="10"/>
      <c r="D14" s="7"/>
      <c r="E14" s="6"/>
      <c r="F14" s="6"/>
      <c r="G14" s="6"/>
      <c r="H14" s="6"/>
      <c r="I14" s="10"/>
      <c r="J14" s="7"/>
      <c r="K14" s="6"/>
      <c r="L14" s="6"/>
      <c r="M14" s="210"/>
      <c r="N14" s="6"/>
      <c r="O14" s="9"/>
      <c r="P14" s="9"/>
      <c r="R14" s="43"/>
      <c r="S14" s="43"/>
      <c r="T14" s="43"/>
      <c r="U14" s="43"/>
      <c r="V14" s="43"/>
      <c r="W14" s="43"/>
      <c r="X14" s="43"/>
    </row>
    <row r="15" spans="1:25">
      <c r="A15" s="46" t="s">
        <v>32</v>
      </c>
      <c r="B15" s="9">
        <f>B14+$B$9</f>
        <v>25</v>
      </c>
      <c r="C15" s="10"/>
      <c r="D15" s="7"/>
      <c r="E15" s="6"/>
      <c r="F15" s="6"/>
      <c r="G15" s="6"/>
      <c r="H15" s="6"/>
      <c r="I15" s="10"/>
      <c r="J15" s="7"/>
      <c r="K15" s="6"/>
      <c r="L15" s="6"/>
      <c r="M15" s="6"/>
      <c r="N15" s="6"/>
      <c r="O15" s="6"/>
      <c r="P15" s="211"/>
      <c r="R15" s="58" t="s">
        <v>44</v>
      </c>
      <c r="S15" s="43"/>
      <c r="T15" s="43"/>
      <c r="U15" s="43"/>
      <c r="V15" s="43"/>
      <c r="W15" s="43"/>
      <c r="X15" s="43"/>
    </row>
    <row r="16" spans="1:25">
      <c r="A16" s="46" t="s">
        <v>32</v>
      </c>
      <c r="B16" s="9">
        <f t="shared" ref="B16:B26" si="0">B15+$B$9</f>
        <v>30</v>
      </c>
      <c r="C16" s="10"/>
      <c r="D16" s="7"/>
      <c r="E16" s="6"/>
      <c r="F16" s="6"/>
      <c r="G16" s="6"/>
      <c r="H16" s="6"/>
      <c r="I16" s="10"/>
      <c r="J16" s="7"/>
      <c r="K16" s="6"/>
      <c r="L16" s="6"/>
      <c r="M16" s="6"/>
      <c r="N16" s="6"/>
      <c r="O16" s="6"/>
      <c r="P16" s="211"/>
      <c r="R16" s="43"/>
      <c r="S16" s="43"/>
      <c r="T16" s="43"/>
      <c r="U16" s="43"/>
      <c r="V16" s="43"/>
      <c r="W16" s="43"/>
      <c r="X16" s="43"/>
    </row>
    <row r="17" spans="1:24">
      <c r="A17" s="46" t="s">
        <v>32</v>
      </c>
      <c r="B17" s="9">
        <f t="shared" si="0"/>
        <v>35</v>
      </c>
      <c r="C17" s="10"/>
      <c r="D17" s="7"/>
      <c r="E17" s="6"/>
      <c r="F17" s="6"/>
      <c r="G17" s="6"/>
      <c r="H17" s="6"/>
      <c r="I17" s="10"/>
      <c r="J17" s="7"/>
      <c r="K17" s="6"/>
      <c r="L17" s="6"/>
      <c r="M17" s="6"/>
      <c r="N17" s="6"/>
      <c r="O17" s="6"/>
      <c r="P17" s="211"/>
      <c r="R17" s="43"/>
      <c r="S17" s="43"/>
      <c r="T17" s="43"/>
      <c r="U17" s="43"/>
      <c r="V17" s="43"/>
      <c r="W17" s="43"/>
      <c r="X17" s="43"/>
    </row>
    <row r="18" spans="1:24" ht="16.2">
      <c r="A18" s="46" t="s">
        <v>32</v>
      </c>
      <c r="B18" s="9">
        <f t="shared" si="0"/>
        <v>40</v>
      </c>
      <c r="C18" s="10"/>
      <c r="D18" s="7"/>
      <c r="E18" s="6"/>
      <c r="F18" s="6"/>
      <c r="G18" s="6"/>
      <c r="H18" s="6"/>
      <c r="I18" s="10"/>
      <c r="J18" s="7"/>
      <c r="K18" s="6"/>
      <c r="L18" s="6"/>
      <c r="M18" s="6"/>
      <c r="N18" s="6"/>
      <c r="O18" s="6"/>
      <c r="P18" s="211"/>
      <c r="R18" s="58" t="s">
        <v>45</v>
      </c>
      <c r="S18" s="54" t="s">
        <v>54</v>
      </c>
      <c r="T18" s="43"/>
      <c r="U18" s="43"/>
      <c r="V18" s="43"/>
      <c r="W18" s="43"/>
      <c r="X18" s="43"/>
    </row>
    <row r="19" spans="1:24">
      <c r="A19" s="46" t="s">
        <v>32</v>
      </c>
      <c r="B19" s="9">
        <f t="shared" si="0"/>
        <v>45</v>
      </c>
      <c r="C19" s="10"/>
      <c r="D19" s="7"/>
      <c r="E19" s="6"/>
      <c r="F19" s="6"/>
      <c r="G19" s="6"/>
      <c r="H19" s="6"/>
      <c r="I19" s="10"/>
      <c r="J19" s="7"/>
      <c r="K19" s="6"/>
      <c r="L19" s="6"/>
      <c r="M19" s="6"/>
      <c r="N19" s="6"/>
      <c r="O19" s="6"/>
      <c r="P19" s="211"/>
      <c r="R19" s="43"/>
      <c r="S19" s="43"/>
      <c r="T19" s="43"/>
      <c r="U19" s="43"/>
      <c r="V19" s="43"/>
      <c r="W19" s="43"/>
      <c r="X19" s="43"/>
    </row>
    <row r="20" spans="1:24" ht="15.6">
      <c r="A20" s="46" t="s">
        <v>32</v>
      </c>
      <c r="B20" s="9">
        <f t="shared" si="0"/>
        <v>50</v>
      </c>
      <c r="C20" s="10"/>
      <c r="D20" s="7"/>
      <c r="E20" s="6"/>
      <c r="F20" s="6"/>
      <c r="G20" s="6"/>
      <c r="H20" s="6"/>
      <c r="I20" s="10"/>
      <c r="J20" s="7"/>
      <c r="K20" s="6"/>
      <c r="L20" s="6"/>
      <c r="M20" s="6"/>
      <c r="N20" s="6"/>
      <c r="O20" s="6"/>
      <c r="P20" s="211"/>
      <c r="R20" s="58" t="s">
        <v>46</v>
      </c>
      <c r="S20" s="54" t="s">
        <v>55</v>
      </c>
      <c r="T20" s="43"/>
      <c r="U20" s="43"/>
      <c r="V20" s="43"/>
      <c r="W20" s="43"/>
      <c r="X20" s="43"/>
    </row>
    <row r="21" spans="1:24">
      <c r="A21" s="46" t="s">
        <v>32</v>
      </c>
      <c r="B21" s="9">
        <f t="shared" si="0"/>
        <v>55</v>
      </c>
      <c r="C21" s="10"/>
      <c r="D21" s="7"/>
      <c r="E21" s="6"/>
      <c r="F21" s="6"/>
      <c r="G21" s="6"/>
      <c r="H21" s="6"/>
      <c r="I21" s="10"/>
      <c r="J21" s="7"/>
      <c r="K21" s="6"/>
      <c r="L21" s="6"/>
      <c r="M21" s="6"/>
      <c r="N21" s="6"/>
      <c r="O21" s="6"/>
      <c r="P21" s="211"/>
      <c r="R21" s="43"/>
      <c r="S21" s="43"/>
      <c r="T21" s="43"/>
      <c r="U21" s="43"/>
      <c r="V21" s="43"/>
      <c r="W21" s="43"/>
      <c r="X21" s="43"/>
    </row>
    <row r="22" spans="1:24">
      <c r="A22" s="46" t="s">
        <v>32</v>
      </c>
      <c r="B22" s="9">
        <f t="shared" si="0"/>
        <v>60</v>
      </c>
      <c r="C22" s="10"/>
      <c r="D22" s="7"/>
      <c r="E22" s="6"/>
      <c r="F22" s="6"/>
      <c r="G22" s="6"/>
      <c r="H22" s="6"/>
      <c r="I22" s="10"/>
      <c r="J22" s="7"/>
      <c r="K22" s="10"/>
      <c r="L22" s="6"/>
      <c r="M22" s="6"/>
      <c r="N22" s="6"/>
      <c r="O22" s="6"/>
      <c r="P22" s="211"/>
      <c r="R22" s="58" t="s">
        <v>47</v>
      </c>
      <c r="S22" s="43" t="s">
        <v>79</v>
      </c>
      <c r="T22" s="43"/>
      <c r="U22" s="43"/>
      <c r="V22" s="43"/>
      <c r="W22" s="43"/>
      <c r="X22" s="43"/>
    </row>
    <row r="23" spans="1:24">
      <c r="A23" s="46" t="s">
        <v>32</v>
      </c>
      <c r="B23" s="9">
        <f t="shared" si="0"/>
        <v>65</v>
      </c>
      <c r="C23" s="10"/>
      <c r="D23" s="7"/>
      <c r="E23" s="6"/>
      <c r="F23" s="6"/>
      <c r="G23" s="6"/>
      <c r="H23" s="6"/>
      <c r="I23" s="10"/>
      <c r="J23" s="7"/>
      <c r="K23" s="209"/>
      <c r="L23" s="6"/>
      <c r="M23" s="6"/>
      <c r="N23" s="6"/>
      <c r="O23" s="6"/>
      <c r="P23" s="211"/>
      <c r="R23" s="43"/>
      <c r="S23" s="43"/>
      <c r="T23" s="43"/>
      <c r="U23" s="43"/>
      <c r="V23" s="43"/>
      <c r="W23" s="43"/>
      <c r="X23" s="43"/>
    </row>
    <row r="24" spans="1:24">
      <c r="A24" s="46" t="s">
        <v>32</v>
      </c>
      <c r="B24" s="9">
        <f t="shared" si="0"/>
        <v>70</v>
      </c>
      <c r="C24" s="10"/>
      <c r="D24" s="7"/>
      <c r="E24" s="6"/>
      <c r="F24" s="6"/>
      <c r="G24" s="6"/>
      <c r="H24" s="6"/>
      <c r="I24" s="10"/>
      <c r="J24" s="7"/>
      <c r="K24" s="209"/>
      <c r="L24" s="6"/>
      <c r="M24" s="6"/>
      <c r="N24" s="6"/>
      <c r="O24" s="6"/>
      <c r="P24" s="211"/>
      <c r="R24" s="58" t="s">
        <v>48</v>
      </c>
      <c r="S24" s="43"/>
      <c r="T24" s="43"/>
      <c r="U24" s="43"/>
      <c r="V24" s="43"/>
      <c r="W24" s="43"/>
      <c r="X24" s="43"/>
    </row>
    <row r="25" spans="1:24">
      <c r="A25" s="46" t="s">
        <v>32</v>
      </c>
      <c r="B25" s="9">
        <f t="shared" si="0"/>
        <v>75</v>
      </c>
      <c r="C25" s="10"/>
      <c r="D25" s="7"/>
      <c r="E25" s="6"/>
      <c r="F25" s="6"/>
      <c r="G25" s="6"/>
      <c r="H25" s="6"/>
      <c r="I25" s="10"/>
      <c r="J25" s="7"/>
      <c r="K25" s="209"/>
      <c r="L25" s="6"/>
      <c r="M25" s="6"/>
      <c r="N25" s="6"/>
      <c r="O25" s="6"/>
      <c r="P25" s="211"/>
      <c r="R25" s="43"/>
      <c r="S25" s="43"/>
      <c r="T25" s="43"/>
      <c r="U25" s="43"/>
      <c r="V25" s="43"/>
      <c r="W25" s="43"/>
      <c r="X25" s="43"/>
    </row>
    <row r="26" spans="1:24">
      <c r="A26" s="46" t="s">
        <v>32</v>
      </c>
      <c r="B26" s="9">
        <f t="shared" si="0"/>
        <v>80</v>
      </c>
      <c r="C26" s="10"/>
      <c r="D26" s="7"/>
      <c r="E26" s="6"/>
      <c r="F26" s="6"/>
      <c r="G26" s="6"/>
      <c r="H26" s="6"/>
      <c r="I26" s="10"/>
      <c r="J26" s="7"/>
      <c r="K26" s="209"/>
      <c r="L26" s="6"/>
      <c r="M26" s="6"/>
      <c r="N26" s="6"/>
      <c r="O26" s="6"/>
      <c r="P26" s="211"/>
      <c r="R26" s="43"/>
      <c r="S26" s="43"/>
      <c r="T26" s="43"/>
      <c r="U26" s="43"/>
      <c r="V26" s="43"/>
      <c r="W26" s="43"/>
      <c r="X26" s="43"/>
    </row>
    <row r="27" spans="1:24">
      <c r="A27" s="43"/>
      <c r="C27" s="1"/>
      <c r="R27" s="58" t="s">
        <v>49</v>
      </c>
      <c r="S27" s="43" t="s">
        <v>80</v>
      </c>
      <c r="T27" s="43"/>
      <c r="U27" s="43"/>
      <c r="V27" s="43"/>
      <c r="W27" s="43"/>
      <c r="X27" s="43"/>
    </row>
    <row r="28" spans="1:24">
      <c r="A28" s="43"/>
      <c r="C28" s="1"/>
      <c r="R28" s="43"/>
      <c r="S28" s="43"/>
      <c r="T28" s="43"/>
      <c r="U28" s="43"/>
      <c r="V28" s="43"/>
      <c r="W28" s="43"/>
      <c r="X28" s="43"/>
    </row>
    <row r="29" spans="1:24">
      <c r="A29" s="43"/>
      <c r="C29" s="1"/>
      <c r="R29" s="58" t="s">
        <v>50</v>
      </c>
      <c r="S29" s="43" t="s">
        <v>81</v>
      </c>
      <c r="T29" s="43"/>
      <c r="U29" s="43"/>
      <c r="V29" s="43"/>
      <c r="W29" s="43"/>
      <c r="X29" s="43"/>
    </row>
    <row r="30" spans="1:24">
      <c r="A30" s="43"/>
      <c r="C30" s="1"/>
      <c r="R30" s="43"/>
      <c r="S30" s="43"/>
      <c r="T30" s="43"/>
      <c r="U30" s="43"/>
      <c r="V30" s="43"/>
      <c r="W30" s="43"/>
      <c r="X30" s="43"/>
    </row>
    <row r="31" spans="1:24">
      <c r="A31" s="43"/>
      <c r="C31" s="1"/>
      <c r="R31" s="58" t="s">
        <v>51</v>
      </c>
      <c r="S31" s="43" t="s">
        <v>84</v>
      </c>
      <c r="T31" s="43"/>
      <c r="U31" s="43"/>
      <c r="V31" s="43"/>
      <c r="W31" s="43"/>
      <c r="X31" s="43"/>
    </row>
    <row r="32" spans="1:24">
      <c r="A32" s="43"/>
      <c r="C32" s="1"/>
      <c r="R32" s="43"/>
      <c r="S32" s="43"/>
      <c r="T32" s="43"/>
      <c r="U32" s="43"/>
      <c r="V32" s="43"/>
      <c r="W32" s="43"/>
      <c r="X32" s="43"/>
    </row>
    <row r="33" spans="1:24">
      <c r="A33" s="43"/>
      <c r="C33" s="1"/>
      <c r="R33" s="43"/>
      <c r="S33" s="43"/>
      <c r="T33" s="43"/>
      <c r="U33" s="43"/>
      <c r="V33" s="43"/>
      <c r="W33" s="43"/>
      <c r="X33" s="43"/>
    </row>
    <row r="34" spans="1:24">
      <c r="A34" s="43"/>
      <c r="C34" s="1"/>
      <c r="R34" s="43"/>
      <c r="S34" s="43"/>
      <c r="T34" s="43"/>
      <c r="U34" s="43"/>
      <c r="V34" s="43"/>
      <c r="W34" s="43"/>
      <c r="X34" s="43"/>
    </row>
    <row r="35" spans="1:24">
      <c r="A35" s="43"/>
      <c r="C35" s="1"/>
      <c r="R35" s="58" t="s">
        <v>52</v>
      </c>
      <c r="S35" s="43" t="s">
        <v>83</v>
      </c>
      <c r="T35" s="43"/>
      <c r="U35" s="43"/>
      <c r="V35" s="43"/>
      <c r="W35" s="43"/>
      <c r="X35" s="43"/>
    </row>
    <row r="36" spans="1:24">
      <c r="A36" s="207" t="s">
        <v>78</v>
      </c>
      <c r="R36" s="43"/>
      <c r="S36" s="43"/>
      <c r="T36" s="43"/>
      <c r="U36" s="43"/>
      <c r="V36" s="43"/>
      <c r="W36" s="43"/>
      <c r="X36" s="43"/>
    </row>
    <row r="37" spans="1:24">
      <c r="C37" s="244" t="s">
        <v>22</v>
      </c>
      <c r="D37" s="244"/>
      <c r="E37" s="244"/>
      <c r="F37" s="244"/>
      <c r="G37" s="244"/>
      <c r="H37" s="244"/>
      <c r="I37" s="244"/>
      <c r="J37" s="245" t="s">
        <v>11</v>
      </c>
      <c r="K37" s="245"/>
      <c r="L37" s="245"/>
      <c r="M37" s="230" t="s">
        <v>6</v>
      </c>
      <c r="N37" s="246" t="s">
        <v>23</v>
      </c>
      <c r="O37" s="246"/>
      <c r="P37" s="246"/>
      <c r="R37" s="58" t="s">
        <v>82</v>
      </c>
      <c r="S37" s="43" t="s">
        <v>85</v>
      </c>
      <c r="T37" s="43"/>
      <c r="U37" s="43"/>
      <c r="V37" s="43"/>
      <c r="W37" s="43"/>
      <c r="X37" s="43"/>
    </row>
    <row r="38" spans="1:24">
      <c r="B38" s="242" t="s">
        <v>0</v>
      </c>
      <c r="C38" s="236" t="s">
        <v>12</v>
      </c>
      <c r="D38" s="236" t="s">
        <v>2</v>
      </c>
      <c r="E38" s="231" t="s">
        <v>21</v>
      </c>
      <c r="F38" s="232"/>
      <c r="G38" s="233"/>
      <c r="H38" s="234" t="s">
        <v>15</v>
      </c>
      <c r="I38" s="234" t="s">
        <v>16</v>
      </c>
      <c r="J38" s="238" t="s">
        <v>4</v>
      </c>
      <c r="K38" s="238" t="s">
        <v>5</v>
      </c>
      <c r="L38" s="240" t="s">
        <v>17</v>
      </c>
      <c r="M38" s="230"/>
      <c r="N38" s="247" t="s">
        <v>7</v>
      </c>
      <c r="O38" s="247" t="s">
        <v>8</v>
      </c>
      <c r="P38" s="247" t="s">
        <v>9</v>
      </c>
      <c r="R38" s="43"/>
      <c r="S38" s="43"/>
      <c r="T38" s="43"/>
      <c r="U38" s="43"/>
      <c r="V38" s="43"/>
      <c r="W38" s="43"/>
      <c r="X38" s="43"/>
    </row>
    <row r="39" spans="1:24" ht="30.6">
      <c r="A39" s="2"/>
      <c r="B39" s="243"/>
      <c r="C39" s="237"/>
      <c r="D39" s="237"/>
      <c r="E39" s="34" t="s">
        <v>14</v>
      </c>
      <c r="F39" s="34" t="s">
        <v>13</v>
      </c>
      <c r="G39" s="35" t="s">
        <v>20</v>
      </c>
      <c r="H39" s="235"/>
      <c r="I39" s="235"/>
      <c r="J39" s="239"/>
      <c r="K39" s="239"/>
      <c r="L39" s="241"/>
      <c r="M39" s="230"/>
      <c r="N39" s="248"/>
      <c r="O39" s="248"/>
      <c r="P39" s="248"/>
      <c r="R39" s="43"/>
      <c r="S39" s="43"/>
      <c r="T39" s="43"/>
      <c r="U39" s="43"/>
      <c r="V39" s="43"/>
      <c r="W39" s="43"/>
      <c r="X39" s="43"/>
    </row>
  </sheetData>
  <mergeCells count="32">
    <mergeCell ref="P11:P12"/>
    <mergeCell ref="C10:I10"/>
    <mergeCell ref="J10:L10"/>
    <mergeCell ref="M10:M12"/>
    <mergeCell ref="N10:P10"/>
    <mergeCell ref="I11:I12"/>
    <mergeCell ref="J11:J12"/>
    <mergeCell ref="K11:K12"/>
    <mergeCell ref="L11:L12"/>
    <mergeCell ref="N11:N12"/>
    <mergeCell ref="O11:O12"/>
    <mergeCell ref="B11:B12"/>
    <mergeCell ref="C11:C12"/>
    <mergeCell ref="D11:D12"/>
    <mergeCell ref="E11:G11"/>
    <mergeCell ref="H11:H12"/>
    <mergeCell ref="C37:I37"/>
    <mergeCell ref="J37:L37"/>
    <mergeCell ref="M37:M39"/>
    <mergeCell ref="N37:P37"/>
    <mergeCell ref="B38:B39"/>
    <mergeCell ref="C38:C39"/>
    <mergeCell ref="D38:D39"/>
    <mergeCell ref="E38:G38"/>
    <mergeCell ref="H38:H39"/>
    <mergeCell ref="I38:I39"/>
    <mergeCell ref="J38:J39"/>
    <mergeCell ref="K38:K39"/>
    <mergeCell ref="L38:L39"/>
    <mergeCell ref="N38:N39"/>
    <mergeCell ref="O38:O39"/>
    <mergeCell ref="P38:P39"/>
  </mergeCells>
  <pageMargins left="0.7" right="0.7" top="0.75" bottom="0.75" header="0.3" footer="0.3"/>
  <drawing r:id="rId1"/>
  <legacyDrawing r:id="rId2"/>
  <oleObjects>
    <mc:AlternateContent xmlns:mc="http://schemas.openxmlformats.org/markup-compatibility/2006">
      <mc:Choice Requires="x14">
        <oleObject shapeId="2051" r:id="rId3">
          <objectPr defaultSize="0" autoPict="0" r:id="rId4">
            <anchor moveWithCells="1">
              <from>
                <xdr:col>18</xdr:col>
                <xdr:colOff>99060</xdr:colOff>
                <xdr:row>9</xdr:row>
                <xdr:rowOff>0</xdr:rowOff>
              </from>
              <to>
                <xdr:col>22</xdr:col>
                <xdr:colOff>548640</xdr:colOff>
                <xdr:row>11</xdr:row>
                <xdr:rowOff>121920</xdr:rowOff>
              </to>
            </anchor>
          </objectPr>
        </oleObject>
      </mc:Choice>
      <mc:Fallback>
        <oleObject shapeId="2051" r:id="rId3"/>
      </mc:Fallback>
    </mc:AlternateContent>
    <mc:AlternateContent xmlns:mc="http://schemas.openxmlformats.org/markup-compatibility/2006">
      <mc:Choice Requires="x14">
        <oleObject shapeId="2052" r:id="rId5">
          <objectPr defaultSize="0" autoPict="0" r:id="rId6">
            <anchor moveWithCells="1">
              <from>
                <xdr:col>18</xdr:col>
                <xdr:colOff>99060</xdr:colOff>
                <xdr:row>11</xdr:row>
                <xdr:rowOff>259080</xdr:rowOff>
              </from>
              <to>
                <xdr:col>23</xdr:col>
                <xdr:colOff>198120</xdr:colOff>
                <xdr:row>12</xdr:row>
                <xdr:rowOff>160020</xdr:rowOff>
              </to>
            </anchor>
          </objectPr>
        </oleObject>
      </mc:Choice>
      <mc:Fallback>
        <oleObject shapeId="2052" r:id="rId5"/>
      </mc:Fallback>
    </mc:AlternateContent>
    <mc:AlternateContent xmlns:mc="http://schemas.openxmlformats.org/markup-compatibility/2006">
      <mc:Choice Requires="x14">
        <oleObject shapeId="2053" r:id="rId7">
          <objectPr defaultSize="0" autoPict="0" r:id="rId8">
            <anchor moveWithCells="1">
              <from>
                <xdr:col>18</xdr:col>
                <xdr:colOff>129540</xdr:colOff>
                <xdr:row>13</xdr:row>
                <xdr:rowOff>152400</xdr:rowOff>
              </from>
              <to>
                <xdr:col>22</xdr:col>
                <xdr:colOff>0</xdr:colOff>
                <xdr:row>15</xdr:row>
                <xdr:rowOff>144780</xdr:rowOff>
              </to>
            </anchor>
          </objectPr>
        </oleObject>
      </mc:Choice>
      <mc:Fallback>
        <oleObject shapeId="2053" r:id="rId7"/>
      </mc:Fallback>
    </mc:AlternateContent>
    <mc:AlternateContent xmlns:mc="http://schemas.openxmlformats.org/markup-compatibility/2006">
      <mc:Choice Requires="x14">
        <oleObject shapeId="2054" r:id="rId9">
          <objectPr defaultSize="0" autoPict="0" r:id="rId10">
            <anchor moveWithCells="1">
              <from>
                <xdr:col>18</xdr:col>
                <xdr:colOff>220980</xdr:colOff>
                <xdr:row>22</xdr:row>
                <xdr:rowOff>152400</xdr:rowOff>
              </from>
              <to>
                <xdr:col>24</xdr:col>
                <xdr:colOff>342900</xdr:colOff>
                <xdr:row>25</xdr:row>
                <xdr:rowOff>22860</xdr:rowOff>
              </to>
            </anchor>
          </objectPr>
        </oleObject>
      </mc:Choice>
      <mc:Fallback>
        <oleObject shapeId="2054"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YT_ThinnedVolume_solved</vt:lpstr>
      <vt:lpstr>YT_TotalVolume_solved</vt:lpstr>
      <vt:lpstr>TProd_vol_sec</vt:lpstr>
      <vt:lpstr>exercise_class</vt:lpstr>
      <vt:lpstr>Fw</vt:lpstr>
      <vt:lpstr>TProd_vol_sec!pdesb</vt:lpstr>
      <vt:lpstr>pdesb</vt:lpstr>
      <vt:lpst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Margarida Tomé</dc:creator>
  <cp:lastModifiedBy>smb</cp:lastModifiedBy>
  <dcterms:created xsi:type="dcterms:W3CDTF">2013-10-16T10:16:53Z</dcterms:created>
  <dcterms:modified xsi:type="dcterms:W3CDTF">2026-04-20T21:30:22Z</dcterms:modified>
</cp:coreProperties>
</file>