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4_ForestModels\2025-2026_ForModels\"/>
    </mc:Choice>
  </mc:AlternateContent>
  <bookViews>
    <workbookView xWindow="0" yWindow="0" windowWidth="23040" windowHeight="8904"/>
  </bookViews>
  <sheets>
    <sheet name="StandTableProjec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N59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O50" i="1"/>
  <c r="N50" i="1"/>
  <c r="L51" i="1"/>
  <c r="M51" i="1" s="1"/>
  <c r="L52" i="1"/>
  <c r="M52" i="1"/>
  <c r="L53" i="1"/>
  <c r="M53" i="1"/>
  <c r="L54" i="1"/>
  <c r="M54" i="1"/>
  <c r="L55" i="1"/>
  <c r="M55" i="1" s="1"/>
  <c r="L56" i="1"/>
  <c r="M56" i="1"/>
  <c r="L57" i="1"/>
  <c r="M57" i="1"/>
  <c r="L58" i="1"/>
  <c r="M58" i="1"/>
  <c r="L50" i="1"/>
  <c r="M50" i="1"/>
  <c r="K51" i="1"/>
  <c r="K52" i="1"/>
  <c r="K53" i="1"/>
  <c r="K54" i="1"/>
  <c r="K55" i="1"/>
  <c r="K56" i="1"/>
  <c r="K57" i="1"/>
  <c r="K58" i="1"/>
  <c r="K50" i="1"/>
  <c r="J58" i="1"/>
  <c r="J59" i="1" s="1"/>
  <c r="J57" i="1"/>
  <c r="J53" i="1"/>
  <c r="J54" i="1"/>
  <c r="J55" i="1"/>
  <c r="J56" i="1"/>
  <c r="J52" i="1"/>
  <c r="J51" i="1"/>
  <c r="J50" i="1"/>
  <c r="H50" i="1"/>
  <c r="G51" i="1"/>
  <c r="G52" i="1"/>
  <c r="G53" i="1"/>
  <c r="G54" i="1"/>
  <c r="G55" i="1"/>
  <c r="G56" i="1"/>
  <c r="G57" i="1"/>
  <c r="G50" i="1"/>
  <c r="I56" i="1"/>
  <c r="H56" i="1" s="1"/>
  <c r="H51" i="1"/>
  <c r="H52" i="1"/>
  <c r="H53" i="1"/>
  <c r="H54" i="1"/>
  <c r="H55" i="1"/>
  <c r="H57" i="1"/>
  <c r="I50" i="1"/>
  <c r="F51" i="1"/>
  <c r="F52" i="1"/>
  <c r="F53" i="1"/>
  <c r="F54" i="1"/>
  <c r="F55" i="1"/>
  <c r="F56" i="1"/>
  <c r="F57" i="1"/>
  <c r="F50" i="1"/>
  <c r="I51" i="1"/>
  <c r="I52" i="1"/>
  <c r="I53" i="1"/>
  <c r="I54" i="1"/>
  <c r="I55" i="1"/>
  <c r="E51" i="1"/>
  <c r="E52" i="1"/>
  <c r="E53" i="1"/>
  <c r="E54" i="1"/>
  <c r="E55" i="1"/>
  <c r="E56" i="1"/>
  <c r="E57" i="1"/>
  <c r="E58" i="1"/>
  <c r="E50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L31" i="1"/>
  <c r="N31" i="1" s="1"/>
  <c r="N41" i="1" s="1"/>
  <c r="L32" i="1"/>
  <c r="L33" i="1"/>
  <c r="L34" i="1"/>
  <c r="L35" i="1"/>
  <c r="L36" i="1"/>
  <c r="L37" i="1"/>
  <c r="L38" i="1"/>
  <c r="L39" i="1"/>
  <c r="L40" i="1"/>
  <c r="K31" i="1"/>
  <c r="K32" i="1"/>
  <c r="K33" i="1"/>
  <c r="K34" i="1"/>
  <c r="K35" i="1"/>
  <c r="K36" i="1"/>
  <c r="K37" i="1"/>
  <c r="K38" i="1"/>
  <c r="K39" i="1"/>
  <c r="K40" i="1"/>
  <c r="J32" i="1"/>
  <c r="J33" i="1"/>
  <c r="J34" i="1"/>
  <c r="J35" i="1"/>
  <c r="J36" i="1"/>
  <c r="J37" i="1"/>
  <c r="J38" i="1"/>
  <c r="J39" i="1"/>
  <c r="J40" i="1"/>
  <c r="J31" i="1"/>
  <c r="I41" i="1"/>
  <c r="I38" i="1"/>
  <c r="I32" i="1"/>
  <c r="I31" i="1"/>
  <c r="I39" i="1"/>
  <c r="I33" i="1"/>
  <c r="I34" i="1"/>
  <c r="I35" i="1"/>
  <c r="I36" i="1"/>
  <c r="I37" i="1"/>
  <c r="G37" i="1"/>
  <c r="H37" i="1"/>
  <c r="G32" i="1"/>
  <c r="F32" i="1" s="1"/>
  <c r="G33" i="1"/>
  <c r="F33" i="1" s="1"/>
  <c r="G34" i="1"/>
  <c r="F34" i="1" s="1"/>
  <c r="G35" i="1"/>
  <c r="F35" i="1" s="1"/>
  <c r="G36" i="1"/>
  <c r="F36" i="1" s="1"/>
  <c r="F31" i="1"/>
  <c r="G31" i="1"/>
  <c r="E32" i="1"/>
  <c r="E33" i="1"/>
  <c r="E34" i="1"/>
  <c r="E35" i="1"/>
  <c r="E36" i="1"/>
  <c r="E37" i="1"/>
  <c r="E31" i="1"/>
  <c r="J10" i="1"/>
  <c r="J9" i="1"/>
  <c r="I8" i="1"/>
  <c r="N19" i="1"/>
  <c r="N17" i="1"/>
  <c r="O17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O9" i="1"/>
  <c r="O19" i="1" s="1"/>
  <c r="O20" i="1" s="1"/>
  <c r="N9" i="1"/>
  <c r="M10" i="1"/>
  <c r="M11" i="1"/>
  <c r="M12" i="1"/>
  <c r="M13" i="1"/>
  <c r="M14" i="1"/>
  <c r="M15" i="1"/>
  <c r="M16" i="1"/>
  <c r="M9" i="1"/>
  <c r="L10" i="1"/>
  <c r="L11" i="1"/>
  <c r="L12" i="1"/>
  <c r="L13" i="1"/>
  <c r="L14" i="1"/>
  <c r="L15" i="1"/>
  <c r="L16" i="1"/>
  <c r="L9" i="1"/>
  <c r="K10" i="1"/>
  <c r="K11" i="1"/>
  <c r="K12" i="1"/>
  <c r="K13" i="1"/>
  <c r="K14" i="1"/>
  <c r="K15" i="1"/>
  <c r="K16" i="1"/>
  <c r="K9" i="1"/>
  <c r="E19" i="1"/>
  <c r="J11" i="1"/>
  <c r="J18" i="1"/>
  <c r="J16" i="1"/>
  <c r="J12" i="1"/>
  <c r="J13" i="1"/>
  <c r="J14" i="1"/>
  <c r="J15" i="1"/>
  <c r="I9" i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H9" i="1"/>
  <c r="G10" i="1"/>
  <c r="G11" i="1"/>
  <c r="G12" i="1"/>
  <c r="G13" i="1"/>
  <c r="G14" i="1"/>
  <c r="G15" i="1"/>
  <c r="G9" i="1"/>
  <c r="A9" i="1"/>
  <c r="M31" i="1" l="1"/>
  <c r="M41" i="1" s="1"/>
  <c r="C41" i="1" l="1"/>
  <c r="C40" i="1"/>
  <c r="F46" i="1" l="1"/>
  <c r="F25" i="1"/>
  <c r="F4" i="1"/>
  <c r="C59" i="1"/>
  <c r="E18" i="1"/>
  <c r="C17" i="1"/>
  <c r="B17" i="1"/>
  <c r="A17" i="1" s="1"/>
  <c r="C16" i="1"/>
  <c r="B16" i="1"/>
  <c r="A16" i="1" s="1"/>
  <c r="C15" i="1"/>
  <c r="B15" i="1"/>
  <c r="C14" i="1"/>
  <c r="B14" i="1"/>
  <c r="C13" i="1"/>
  <c r="B13" i="1"/>
  <c r="A13" i="1" s="1"/>
  <c r="C12" i="1"/>
  <c r="B12" i="1"/>
  <c r="A12" i="1" s="1"/>
  <c r="C11" i="1"/>
  <c r="B11" i="1"/>
  <c r="C10" i="1"/>
  <c r="B10" i="1"/>
  <c r="C9" i="1"/>
  <c r="B9" i="1"/>
  <c r="A11" i="1" l="1"/>
  <c r="A15" i="1"/>
  <c r="A10" i="1"/>
  <c r="A14" i="1"/>
</calcChain>
</file>

<file path=xl/sharedStrings.xml><?xml version="1.0" encoding="utf-8"?>
<sst xmlns="http://schemas.openxmlformats.org/spreadsheetml/2006/main" count="84" uniqueCount="63">
  <si>
    <t>diameter class lower limit</t>
  </si>
  <si>
    <t>diameter class j    (5 cm)</t>
  </si>
  <si>
    <t>diameter class upper limit</t>
  </si>
  <si>
    <t>ingrowth</t>
  </si>
  <si>
    <t>Total</t>
  </si>
  <si>
    <t>diameter interval</t>
  </si>
  <si>
    <t>[ 2.5 - 7.5 [</t>
  </si>
  <si>
    <t>[ 7.5 - 12.5 [</t>
  </si>
  <si>
    <t>[ 12.5 - 17.5 [</t>
  </si>
  <si>
    <t>[ 17.5 - 22.5 [</t>
  </si>
  <si>
    <t>[ 22.5 - 27.5 [</t>
  </si>
  <si>
    <t>[ 27.5 - 32.5 [</t>
  </si>
  <si>
    <t>[ 32.5 - 37.5 [</t>
  </si>
  <si>
    <t>dbh class</t>
  </si>
  <si>
    <t>[5 - 7[</t>
  </si>
  <si>
    <t>[7 - 9[</t>
  </si>
  <si>
    <t>[9 - 11[</t>
  </si>
  <si>
    <t>[11 - 13[</t>
  </si>
  <si>
    <t>[13 - 15[</t>
  </si>
  <si>
    <t>[15 - 17[</t>
  </si>
  <si>
    <t>[17 - 19[</t>
  </si>
  <si>
    <t>[19 - 21[</t>
  </si>
  <si>
    <t>[21 - 23[</t>
  </si>
  <si>
    <t>Class_range=</t>
  </si>
  <si>
    <t xml:space="preserve">inventory year= </t>
  </si>
  <si>
    <t>predictions for=</t>
  </si>
  <si>
    <t>increment nr yrs=</t>
  </si>
  <si>
    <r>
      <t>Nj</t>
    </r>
    <r>
      <rPr>
        <b/>
        <vertAlign val="subscript"/>
        <sz val="10"/>
        <rFont val="Arial"/>
        <family val="2"/>
      </rPr>
      <t>1996</t>
    </r>
    <r>
      <rPr>
        <b/>
        <sz val="10"/>
        <rFont val="Arial"/>
        <family val="2"/>
      </rPr>
      <t xml:space="preserve">        after mortality</t>
    </r>
  </si>
  <si>
    <r>
      <t>d increment id</t>
    </r>
    <r>
      <rPr>
        <b/>
        <vertAlign val="sub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(cm)</t>
    </r>
  </si>
  <si>
    <r>
      <t xml:space="preserve">dbh </t>
    </r>
    <r>
      <rPr>
        <b/>
        <sz val="8"/>
        <color rgb="FF0070C0"/>
        <rFont val="Arial"/>
        <family val="2"/>
      </rPr>
      <t>(diameter of the average tree)</t>
    </r>
  </si>
  <si>
    <r>
      <t xml:space="preserve">d_class </t>
    </r>
    <r>
      <rPr>
        <b/>
        <sz val="8"/>
        <color rgb="FF0070C0"/>
        <rFont val="Calibri"/>
        <family val="2"/>
        <scheme val="minor"/>
      </rPr>
      <t>(diameter of the average tree)</t>
    </r>
  </si>
  <si>
    <r>
      <t>N_current 2020</t>
    </r>
    <r>
      <rPr>
        <b/>
        <sz val="8"/>
        <color theme="1"/>
        <rFont val="Calibri"/>
        <family val="2"/>
        <scheme val="minor"/>
      </rPr>
      <t xml:space="preserve"> (after mortality)</t>
    </r>
  </si>
  <si>
    <r>
      <rPr>
        <b/>
        <sz val="11"/>
        <rFont val="Calibri"/>
        <family val="2"/>
        <scheme val="minor"/>
      </rPr>
      <t>N_current  2019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(after mortality)</t>
    </r>
  </si>
  <si>
    <t>d_inc (5yr)</t>
  </si>
  <si>
    <t>d_inc (10yr)</t>
  </si>
  <si>
    <t>Tree height with a height-diameter curve:</t>
  </si>
  <si>
    <t>Total volume with a volume equation:</t>
  </si>
  <si>
    <t>GI</t>
  </si>
  <si>
    <t>Stay</t>
  </si>
  <si>
    <t>Move 1 class</t>
  </si>
  <si>
    <t>Nj2001        after mortality</t>
  </si>
  <si>
    <t>diameter of avg tree</t>
  </si>
  <si>
    <t>height of avg tree</t>
  </si>
  <si>
    <t>volume of avg tree</t>
  </si>
  <si>
    <t>Volume d_class 1996</t>
  </si>
  <si>
    <t>Volume d_class 2001</t>
  </si>
  <si>
    <t>Nj2025        after mortality</t>
  </si>
  <si>
    <t>Volume d_class 2020</t>
  </si>
  <si>
    <t>Volume d_class 2025</t>
  </si>
  <si>
    <t>Move 2 classes</t>
  </si>
  <si>
    <t>[ 37.5 - 42.5 [</t>
  </si>
  <si>
    <t>[ 42.5 - 47.5 [</t>
  </si>
  <si>
    <t>Move 2 class</t>
  </si>
  <si>
    <t>Nj2029        after mortality</t>
  </si>
  <si>
    <t>Volume d_class 2019</t>
  </si>
  <si>
    <t>Volume d_class 2029</t>
  </si>
  <si>
    <t>&gt;1</t>
  </si>
  <si>
    <t>Move1</t>
  </si>
  <si>
    <t>Move2</t>
  </si>
  <si>
    <t>altura</t>
  </si>
  <si>
    <t>volume</t>
  </si>
  <si>
    <t>crescimento em volume em 5 anos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</si>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</sst>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8"/>
      <color rgb="FF0070C0"/>
      <name val="Arial"/>
      <family val="2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theme="9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5" xfId="0" applyFont="1" applyBorder="1"/>
    <xf numFmtId="2" fontId="2" fillId="0" borderId="5" xfId="0" applyNumberFormat="1" applyFont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3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" xfId="0" applyFill="1" applyBorder="1"/>
    <xf numFmtId="0" fontId="3" fillId="3" borderId="0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0" xfId="0" applyFill="1"/>
    <xf numFmtId="0" fontId="3" fillId="3" borderId="0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0" fillId="0" borderId="5" xfId="0" applyBorder="1" applyAlignment="1">
      <alignment vertical="center"/>
    </xf>
    <xf numFmtId="166" fontId="12" fillId="0" borderId="5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165" fontId="12" fillId="0" borderId="5" xfId="0" applyNumberFormat="1" applyFont="1" applyBorder="1" applyAlignment="1">
      <alignment horizontal="center" vertical="center"/>
    </xf>
    <xf numFmtId="0" fontId="0" fillId="0" borderId="3" xfId="0" applyFill="1" applyBorder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/>
    <xf numFmtId="2" fontId="12" fillId="0" borderId="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12" fillId="0" borderId="5" xfId="0" applyFont="1" applyFill="1" applyBorder="1"/>
    <xf numFmtId="1" fontId="12" fillId="0" borderId="5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164" fontId="12" fillId="4" borderId="5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5" fontId="12" fillId="6" borderId="5" xfId="0" applyNumberFormat="1" applyFont="1" applyFill="1" applyBorder="1" applyAlignment="1">
      <alignment horizontal="center" vertical="center"/>
    </xf>
    <xf numFmtId="0" fontId="16" fillId="0" borderId="5" xfId="0" applyFont="1" applyBorder="1"/>
    <xf numFmtId="164" fontId="0" fillId="0" borderId="0" xfId="0" applyNumberFormat="1"/>
    <xf numFmtId="2" fontId="16" fillId="0" borderId="5" xfId="0" applyNumberFormat="1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12" fillId="7" borderId="13" xfId="0" applyNumberFormat="1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" fontId="15" fillId="7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Diameter distributions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StandTableProjection!$E$6</c:f>
              <c:strCache>
                <c:ptCount val="1"/>
                <c:pt idx="0">
                  <c:v>Nj1996        after mortality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StandTableProjection!$K$9:$K$16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</c:numCache>
            </c:numRef>
          </c:cat>
          <c:val>
            <c:numRef>
              <c:f>StandTableProjection!$E$9:$E$16</c:f>
              <c:numCache>
                <c:formatCode>General</c:formatCode>
                <c:ptCount val="8"/>
                <c:pt idx="0">
                  <c:v>102</c:v>
                </c:pt>
                <c:pt idx="1">
                  <c:v>59</c:v>
                </c:pt>
                <c:pt idx="2">
                  <c:v>53</c:v>
                </c:pt>
                <c:pt idx="3">
                  <c:v>59</c:v>
                </c:pt>
                <c:pt idx="4">
                  <c:v>58</c:v>
                </c:pt>
                <c:pt idx="5">
                  <c:v>22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9-4073-94C3-CD7B9A348E22}"/>
            </c:ext>
          </c:extLst>
        </c:ser>
        <c:ser>
          <c:idx val="1"/>
          <c:order val="1"/>
          <c:tx>
            <c:strRef>
              <c:f>StandTableProjection!$J$6</c:f>
              <c:strCache>
                <c:ptCount val="1"/>
                <c:pt idx="0">
                  <c:v>Nj2001        after mortality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StandTableProjection!$K$9:$K$16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</c:numCache>
            </c:numRef>
          </c:cat>
          <c:val>
            <c:numRef>
              <c:f>StandTableProjection!$J$9:$J$16</c:f>
              <c:numCache>
                <c:formatCode>0</c:formatCode>
                <c:ptCount val="8"/>
                <c:pt idx="0">
                  <c:v>124.48</c:v>
                </c:pt>
                <c:pt idx="1">
                  <c:v>91.679999999999993</c:v>
                </c:pt>
                <c:pt idx="2">
                  <c:v>57.03</c:v>
                </c:pt>
                <c:pt idx="3">
                  <c:v>54.38</c:v>
                </c:pt>
                <c:pt idx="4">
                  <c:v>58.769999999999996</c:v>
                </c:pt>
                <c:pt idx="5">
                  <c:v>49.5</c:v>
                </c:pt>
                <c:pt idx="6">
                  <c:v>17.38</c:v>
                </c:pt>
                <c:pt idx="7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9-4073-94C3-CD7B9A34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3"/>
        <c:axId val="235144912"/>
        <c:axId val="235151568"/>
      </c:barChart>
      <c:catAx>
        <c:axId val="23514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auto val="1"/>
        <c:lblAlgn val="ctr"/>
        <c:lblOffset val="100"/>
        <c:noMultiLvlLbl val="0"/>
      </c:cat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trees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between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 volume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StandTableProjection!$N$6</c:f>
              <c:strCache>
                <c:ptCount val="1"/>
                <c:pt idx="0">
                  <c:v>Volume d_class 1996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StandTableProjection!$K$9:$K$16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</c:numCache>
            </c:numRef>
          </c:xVal>
          <c:yVal>
            <c:numRef>
              <c:f>StandTableProjection!$N$9:$N$16</c:f>
              <c:numCache>
                <c:formatCode>0.000</c:formatCode>
                <c:ptCount val="8"/>
                <c:pt idx="0">
                  <c:v>0.71307200543259674</c:v>
                </c:pt>
                <c:pt idx="1">
                  <c:v>2.7704054611535929</c:v>
                </c:pt>
                <c:pt idx="2">
                  <c:v>7.350473284226144</c:v>
                </c:pt>
                <c:pt idx="3">
                  <c:v>17.338822486640812</c:v>
                </c:pt>
                <c:pt idx="4">
                  <c:v>30.1816803722628</c:v>
                </c:pt>
                <c:pt idx="5">
                  <c:v>18.12184289337317</c:v>
                </c:pt>
                <c:pt idx="6">
                  <c:v>1.2079972277134818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6D-4EC2-9A69-0251DBEAC690}"/>
            </c:ext>
          </c:extLst>
        </c:ser>
        <c:ser>
          <c:idx val="1"/>
          <c:order val="1"/>
          <c:tx>
            <c:strRef>
              <c:f>StandTableProjection!$O$6</c:f>
              <c:strCache>
                <c:ptCount val="1"/>
                <c:pt idx="0">
                  <c:v>Volume d_class 2001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StandTableProjection!$K$9:$K$16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</c:numCache>
            </c:numRef>
          </c:xVal>
          <c:yVal>
            <c:numRef>
              <c:f>StandTableProjection!$O$9:$O$16</c:f>
              <c:numCache>
                <c:formatCode>0.000</c:formatCode>
                <c:ptCount val="8"/>
                <c:pt idx="0">
                  <c:v>0.87022748270832984</c:v>
                </c:pt>
                <c:pt idx="1">
                  <c:v>4.3049283504840909</c:v>
                </c:pt>
                <c:pt idx="2">
                  <c:v>7.9093866301776794</c:v>
                </c:pt>
                <c:pt idx="3">
                  <c:v>15.981104522432668</c:v>
                </c:pt>
                <c:pt idx="4">
                  <c:v>30.582368197894564</c:v>
                </c:pt>
                <c:pt idx="5">
                  <c:v>40.774146510089636</c:v>
                </c:pt>
                <c:pt idx="6">
                  <c:v>20.994991817660313</c:v>
                </c:pt>
                <c:pt idx="7">
                  <c:v>1.3075198017189973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6D-4EC2-9A69-0251DBEA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44912"/>
        <c:axId val="235151568"/>
      </c:scatterChart>
      <c:valAx>
        <c:axId val="235144912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crossBetween val="midCat"/>
        <c:majorUnit val="5"/>
      </c:val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 m3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midCat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Diameter distributions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StandTableProjection!$C$27</c:f>
              <c:strCache>
                <c:ptCount val="1"/>
                <c:pt idx="0">
                  <c:v>N_current 2020 (after mortality)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StandTableProjection!$J$31:$J$39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</c:numCache>
            </c:numRef>
          </c:cat>
          <c:val>
            <c:numRef>
              <c:f>StandTableProjection!$C$31:$C$39</c:f>
              <c:numCache>
                <c:formatCode>General</c:formatCode>
                <c:ptCount val="9"/>
                <c:pt idx="0">
                  <c:v>380</c:v>
                </c:pt>
                <c:pt idx="1">
                  <c:v>300</c:v>
                </c:pt>
                <c:pt idx="2">
                  <c:v>340</c:v>
                </c:pt>
                <c:pt idx="3">
                  <c:v>190</c:v>
                </c:pt>
                <c:pt idx="4">
                  <c:v>390</c:v>
                </c:pt>
                <c:pt idx="5">
                  <c:v>210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8-483E-B8A1-367B60AF9EF2}"/>
            </c:ext>
          </c:extLst>
        </c:ser>
        <c:ser>
          <c:idx val="1"/>
          <c:order val="1"/>
          <c:tx>
            <c:strRef>
              <c:f>StandTableProjection!$I$27</c:f>
              <c:strCache>
                <c:ptCount val="1"/>
                <c:pt idx="0">
                  <c:v>Nj2025        after mortality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StandTableProjection!$J$31:$J$39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</c:numCache>
            </c:numRef>
          </c:cat>
          <c:val>
            <c:numRef>
              <c:f>StandTableProjection!$I$31:$I$39</c:f>
              <c:numCache>
                <c:formatCode>General</c:formatCode>
                <c:ptCount val="9"/>
                <c:pt idx="0">
                  <c:v>278.99999999999966</c:v>
                </c:pt>
                <c:pt idx="1">
                  <c:v>311.00000000000028</c:v>
                </c:pt>
                <c:pt idx="2">
                  <c:v>250.00000000000009</c:v>
                </c:pt>
                <c:pt idx="3">
                  <c:v>264.99999999999989</c:v>
                </c:pt>
                <c:pt idx="4">
                  <c:v>244.00000000000011</c:v>
                </c:pt>
                <c:pt idx="5">
                  <c:v>287.99999999999977</c:v>
                </c:pt>
                <c:pt idx="6">
                  <c:v>203.00000000000017</c:v>
                </c:pt>
                <c:pt idx="7" formatCode="0">
                  <c:v>72.8</c:v>
                </c:pt>
                <c:pt idx="8" formatCode="0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8-483E-B8A1-367B60AF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3"/>
        <c:axId val="235144912"/>
        <c:axId val="235151568"/>
      </c:barChart>
      <c:catAx>
        <c:axId val="23514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auto val="1"/>
        <c:lblAlgn val="ctr"/>
        <c:lblOffset val="100"/>
        <c:noMultiLvlLbl val="0"/>
      </c:cat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trees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between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 volume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StandTableProjection!$M$27</c:f>
              <c:strCache>
                <c:ptCount val="1"/>
                <c:pt idx="0">
                  <c:v>Volume d_class 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StandTableProjection!$J$31:$J$39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</c:numCache>
            </c:numRef>
          </c:xVal>
          <c:yVal>
            <c:numRef>
              <c:f>StandTableProjection!$M$31:$M$39</c:f>
              <c:numCache>
                <c:formatCode>0.00</c:formatCode>
                <c:ptCount val="9"/>
                <c:pt idx="0">
                  <c:v>1.8496735601951635</c:v>
                </c:pt>
                <c:pt idx="1">
                  <c:v>9.9546574147981275</c:v>
                </c:pt>
                <c:pt idx="2">
                  <c:v>33.849174643720687</c:v>
                </c:pt>
                <c:pt idx="3">
                  <c:v>40.662852700530834</c:v>
                </c:pt>
                <c:pt idx="4">
                  <c:v>149.7034755560517</c:v>
                </c:pt>
                <c:pt idx="5">
                  <c:v>129.06401831425001</c:v>
                </c:pt>
                <c:pt idx="6">
                  <c:v>72.840788435241691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68-4D02-8D41-8A63D5E76F2D}"/>
            </c:ext>
          </c:extLst>
        </c:ser>
        <c:ser>
          <c:idx val="1"/>
          <c:order val="1"/>
          <c:tx>
            <c:strRef>
              <c:f>StandTableProjection!$N$27</c:f>
              <c:strCache>
                <c:ptCount val="1"/>
                <c:pt idx="0">
                  <c:v>Volume d_class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StandTableProjection!$J$31:$J$39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</c:numCache>
            </c:numRef>
          </c:xVal>
          <c:yVal>
            <c:numRef>
              <c:f>StandTableProjection!$N$31:$N$39</c:f>
              <c:numCache>
                <c:formatCode>0.00</c:formatCode>
                <c:ptCount val="9"/>
                <c:pt idx="0">
                  <c:v>1.3580497981432893</c:v>
                </c:pt>
                <c:pt idx="1">
                  <c:v>10.319661520007401</c:v>
                </c:pt>
                <c:pt idx="2">
                  <c:v>24.889099002735808</c:v>
                </c:pt>
                <c:pt idx="3">
                  <c:v>56.71397876652982</c:v>
                </c:pt>
                <c:pt idx="4">
                  <c:v>93.66063598891445</c:v>
                </c:pt>
                <c:pt idx="5">
                  <c:v>177.00208225954273</c:v>
                </c:pt>
                <c:pt idx="6">
                  <c:v>184.83350065442596</c:v>
                </c:pt>
                <c:pt idx="7">
                  <c:v>92.822033658513433</c:v>
                </c:pt>
                <c:pt idx="8">
                  <c:v>12.318620949166396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68-4D02-8D41-8A63D5E76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44912"/>
        <c:axId val="235151568"/>
      </c:scatterChart>
      <c:valAx>
        <c:axId val="235144912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crossBetween val="midCat"/>
        <c:majorUnit val="5"/>
      </c:val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 m3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midCat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Diameter distributions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StandTableProjection!$C$48</c:f>
              <c:strCache>
                <c:ptCount val="1"/>
                <c:pt idx="0">
                  <c:v>N_current  2019 (after mortality)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StandTableProjection!$K$50:$K$58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cat>
          <c:val>
            <c:numRef>
              <c:f>StandTableProjection!$C$50:$C$58</c:f>
              <c:numCache>
                <c:formatCode>General</c:formatCode>
                <c:ptCount val="9"/>
                <c:pt idx="0">
                  <c:v>313</c:v>
                </c:pt>
                <c:pt idx="1">
                  <c:v>229</c:v>
                </c:pt>
                <c:pt idx="2">
                  <c:v>134</c:v>
                </c:pt>
                <c:pt idx="3">
                  <c:v>70</c:v>
                </c:pt>
                <c:pt idx="4">
                  <c:v>34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D-49B0-83B6-C22F74DA813B}"/>
            </c:ext>
          </c:extLst>
        </c:ser>
        <c:ser>
          <c:idx val="1"/>
          <c:order val="1"/>
          <c:tx>
            <c:strRef>
              <c:f>StandTableProjection!$J$48</c:f>
              <c:strCache>
                <c:ptCount val="1"/>
                <c:pt idx="0">
                  <c:v>Nj2029        after mortality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StandTableProjection!$K$50:$K$58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cat>
          <c:val>
            <c:numRef>
              <c:f>StandTableProjection!$J$50:$J$58</c:f>
              <c:numCache>
                <c:formatCode>0</c:formatCode>
                <c:ptCount val="9"/>
                <c:pt idx="0" formatCode="General">
                  <c:v>0</c:v>
                </c:pt>
                <c:pt idx="1">
                  <c:v>281.7</c:v>
                </c:pt>
                <c:pt idx="2">
                  <c:v>225.95000000000007</c:v>
                </c:pt>
                <c:pt idx="3">
                  <c:v>141.54999999999998</c:v>
                </c:pt>
                <c:pt idx="4">
                  <c:v>89.799999999999983</c:v>
                </c:pt>
                <c:pt idx="5">
                  <c:v>34.20000000000001</c:v>
                </c:pt>
                <c:pt idx="6">
                  <c:v>13.799999999999999</c:v>
                </c:pt>
                <c:pt idx="7">
                  <c:v>12.149999999999999</c:v>
                </c:pt>
                <c:pt idx="8">
                  <c:v>5.8500000000000005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D-49B0-83B6-C22F74DA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3"/>
        <c:axId val="235144912"/>
        <c:axId val="235151568"/>
      </c:barChart>
      <c:catAx>
        <c:axId val="23514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auto val="1"/>
        <c:lblAlgn val="ctr"/>
        <c:lblOffset val="100"/>
        <c:noMultiLvlLbl val="0"/>
      </c:cat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trees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between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 volume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StandTableProjection!$N$48</c:f>
              <c:strCache>
                <c:ptCount val="1"/>
                <c:pt idx="0">
                  <c:v>Volume d_class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StandTableProjection!$K$50:$K$58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xVal>
          <c:yVal>
            <c:numRef>
              <c:f>StandTableProjection!$N$50:$N$58</c:f>
              <c:numCache>
                <c:formatCode>0.00</c:formatCode>
                <c:ptCount val="9"/>
                <c:pt idx="0">
                  <c:v>2.534383629058869</c:v>
                </c:pt>
                <c:pt idx="1">
                  <c:v>4.116252887192335</c:v>
                </c:pt>
                <c:pt idx="2">
                  <c:v>4.4464136452764969</c:v>
                </c:pt>
                <c:pt idx="3">
                  <c:v>3.8168953550132452</c:v>
                </c:pt>
                <c:pt idx="4">
                  <c:v>2.8120862173363235</c:v>
                </c:pt>
                <c:pt idx="5">
                  <c:v>1.1833616686257533</c:v>
                </c:pt>
                <c:pt idx="6">
                  <c:v>1.4575207084997808</c:v>
                </c:pt>
                <c:pt idx="7">
                  <c:v>1.2840900852799211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B6-4FCE-9A49-4A4391C3D316}"/>
            </c:ext>
          </c:extLst>
        </c:ser>
        <c:ser>
          <c:idx val="1"/>
          <c:order val="1"/>
          <c:tx>
            <c:strRef>
              <c:f>StandTableProjection!$O$48</c:f>
              <c:strCache>
                <c:ptCount val="1"/>
                <c:pt idx="0">
                  <c:v>Volume d_class 2029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StandTableProjection!$K$50:$K$58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xVal>
          <c:yVal>
            <c:numRef>
              <c:f>StandTableProjection!$O$50:$O$58</c:f>
              <c:numCache>
                <c:formatCode>0.00</c:formatCode>
                <c:ptCount val="9"/>
                <c:pt idx="0">
                  <c:v>0</c:v>
                </c:pt>
                <c:pt idx="1">
                  <c:v>5.063530298349697</c:v>
                </c:pt>
                <c:pt idx="2">
                  <c:v>7.4975161429121249</c:v>
                </c:pt>
                <c:pt idx="3">
                  <c:v>7.718307678601783</c:v>
                </c:pt>
                <c:pt idx="4">
                  <c:v>7.4272159504941708</c:v>
                </c:pt>
                <c:pt idx="5">
                  <c:v>4.0470969067000775</c:v>
                </c:pt>
                <c:pt idx="6">
                  <c:v>2.2348650863663302</c:v>
                </c:pt>
                <c:pt idx="7">
                  <c:v>2.6002824226918397</c:v>
                </c:pt>
                <c:pt idx="8">
                  <c:v>1.6085380949285997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B6-4FCE-9A49-4A4391C3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44912"/>
        <c:axId val="235151568"/>
      </c:scatterChart>
      <c:valAx>
        <c:axId val="235144912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classes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51568"/>
        <c:crosses val="autoZero"/>
        <c:crossBetween val="midCat"/>
        <c:majorUnit val="5"/>
      </c:valAx>
      <c:valAx>
        <c:axId val="2351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 m3 ha-1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44912"/>
        <c:crosses val="autoZero"/>
        <c:crossBetween val="midCat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30480</xdr:colOff>
          <xdr:row>26</xdr:row>
          <xdr:rowOff>38100</xdr:rowOff>
        </xdr:from>
        <xdr:to>
          <xdr:col>20</xdr:col>
          <xdr:colOff>556260</xdr:colOff>
          <xdr:row>29</xdr:row>
          <xdr:rowOff>60960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37608CD-3C7D-4226-9FD9-3F34B24A9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</xdr:spPr>
        </xdr:sp>
        <xdr:clientData/>
      </xdr:twoCellAnchor>
    </mc:Choice>
    <mc:Fallback/>
  </mc:AlternateContent>
  <xdr:twoCellAnchor editAs="oneCell">
    <xdr:from>
      <xdr:col>13</xdr:col>
      <xdr:colOff>381000</xdr:colOff>
      <xdr:row>0</xdr:row>
      <xdr:rowOff>15240</xdr:rowOff>
    </xdr:from>
    <xdr:to>
      <xdr:col>18</xdr:col>
      <xdr:colOff>401</xdr:colOff>
      <xdr:row>3</xdr:row>
      <xdr:rowOff>140590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757" t="84709" r="4285"/>
        <a:stretch/>
      </xdr:blipFill>
      <xdr:spPr>
        <a:xfrm>
          <a:off x="8839200" y="15240"/>
          <a:ext cx="2659380" cy="673990"/>
        </a:xfrm>
        <a:prstGeom prst="rect">
          <a:avLst/>
        </a:prstGeom>
      </xdr:spPr>
    </xdr:pic>
    <xdr:clientData/>
  </xdr:twoCellAnchor>
  <xdr:twoCellAnchor>
    <xdr:from>
      <xdr:col>15</xdr:col>
      <xdr:colOff>525780</xdr:colOff>
      <xdr:row>4</xdr:row>
      <xdr:rowOff>144780</xdr:rowOff>
    </xdr:from>
    <xdr:to>
      <xdr:col>20</xdr:col>
      <xdr:colOff>327660</xdr:colOff>
      <xdr:row>18</xdr:row>
      <xdr:rowOff>160020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396240</xdr:colOff>
      <xdr:row>4</xdr:row>
      <xdr:rowOff>137160</xdr:rowOff>
    </xdr:from>
    <xdr:to>
      <xdr:col>25</xdr:col>
      <xdr:colOff>198120</xdr:colOff>
      <xdr:row>18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21</xdr:row>
      <xdr:rowOff>32525</xdr:rowOff>
    </xdr:from>
    <xdr:to>
      <xdr:col>20</xdr:col>
      <xdr:colOff>391633</xdr:colOff>
      <xdr:row>24</xdr:row>
      <xdr:rowOff>152245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81732" y="4005147"/>
          <a:ext cx="2217645" cy="663342"/>
        </a:xfrm>
        <a:prstGeom prst="rect">
          <a:avLst/>
        </a:prstGeom>
      </xdr:spPr>
    </xdr:pic>
    <xdr:clientData/>
  </xdr:twoCellAnchor>
  <xdr:twoCellAnchor>
    <xdr:from>
      <xdr:col>16</xdr:col>
      <xdr:colOff>15875</xdr:colOff>
      <xdr:row>30</xdr:row>
      <xdr:rowOff>55245</xdr:rowOff>
    </xdr:from>
    <xdr:to>
      <xdr:col>20</xdr:col>
      <xdr:colOff>428943</xdr:colOff>
      <xdr:row>45</xdr:row>
      <xdr:rowOff>62547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497523</xdr:colOff>
      <xdr:row>30</xdr:row>
      <xdr:rowOff>47625</xdr:rowOff>
    </xdr:from>
    <xdr:to>
      <xdr:col>25</xdr:col>
      <xdr:colOff>299403</xdr:colOff>
      <xdr:row>45</xdr:row>
      <xdr:rowOff>54927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46</xdr:row>
      <xdr:rowOff>7620</xdr:rowOff>
    </xdr:from>
    <xdr:to>
      <xdr:col>20</xdr:col>
      <xdr:colOff>413068</xdr:colOff>
      <xdr:row>60</xdr:row>
      <xdr:rowOff>46672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481648</xdr:colOff>
      <xdr:row>46</xdr:row>
      <xdr:rowOff>0</xdr:rowOff>
    </xdr:from>
    <xdr:to>
      <xdr:col>25</xdr:col>
      <xdr:colOff>283528</xdr:colOff>
      <xdr:row>60</xdr:row>
      <xdr:rowOff>39052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9"/>
  <sheetViews>
    <sheetView tabSelected="1" topLeftCell="A8" zoomScale="38" zoomScaleNormal="53" workbookViewId="0">
      <selection activeCell="AB45" sqref="AB45"/>
    </sheetView>
  </sheetViews>
  <sheetFormatPr defaultRowHeight="14.4" x14ac:dyDescent="0.3"/>
  <cols>
    <col min="1" max="1" width="11.88671875" bestFit="1" customWidth="1"/>
    <col min="3" max="3" width="9.33203125" customWidth="1"/>
    <col min="4" max="4" width="9.5546875" customWidth="1"/>
    <col min="6" max="6" width="10.44140625" customWidth="1"/>
    <col min="13" max="13" width="11" bestFit="1" customWidth="1"/>
  </cols>
  <sheetData>
    <row r="1" spans="1:15" x14ac:dyDescent="0.3">
      <c r="E1" s="17" t="s">
        <v>23</v>
      </c>
      <c r="F1" s="12">
        <v>5</v>
      </c>
      <c r="L1" t="s">
        <v>59</v>
      </c>
      <c r="M1" t="s">
        <v>60</v>
      </c>
    </row>
    <row r="2" spans="1:15" x14ac:dyDescent="0.3">
      <c r="E2" s="17" t="s">
        <v>24</v>
      </c>
      <c r="F2" s="12">
        <v>1996</v>
      </c>
      <c r="L2">
        <v>0.64212000000000002</v>
      </c>
      <c r="M2">
        <v>5.126E-5</v>
      </c>
    </row>
    <row r="3" spans="1:15" x14ac:dyDescent="0.3">
      <c r="E3" s="17" t="s">
        <v>26</v>
      </c>
      <c r="F3" s="12">
        <v>5</v>
      </c>
      <c r="L3">
        <v>1.874E-2</v>
      </c>
      <c r="M3">
        <v>2.0507</v>
      </c>
    </row>
    <row r="4" spans="1:15" x14ac:dyDescent="0.3">
      <c r="E4" s="17" t="s">
        <v>25</v>
      </c>
      <c r="F4" s="12">
        <f>F2+F3</f>
        <v>2001</v>
      </c>
      <c r="M4">
        <v>0.84279999999999999</v>
      </c>
    </row>
    <row r="5" spans="1:15" x14ac:dyDescent="0.3">
      <c r="E5" s="11"/>
      <c r="G5" s="73" t="s">
        <v>56</v>
      </c>
      <c r="H5" s="73" t="s">
        <v>57</v>
      </c>
      <c r="I5" s="73" t="s">
        <v>58</v>
      </c>
    </row>
    <row r="6" spans="1:15" ht="21" customHeight="1" x14ac:dyDescent="0.3">
      <c r="A6" s="63" t="s">
        <v>5</v>
      </c>
      <c r="B6" s="69" t="s">
        <v>0</v>
      </c>
      <c r="C6" s="70" t="s">
        <v>2</v>
      </c>
      <c r="D6" s="59" t="s">
        <v>1</v>
      </c>
      <c r="E6" s="61" t="s">
        <v>27</v>
      </c>
      <c r="F6" s="59" t="s">
        <v>28</v>
      </c>
      <c r="G6" s="57" t="s">
        <v>37</v>
      </c>
      <c r="H6" s="57" t="s">
        <v>38</v>
      </c>
      <c r="I6" s="56" t="s">
        <v>39</v>
      </c>
      <c r="J6" s="58" t="s">
        <v>40</v>
      </c>
      <c r="K6" s="55" t="s">
        <v>41</v>
      </c>
      <c r="L6" s="77" t="s">
        <v>42</v>
      </c>
      <c r="M6" s="55" t="s">
        <v>43</v>
      </c>
      <c r="N6" s="56" t="s">
        <v>44</v>
      </c>
      <c r="O6" s="56" t="s">
        <v>45</v>
      </c>
    </row>
    <row r="7" spans="1:15" ht="21" customHeight="1" x14ac:dyDescent="0.3">
      <c r="A7" s="63"/>
      <c r="B7" s="69"/>
      <c r="C7" s="70"/>
      <c r="D7" s="60"/>
      <c r="E7" s="62"/>
      <c r="F7" s="60"/>
      <c r="G7" s="57"/>
      <c r="H7" s="57"/>
      <c r="I7" s="56"/>
      <c r="J7" s="58"/>
      <c r="K7" s="55"/>
      <c r="L7" s="77"/>
      <c r="M7" s="55"/>
      <c r="N7" s="56"/>
      <c r="O7" s="56"/>
    </row>
    <row r="8" spans="1:15" x14ac:dyDescent="0.3">
      <c r="B8" s="1"/>
      <c r="C8" s="3"/>
      <c r="D8" s="71" t="s">
        <v>3</v>
      </c>
      <c r="E8" s="72">
        <v>100</v>
      </c>
      <c r="F8" s="2"/>
      <c r="G8" s="32"/>
      <c r="H8" s="32"/>
      <c r="I8" s="33">
        <f>E8</f>
        <v>100</v>
      </c>
      <c r="J8" s="34"/>
      <c r="K8" s="35"/>
      <c r="L8" s="78"/>
      <c r="M8" s="35"/>
      <c r="N8" s="9"/>
      <c r="O8" s="9"/>
    </row>
    <row r="9" spans="1:15" x14ac:dyDescent="0.3">
      <c r="A9" s="13" t="str">
        <f>CONCATENATE("[ ",B9," - ",B10," [")</f>
        <v>[ 2.5 - 7.5 [</v>
      </c>
      <c r="B9" s="2">
        <f>D9-2.5</f>
        <v>2.5</v>
      </c>
      <c r="C9" s="2">
        <f t="shared" ref="C9:C17" si="0">D9+2.4</f>
        <v>7.4</v>
      </c>
      <c r="D9" s="2">
        <v>5</v>
      </c>
      <c r="E9" s="4">
        <v>102</v>
      </c>
      <c r="F9" s="14">
        <v>3.8</v>
      </c>
      <c r="G9" s="33">
        <f>F9/$F$1</f>
        <v>0.76</v>
      </c>
      <c r="H9" s="34">
        <f>E9-I9</f>
        <v>24.480000000000004</v>
      </c>
      <c r="I9" s="34">
        <f>E9*G9</f>
        <v>77.52</v>
      </c>
      <c r="J9" s="34">
        <f>I8+H9</f>
        <v>124.48</v>
      </c>
      <c r="K9" s="80">
        <f>D9</f>
        <v>5</v>
      </c>
      <c r="L9" s="79">
        <f>K9/($L$2+$L$3*K9)</f>
        <v>6.7951401157891871</v>
      </c>
      <c r="M9" s="81">
        <f>$M$2*K9^$M$3*L9^$M$4</f>
        <v>6.9909020140450657E-3</v>
      </c>
      <c r="N9" s="36">
        <f>M9*E9</f>
        <v>0.71307200543259674</v>
      </c>
      <c r="O9" s="36">
        <f>M9*J9</f>
        <v>0.87022748270832984</v>
      </c>
    </row>
    <row r="10" spans="1:15" x14ac:dyDescent="0.3">
      <c r="A10" s="13" t="str">
        <f t="shared" ref="A10:A16" si="1">CONCATENATE("[ ",B10," - ",B11," [")</f>
        <v>[ 7.5 - 12.5 [</v>
      </c>
      <c r="B10" s="2">
        <f t="shared" ref="B10:B17" si="2">D10-2.5</f>
        <v>7.5</v>
      </c>
      <c r="C10" s="2">
        <f t="shared" si="0"/>
        <v>12.4</v>
      </c>
      <c r="D10" s="2">
        <v>10</v>
      </c>
      <c r="E10" s="4">
        <v>59</v>
      </c>
      <c r="F10" s="14">
        <v>3.8</v>
      </c>
      <c r="G10" s="33">
        <f t="shared" ref="G10:G17" si="3">F10/$F$1</f>
        <v>0.76</v>
      </c>
      <c r="H10" s="34">
        <f t="shared" ref="H10:H15" si="4">E10-I10</f>
        <v>14.159999999999997</v>
      </c>
      <c r="I10" s="34">
        <f t="shared" ref="I10:I15" si="5">E10*G10</f>
        <v>44.84</v>
      </c>
      <c r="J10" s="34">
        <f>I9+H10</f>
        <v>91.679999999999993</v>
      </c>
      <c r="K10" s="80">
        <f t="shared" ref="K10:K16" si="6">D10</f>
        <v>10</v>
      </c>
      <c r="L10" s="79">
        <f t="shared" ref="L10:L19" si="7">K10/($L$2+$L$3*K10)</f>
        <v>12.055164432442858</v>
      </c>
      <c r="M10" s="81">
        <f t="shared" ref="M10:M19" si="8">$M$2*K10^$M$3*L10^$M$4</f>
        <v>4.695602476531513E-2</v>
      </c>
      <c r="N10" s="36">
        <f t="shared" ref="N10:N16" si="9">M10*E10</f>
        <v>2.7704054611535929</v>
      </c>
      <c r="O10" s="36">
        <f t="shared" ref="O10:O16" si="10">M10*J10</f>
        <v>4.3049283504840909</v>
      </c>
    </row>
    <row r="11" spans="1:15" x14ac:dyDescent="0.3">
      <c r="A11" s="13" t="str">
        <f t="shared" si="1"/>
        <v>[ 12.5 - 17.5 [</v>
      </c>
      <c r="B11" s="2">
        <f t="shared" si="2"/>
        <v>12.5</v>
      </c>
      <c r="C11" s="2">
        <f t="shared" si="0"/>
        <v>17.399999999999999</v>
      </c>
      <c r="D11" s="2">
        <v>15</v>
      </c>
      <c r="E11" s="4">
        <v>53</v>
      </c>
      <c r="F11" s="14">
        <v>3.85</v>
      </c>
      <c r="G11" s="33">
        <f t="shared" si="3"/>
        <v>0.77</v>
      </c>
      <c r="H11" s="34">
        <f t="shared" si="4"/>
        <v>12.189999999999998</v>
      </c>
      <c r="I11" s="34">
        <f t="shared" si="5"/>
        <v>40.81</v>
      </c>
      <c r="J11" s="34">
        <f>I10+H11</f>
        <v>57.03</v>
      </c>
      <c r="K11" s="80">
        <f t="shared" si="6"/>
        <v>15</v>
      </c>
      <c r="L11" s="79">
        <f t="shared" si="7"/>
        <v>16.247481640345747</v>
      </c>
      <c r="M11" s="81">
        <f t="shared" si="8"/>
        <v>0.13868817517407819</v>
      </c>
      <c r="N11" s="36">
        <f t="shared" si="9"/>
        <v>7.350473284226144</v>
      </c>
      <c r="O11" s="36">
        <f t="shared" si="10"/>
        <v>7.9093866301776794</v>
      </c>
    </row>
    <row r="12" spans="1:15" x14ac:dyDescent="0.3">
      <c r="A12" s="13" t="str">
        <f t="shared" si="1"/>
        <v>[ 17.5 - 22.5 [</v>
      </c>
      <c r="B12" s="2">
        <f t="shared" si="2"/>
        <v>17.5</v>
      </c>
      <c r="C12" s="2">
        <f t="shared" si="0"/>
        <v>22.4</v>
      </c>
      <c r="D12" s="2">
        <v>20</v>
      </c>
      <c r="E12" s="4">
        <v>59</v>
      </c>
      <c r="F12" s="14">
        <v>3.85</v>
      </c>
      <c r="G12" s="33">
        <f t="shared" si="3"/>
        <v>0.77</v>
      </c>
      <c r="H12" s="34">
        <f t="shared" si="4"/>
        <v>13.57</v>
      </c>
      <c r="I12" s="34">
        <f t="shared" si="5"/>
        <v>45.43</v>
      </c>
      <c r="J12" s="34">
        <f t="shared" ref="J11:J16" si="11">I11+H12</f>
        <v>54.38</v>
      </c>
      <c r="K12" s="80">
        <f t="shared" si="6"/>
        <v>20</v>
      </c>
      <c r="L12" s="79">
        <f t="shared" si="7"/>
        <v>19.667230460606536</v>
      </c>
      <c r="M12" s="81">
        <f t="shared" si="8"/>
        <v>0.29387834723120021</v>
      </c>
      <c r="N12" s="36">
        <f t="shared" si="9"/>
        <v>17.338822486640812</v>
      </c>
      <c r="O12" s="36">
        <f t="shared" si="10"/>
        <v>15.981104522432668</v>
      </c>
    </row>
    <row r="13" spans="1:15" x14ac:dyDescent="0.3">
      <c r="A13" s="13" t="str">
        <f t="shared" si="1"/>
        <v>[ 22.5 - 27.5 [</v>
      </c>
      <c r="B13" s="2">
        <f t="shared" si="2"/>
        <v>22.5</v>
      </c>
      <c r="C13" s="2">
        <f t="shared" si="0"/>
        <v>27.4</v>
      </c>
      <c r="D13" s="2">
        <v>25</v>
      </c>
      <c r="E13" s="4">
        <v>58</v>
      </c>
      <c r="F13" s="14">
        <v>3.85</v>
      </c>
      <c r="G13" s="33">
        <f t="shared" si="3"/>
        <v>0.77</v>
      </c>
      <c r="H13" s="34">
        <f t="shared" si="4"/>
        <v>13.339999999999996</v>
      </c>
      <c r="I13" s="34">
        <f t="shared" si="5"/>
        <v>44.660000000000004</v>
      </c>
      <c r="J13" s="34">
        <f t="shared" si="11"/>
        <v>58.769999999999996</v>
      </c>
      <c r="K13" s="80">
        <f t="shared" si="6"/>
        <v>25</v>
      </c>
      <c r="L13" s="79">
        <f t="shared" si="7"/>
        <v>22.509949397633754</v>
      </c>
      <c r="M13" s="81">
        <f t="shared" si="8"/>
        <v>0.52037379952177243</v>
      </c>
      <c r="N13" s="36">
        <f t="shared" si="9"/>
        <v>30.1816803722628</v>
      </c>
      <c r="O13" s="36">
        <f t="shared" si="10"/>
        <v>30.582368197894564</v>
      </c>
    </row>
    <row r="14" spans="1:15" x14ac:dyDescent="0.3">
      <c r="A14" s="13" t="str">
        <f t="shared" si="1"/>
        <v>[ 27.5 - 32.5 [</v>
      </c>
      <c r="B14" s="2">
        <f t="shared" si="2"/>
        <v>27.5</v>
      </c>
      <c r="C14" s="2">
        <f t="shared" si="0"/>
        <v>32.4</v>
      </c>
      <c r="D14" s="2">
        <v>30</v>
      </c>
      <c r="E14" s="4">
        <v>22</v>
      </c>
      <c r="F14" s="14">
        <v>3.9000000000000004</v>
      </c>
      <c r="G14" s="33">
        <f t="shared" si="3"/>
        <v>0.78</v>
      </c>
      <c r="H14" s="34">
        <f t="shared" si="4"/>
        <v>4.84</v>
      </c>
      <c r="I14" s="34">
        <f t="shared" si="5"/>
        <v>17.16</v>
      </c>
      <c r="J14" s="34">
        <f t="shared" si="11"/>
        <v>49.5</v>
      </c>
      <c r="K14" s="80">
        <f t="shared" si="6"/>
        <v>30</v>
      </c>
      <c r="L14" s="79">
        <f t="shared" si="7"/>
        <v>24.910322837783976</v>
      </c>
      <c r="M14" s="81">
        <f t="shared" si="8"/>
        <v>0.82372013151696233</v>
      </c>
      <c r="N14" s="36">
        <f t="shared" si="9"/>
        <v>18.12184289337317</v>
      </c>
      <c r="O14" s="36">
        <f t="shared" si="10"/>
        <v>40.774146510089636</v>
      </c>
    </row>
    <row r="15" spans="1:15" x14ac:dyDescent="0.3">
      <c r="A15" s="74" t="str">
        <f t="shared" si="1"/>
        <v>[ 32.5 - 37.5 [</v>
      </c>
      <c r="B15" s="75">
        <f t="shared" si="2"/>
        <v>32.5</v>
      </c>
      <c r="C15" s="75">
        <f t="shared" si="0"/>
        <v>37.4</v>
      </c>
      <c r="D15" s="75">
        <v>35</v>
      </c>
      <c r="E15" s="75">
        <v>1</v>
      </c>
      <c r="F15" s="14">
        <v>3.9000000000000004</v>
      </c>
      <c r="G15" s="76">
        <f t="shared" si="3"/>
        <v>0.78</v>
      </c>
      <c r="H15" s="34">
        <f t="shared" si="4"/>
        <v>0.21999999999999997</v>
      </c>
      <c r="I15" s="34">
        <f t="shared" si="5"/>
        <v>0.78</v>
      </c>
      <c r="J15" s="34">
        <f t="shared" si="11"/>
        <v>17.38</v>
      </c>
      <c r="K15" s="80">
        <f t="shared" si="6"/>
        <v>35</v>
      </c>
      <c r="L15" s="79">
        <f t="shared" si="7"/>
        <v>26.964145390671941</v>
      </c>
      <c r="M15" s="81">
        <f t="shared" si="8"/>
        <v>1.2079972277134818</v>
      </c>
      <c r="N15" s="36">
        <f t="shared" si="9"/>
        <v>1.2079972277134818</v>
      </c>
      <c r="O15" s="36">
        <f t="shared" si="10"/>
        <v>20.994991817660313</v>
      </c>
    </row>
    <row r="16" spans="1:15" x14ac:dyDescent="0.3">
      <c r="A16" s="13" t="str">
        <f t="shared" si="1"/>
        <v>[ 37.5 - 42.5 [</v>
      </c>
      <c r="B16" s="2">
        <f t="shared" si="2"/>
        <v>37.5</v>
      </c>
      <c r="C16" s="2">
        <f t="shared" si="0"/>
        <v>42.4</v>
      </c>
      <c r="D16" s="2">
        <v>40</v>
      </c>
      <c r="E16" s="4">
        <v>0</v>
      </c>
      <c r="F16" s="2"/>
      <c r="G16" s="33"/>
      <c r="H16" s="33"/>
      <c r="I16" s="32"/>
      <c r="J16" s="34">
        <f t="shared" si="11"/>
        <v>0.78</v>
      </c>
      <c r="K16" s="80">
        <f t="shared" si="6"/>
        <v>40</v>
      </c>
      <c r="L16" s="79">
        <f t="shared" si="7"/>
        <v>28.74141350271606</v>
      </c>
      <c r="M16" s="81">
        <f t="shared" si="8"/>
        <v>1.6763074381012786</v>
      </c>
      <c r="N16" s="36">
        <f t="shared" si="9"/>
        <v>0</v>
      </c>
      <c r="O16" s="36">
        <f t="shared" si="10"/>
        <v>1.3075198017189973</v>
      </c>
    </row>
    <row r="17" spans="1:21" x14ac:dyDescent="0.3">
      <c r="A17" s="82" t="str">
        <f>CONCATENATE("[ ",B17," - ",B18," [")</f>
        <v>[ 42.5 -  [</v>
      </c>
      <c r="B17" s="2">
        <f t="shared" si="2"/>
        <v>42.5</v>
      </c>
      <c r="C17" s="2">
        <f t="shared" si="0"/>
        <v>47.4</v>
      </c>
      <c r="D17" s="2">
        <v>45</v>
      </c>
      <c r="E17" s="4"/>
      <c r="F17" s="2"/>
      <c r="G17" s="33"/>
      <c r="H17" s="33"/>
      <c r="I17" s="32"/>
      <c r="J17" s="32"/>
      <c r="K17" s="9"/>
      <c r="L17" s="41"/>
      <c r="M17" s="45"/>
      <c r="N17" s="36">
        <f>M17*E17</f>
        <v>0</v>
      </c>
      <c r="O17" s="36">
        <f>M17*J17</f>
        <v>0</v>
      </c>
      <c r="Q17" s="29"/>
      <c r="R17" s="29"/>
      <c r="S17" s="29"/>
      <c r="T17" s="29"/>
    </row>
    <row r="18" spans="1:21" x14ac:dyDescent="0.3">
      <c r="A18" s="15"/>
      <c r="B18" s="16"/>
      <c r="C18" s="2"/>
      <c r="D18" s="2" t="s">
        <v>4</v>
      </c>
      <c r="E18" s="4">
        <f>SUM(E9:E16)</f>
        <v>354</v>
      </c>
      <c r="F18" s="2"/>
      <c r="G18" s="32"/>
      <c r="H18" s="32"/>
      <c r="I18" s="32"/>
      <c r="J18" s="34">
        <f>SUM(J9:J17)</f>
        <v>453.99999999999994</v>
      </c>
      <c r="K18" s="34"/>
      <c r="L18" s="41"/>
      <c r="M18" s="45"/>
      <c r="N18" s="34"/>
      <c r="O18" s="34"/>
      <c r="Q18" s="29"/>
      <c r="R18" s="29"/>
      <c r="S18" s="29"/>
      <c r="T18" s="29"/>
    </row>
    <row r="19" spans="1:21" x14ac:dyDescent="0.3">
      <c r="E19">
        <f>E18+E8</f>
        <v>454</v>
      </c>
      <c r="L19" s="41"/>
      <c r="M19" s="45"/>
      <c r="N19" s="83">
        <f>SUM(N9:N18)</f>
        <v>77.684293730802594</v>
      </c>
      <c r="O19" s="83">
        <f>SUM(O9:O18)</f>
        <v>122.72467331316628</v>
      </c>
      <c r="Q19" s="29"/>
      <c r="R19" s="29"/>
      <c r="S19" s="29"/>
      <c r="T19" s="29"/>
    </row>
    <row r="20" spans="1:21" x14ac:dyDescent="0.3">
      <c r="N20" s="11" t="s">
        <v>61</v>
      </c>
      <c r="O20" s="83">
        <f>O19-N19</f>
        <v>45.040379582363684</v>
      </c>
      <c r="Q20" s="29"/>
      <c r="R20" s="29"/>
      <c r="S20" s="29"/>
      <c r="T20" s="29"/>
    </row>
    <row r="21" spans="1:21" x14ac:dyDescent="0.3">
      <c r="Q21" s="18"/>
      <c r="R21" s="31"/>
      <c r="S21" s="20" t="s">
        <v>35</v>
      </c>
      <c r="T21" s="19"/>
      <c r="U21" s="21"/>
    </row>
    <row r="22" spans="1:21" x14ac:dyDescent="0.3">
      <c r="E22" s="17" t="s">
        <v>23</v>
      </c>
      <c r="F22" s="12">
        <v>5</v>
      </c>
      <c r="L22">
        <v>1.0643</v>
      </c>
      <c r="M22">
        <v>0.752</v>
      </c>
      <c r="Q22" s="22"/>
      <c r="R22" s="23"/>
      <c r="S22" s="23"/>
      <c r="T22" s="23"/>
      <c r="U22" s="24"/>
    </row>
    <row r="23" spans="1:21" x14ac:dyDescent="0.3">
      <c r="E23" s="17" t="s">
        <v>24</v>
      </c>
      <c r="F23" s="12">
        <v>2020</v>
      </c>
      <c r="L23">
        <v>2.2200000000000001E-2</v>
      </c>
      <c r="M23">
        <v>2.0706000000000002</v>
      </c>
      <c r="Q23" s="22"/>
      <c r="R23" s="23"/>
      <c r="S23" s="23"/>
      <c r="T23" s="23"/>
      <c r="U23" s="24"/>
    </row>
    <row r="24" spans="1:21" x14ac:dyDescent="0.3">
      <c r="E24" s="17" t="s">
        <v>26</v>
      </c>
      <c r="F24" s="12">
        <v>5</v>
      </c>
      <c r="M24">
        <v>0.80310000000000004</v>
      </c>
      <c r="Q24" s="22"/>
      <c r="R24" s="23"/>
      <c r="S24" s="25"/>
      <c r="T24" s="23"/>
      <c r="U24" s="24"/>
    </row>
    <row r="25" spans="1:21" x14ac:dyDescent="0.3">
      <c r="E25" s="17" t="s">
        <v>25</v>
      </c>
      <c r="F25" s="12">
        <f>F23+F24</f>
        <v>2025</v>
      </c>
      <c r="Q25" s="22"/>
      <c r="R25" s="23"/>
      <c r="S25" s="25"/>
      <c r="T25" s="23"/>
      <c r="U25" s="24"/>
    </row>
    <row r="26" spans="1:21" x14ac:dyDescent="0.3">
      <c r="E26" s="11"/>
      <c r="Q26" s="22"/>
      <c r="R26" s="30" t="s">
        <v>36</v>
      </c>
      <c r="S26" s="23"/>
      <c r="T26" s="23"/>
      <c r="U26" s="24"/>
    </row>
    <row r="27" spans="1:21" ht="14.4" customHeight="1" x14ac:dyDescent="0.3">
      <c r="B27" s="66" t="s">
        <v>30</v>
      </c>
      <c r="C27" s="66" t="s">
        <v>31</v>
      </c>
      <c r="D27" s="66" t="s">
        <v>33</v>
      </c>
      <c r="E27" s="57" t="s">
        <v>37</v>
      </c>
      <c r="F27" s="57" t="s">
        <v>38</v>
      </c>
      <c r="G27" s="56" t="s">
        <v>39</v>
      </c>
      <c r="H27" s="56" t="s">
        <v>49</v>
      </c>
      <c r="I27" s="58" t="s">
        <v>46</v>
      </c>
      <c r="J27" s="55" t="s">
        <v>41</v>
      </c>
      <c r="K27" s="55" t="s">
        <v>42</v>
      </c>
      <c r="L27" s="55" t="s">
        <v>43</v>
      </c>
      <c r="M27" s="56" t="s">
        <v>47</v>
      </c>
      <c r="N27" s="56" t="s">
        <v>48</v>
      </c>
      <c r="Q27" s="22"/>
      <c r="R27" s="23"/>
      <c r="S27" s="23"/>
      <c r="T27" s="23"/>
      <c r="U27" s="24"/>
    </row>
    <row r="28" spans="1:21" x14ac:dyDescent="0.3">
      <c r="B28" s="67"/>
      <c r="C28" s="67"/>
      <c r="D28" s="67"/>
      <c r="E28" s="57"/>
      <c r="F28" s="57"/>
      <c r="G28" s="56"/>
      <c r="H28" s="56"/>
      <c r="I28" s="58"/>
      <c r="J28" s="55"/>
      <c r="K28" s="55"/>
      <c r="L28" s="55"/>
      <c r="M28" s="56"/>
      <c r="N28" s="56"/>
      <c r="Q28" s="22"/>
      <c r="R28" s="23"/>
      <c r="S28" s="23"/>
      <c r="T28" s="23"/>
      <c r="U28" s="24"/>
    </row>
    <row r="29" spans="1:21" x14ac:dyDescent="0.3">
      <c r="B29" s="68"/>
      <c r="C29" s="68"/>
      <c r="D29" s="68"/>
      <c r="E29" s="57"/>
      <c r="F29" s="57"/>
      <c r="G29" s="56"/>
      <c r="H29" s="56"/>
      <c r="I29" s="58"/>
      <c r="J29" s="55"/>
      <c r="K29" s="55"/>
      <c r="L29" s="55"/>
      <c r="M29" s="56"/>
      <c r="N29" s="56"/>
      <c r="Q29" s="22"/>
      <c r="R29" s="23"/>
      <c r="S29" s="23"/>
      <c r="T29" s="23"/>
      <c r="U29" s="24"/>
    </row>
    <row r="30" spans="1:21" x14ac:dyDescent="0.3">
      <c r="B30" s="8" t="s">
        <v>3</v>
      </c>
      <c r="C30" s="8">
        <v>30</v>
      </c>
      <c r="D30" s="8"/>
      <c r="E30" s="46"/>
      <c r="F30" s="47"/>
      <c r="G30" s="47">
        <v>30</v>
      </c>
      <c r="H30" s="47"/>
      <c r="I30" s="47"/>
      <c r="J30" s="48"/>
      <c r="K30" s="48"/>
      <c r="L30" s="48"/>
      <c r="M30" s="29"/>
      <c r="N30" s="29"/>
      <c r="Q30" s="26"/>
      <c r="R30" s="27"/>
      <c r="S30" s="27"/>
      <c r="T30" s="27"/>
      <c r="U30" s="28"/>
    </row>
    <row r="31" spans="1:21" x14ac:dyDescent="0.3">
      <c r="A31" s="9" t="s">
        <v>6</v>
      </c>
      <c r="B31" s="5">
        <v>5</v>
      </c>
      <c r="C31" s="5">
        <v>380</v>
      </c>
      <c r="D31" s="6">
        <v>1.7236842105263199</v>
      </c>
      <c r="E31" s="49">
        <f>D31/$F$22</f>
        <v>0.34473684210526401</v>
      </c>
      <c r="F31" s="40">
        <f>C31-G31</f>
        <v>248.99999999999969</v>
      </c>
      <c r="G31" s="40">
        <f>C31*E31</f>
        <v>131.00000000000031</v>
      </c>
      <c r="H31" s="85"/>
      <c r="I31" s="40">
        <f>F31+G30</f>
        <v>278.99999999999966</v>
      </c>
      <c r="J31" s="40">
        <f>B31</f>
        <v>5</v>
      </c>
      <c r="K31" s="50">
        <f>J31/($L$22+$L$23*J31)</f>
        <v>4.2542329617969878</v>
      </c>
      <c r="L31" s="50">
        <f>$M$22*(J31/100)^$M$23*K31^$M$24</f>
        <v>4.8675620005135881E-3</v>
      </c>
      <c r="M31" s="49">
        <f>$L31*C31</f>
        <v>1.8496735601951635</v>
      </c>
      <c r="N31" s="49">
        <f>$L31*I31</f>
        <v>1.3580497981432893</v>
      </c>
    </row>
    <row r="32" spans="1:21" x14ac:dyDescent="0.3">
      <c r="A32" s="9" t="s">
        <v>7</v>
      </c>
      <c r="B32" s="5">
        <v>10</v>
      </c>
      <c r="C32" s="5">
        <v>300</v>
      </c>
      <c r="D32" s="6">
        <v>2.0000000000000004</v>
      </c>
      <c r="E32" s="49">
        <f t="shared" ref="E32:E41" si="12">D32/$F$22</f>
        <v>0.40000000000000008</v>
      </c>
      <c r="F32" s="40">
        <f t="shared" ref="F32:F37" si="13">C32-G32</f>
        <v>179.99999999999997</v>
      </c>
      <c r="G32" s="40">
        <f t="shared" ref="G32:G36" si="14">C32*E32</f>
        <v>120.00000000000003</v>
      </c>
      <c r="H32" s="85"/>
      <c r="I32" s="40">
        <f>F32+G31+H30</f>
        <v>311.00000000000028</v>
      </c>
      <c r="J32" s="40">
        <f t="shared" ref="J32:J40" si="15">B32</f>
        <v>10</v>
      </c>
      <c r="K32" s="50">
        <f t="shared" ref="K32:K40" si="16">J32/($L$22+$L$23*J32)</f>
        <v>7.7742361812951879</v>
      </c>
      <c r="L32" s="50">
        <f t="shared" ref="L32:L40" si="17">$M$22*(J32/100)^$M$23*K32^$M$24</f>
        <v>3.3182191382660424E-2</v>
      </c>
      <c r="M32" s="49">
        <f t="shared" ref="M32:M40" si="18">$L32*C32</f>
        <v>9.9546574147981275</v>
      </c>
      <c r="N32" s="49">
        <f t="shared" ref="N32:N40" si="19">$L32*I32</f>
        <v>10.319661520007401</v>
      </c>
    </row>
    <row r="33" spans="1:15" x14ac:dyDescent="0.3">
      <c r="A33" s="9" t="s">
        <v>8</v>
      </c>
      <c r="B33" s="5">
        <v>15</v>
      </c>
      <c r="C33" s="5">
        <v>340</v>
      </c>
      <c r="D33" s="6">
        <v>3.0882352941176459</v>
      </c>
      <c r="E33" s="49">
        <f t="shared" si="12"/>
        <v>0.61764705882352922</v>
      </c>
      <c r="F33" s="40">
        <f t="shared" si="13"/>
        <v>130.00000000000006</v>
      </c>
      <c r="G33" s="40">
        <f t="shared" si="14"/>
        <v>209.99999999999994</v>
      </c>
      <c r="H33" s="85"/>
      <c r="I33" s="40">
        <f t="shared" ref="I33:I38" si="20">F33+G32+H31</f>
        <v>250.00000000000009</v>
      </c>
      <c r="J33" s="40">
        <f t="shared" si="15"/>
        <v>15</v>
      </c>
      <c r="K33" s="50">
        <f t="shared" si="16"/>
        <v>10.734988907178129</v>
      </c>
      <c r="L33" s="50">
        <f t="shared" si="17"/>
        <v>9.9556396010943196E-2</v>
      </c>
      <c r="M33" s="49">
        <f t="shared" si="18"/>
        <v>33.849174643720687</v>
      </c>
      <c r="N33" s="49">
        <f t="shared" si="19"/>
        <v>24.889099002735808</v>
      </c>
    </row>
    <row r="34" spans="1:15" x14ac:dyDescent="0.3">
      <c r="A34" s="9" t="s">
        <v>9</v>
      </c>
      <c r="B34" s="5">
        <v>20</v>
      </c>
      <c r="C34" s="5">
        <v>190</v>
      </c>
      <c r="D34" s="6">
        <v>3.5526315789473699</v>
      </c>
      <c r="E34" s="49">
        <f t="shared" si="12"/>
        <v>0.71052631578947401</v>
      </c>
      <c r="F34" s="40">
        <f t="shared" si="13"/>
        <v>54.999999999999943</v>
      </c>
      <c r="G34" s="40">
        <f t="shared" si="14"/>
        <v>135.00000000000006</v>
      </c>
      <c r="H34" s="85"/>
      <c r="I34" s="40">
        <f t="shared" si="20"/>
        <v>264.99999999999989</v>
      </c>
      <c r="J34" s="40">
        <f t="shared" si="15"/>
        <v>20</v>
      </c>
      <c r="K34" s="50">
        <f t="shared" si="16"/>
        <v>13.259961546111516</v>
      </c>
      <c r="L34" s="50">
        <f t="shared" si="17"/>
        <v>0.21401501421332017</v>
      </c>
      <c r="M34" s="49">
        <f t="shared" si="18"/>
        <v>40.662852700530834</v>
      </c>
      <c r="N34" s="49">
        <f t="shared" si="19"/>
        <v>56.71397876652982</v>
      </c>
    </row>
    <row r="35" spans="1:15" x14ac:dyDescent="0.3">
      <c r="A35" s="9" t="s">
        <v>10</v>
      </c>
      <c r="B35" s="5">
        <v>25</v>
      </c>
      <c r="C35" s="5">
        <v>390</v>
      </c>
      <c r="D35" s="6">
        <v>3.6025641025641022</v>
      </c>
      <c r="E35" s="49">
        <f t="shared" si="12"/>
        <v>0.7205128205128204</v>
      </c>
      <c r="F35" s="40">
        <f t="shared" si="13"/>
        <v>109.00000000000006</v>
      </c>
      <c r="G35" s="40">
        <f t="shared" si="14"/>
        <v>280.99999999999994</v>
      </c>
      <c r="H35" s="85"/>
      <c r="I35" s="40">
        <f t="shared" si="20"/>
        <v>244.00000000000011</v>
      </c>
      <c r="J35" s="40">
        <f t="shared" si="15"/>
        <v>25</v>
      </c>
      <c r="K35" s="50">
        <f t="shared" si="16"/>
        <v>15.438769838819244</v>
      </c>
      <c r="L35" s="50">
        <f t="shared" si="17"/>
        <v>0.3838550655283377</v>
      </c>
      <c r="M35" s="49">
        <f t="shared" si="18"/>
        <v>149.7034755560517</v>
      </c>
      <c r="N35" s="49">
        <f t="shared" si="19"/>
        <v>93.66063598891445</v>
      </c>
    </row>
    <row r="36" spans="1:15" x14ac:dyDescent="0.3">
      <c r="A36" s="9" t="s">
        <v>11</v>
      </c>
      <c r="B36" s="5">
        <v>30</v>
      </c>
      <c r="C36" s="5">
        <v>210</v>
      </c>
      <c r="D36" s="6">
        <v>4.8333333333333375</v>
      </c>
      <c r="E36" s="49">
        <f t="shared" si="12"/>
        <v>0.96666666666666745</v>
      </c>
      <c r="F36" s="40">
        <f t="shared" si="13"/>
        <v>6.9999999999998295</v>
      </c>
      <c r="G36" s="40">
        <f t="shared" si="14"/>
        <v>203.00000000000017</v>
      </c>
      <c r="H36" s="85"/>
      <c r="I36" s="40">
        <f t="shared" si="20"/>
        <v>287.99999999999977</v>
      </c>
      <c r="J36" s="40">
        <f t="shared" si="15"/>
        <v>30</v>
      </c>
      <c r="K36" s="50">
        <f t="shared" si="16"/>
        <v>17.338033866959485</v>
      </c>
      <c r="L36" s="50">
        <f t="shared" si="17"/>
        <v>0.61459056340119056</v>
      </c>
      <c r="M36" s="49">
        <f t="shared" si="18"/>
        <v>129.06401831425001</v>
      </c>
      <c r="N36" s="49">
        <f t="shared" si="19"/>
        <v>177.00208225954273</v>
      </c>
    </row>
    <row r="37" spans="1:15" x14ac:dyDescent="0.3">
      <c r="A37" s="37" t="s">
        <v>12</v>
      </c>
      <c r="B37" s="38">
        <v>35</v>
      </c>
      <c r="C37" s="38">
        <v>80</v>
      </c>
      <c r="D37" s="39">
        <v>5.4374999999999929</v>
      </c>
      <c r="E37" s="84">
        <f t="shared" si="12"/>
        <v>1.0874999999999986</v>
      </c>
      <c r="F37" s="85"/>
      <c r="G37" s="53">
        <f>C37-H37</f>
        <v>72.8</v>
      </c>
      <c r="H37" s="53">
        <f>C37*0.09</f>
        <v>7.1999999999999993</v>
      </c>
      <c r="I37" s="40">
        <f t="shared" si="20"/>
        <v>203.00000000000017</v>
      </c>
      <c r="J37" s="40">
        <f t="shared" si="15"/>
        <v>35</v>
      </c>
      <c r="K37" s="50">
        <f t="shared" si="16"/>
        <v>19.008309346657253</v>
      </c>
      <c r="L37" s="50">
        <f t="shared" si="17"/>
        <v>0.91050985544052121</v>
      </c>
      <c r="M37" s="49">
        <f t="shared" si="18"/>
        <v>72.840788435241691</v>
      </c>
      <c r="N37" s="49">
        <f t="shared" si="19"/>
        <v>184.83350065442596</v>
      </c>
    </row>
    <row r="38" spans="1:15" x14ac:dyDescent="0.3">
      <c r="A38" s="32" t="s">
        <v>50</v>
      </c>
      <c r="B38" s="40">
        <v>40</v>
      </c>
      <c r="C38" s="9"/>
      <c r="D38" s="5"/>
      <c r="E38" s="49"/>
      <c r="F38" s="52"/>
      <c r="G38" s="52"/>
      <c r="H38" s="52"/>
      <c r="I38" s="53">
        <f>F38+G37+H36</f>
        <v>72.8</v>
      </c>
      <c r="J38" s="40">
        <f t="shared" si="15"/>
        <v>40</v>
      </c>
      <c r="K38" s="50">
        <f t="shared" si="16"/>
        <v>20.488654407621777</v>
      </c>
      <c r="L38" s="50">
        <f t="shared" si="17"/>
        <v>1.27502793486969</v>
      </c>
      <c r="M38" s="49">
        <f t="shared" si="18"/>
        <v>0</v>
      </c>
      <c r="N38" s="49">
        <f t="shared" si="19"/>
        <v>92.822033658513433</v>
      </c>
    </row>
    <row r="39" spans="1:15" x14ac:dyDescent="0.3">
      <c r="A39" s="32" t="s">
        <v>51</v>
      </c>
      <c r="B39" s="40">
        <v>45</v>
      </c>
      <c r="C39" s="9"/>
      <c r="D39" s="9"/>
      <c r="E39" s="49"/>
      <c r="F39" s="52"/>
      <c r="G39" s="52"/>
      <c r="H39" s="52"/>
      <c r="I39" s="53">
        <f>F39+G38+H37</f>
        <v>7.1999999999999993</v>
      </c>
      <c r="J39" s="40">
        <f t="shared" si="15"/>
        <v>45</v>
      </c>
      <c r="K39" s="50">
        <f t="shared" si="16"/>
        <v>21.809722289536182</v>
      </c>
      <c r="L39" s="50">
        <f t="shared" si="17"/>
        <v>1.7109195762731109</v>
      </c>
      <c r="M39" s="49">
        <f t="shared" si="18"/>
        <v>0</v>
      </c>
      <c r="N39" s="49">
        <f t="shared" si="19"/>
        <v>12.318620949166396</v>
      </c>
    </row>
    <row r="40" spans="1:15" x14ac:dyDescent="0.3">
      <c r="C40" s="5">
        <f>SUM(C31:C37)</f>
        <v>1890</v>
      </c>
      <c r="D40" s="9"/>
      <c r="E40" s="49"/>
      <c r="F40" s="51"/>
      <c r="G40" s="51"/>
      <c r="H40" s="51"/>
      <c r="I40" s="40"/>
      <c r="J40" s="40">
        <f t="shared" si="15"/>
        <v>0</v>
      </c>
      <c r="K40" s="50">
        <f t="shared" si="16"/>
        <v>0</v>
      </c>
      <c r="L40" s="50">
        <f t="shared" si="17"/>
        <v>0</v>
      </c>
      <c r="M40" s="49">
        <f t="shared" si="18"/>
        <v>0</v>
      </c>
      <c r="N40" s="49">
        <f t="shared" si="19"/>
        <v>0</v>
      </c>
    </row>
    <row r="41" spans="1:15" x14ac:dyDescent="0.3">
      <c r="C41" s="7">
        <f>C40+C30</f>
        <v>1920</v>
      </c>
      <c r="E41" s="49"/>
      <c r="I41" s="7">
        <f>SUM(I31:I39)</f>
        <v>1920</v>
      </c>
      <c r="J41" s="7"/>
      <c r="K41" s="7"/>
      <c r="L41" s="7"/>
      <c r="M41" s="86">
        <f>SUM(M31:M40)</f>
        <v>437.9246406247882</v>
      </c>
      <c r="N41" s="86">
        <f>SUM(N31:N40)</f>
        <v>653.9176625979793</v>
      </c>
    </row>
    <row r="42" spans="1:15" x14ac:dyDescent="0.3">
      <c r="C42" s="7"/>
      <c r="I42" s="7"/>
      <c r="J42" s="7"/>
      <c r="K42" s="7"/>
      <c r="L42" s="7"/>
      <c r="M42" s="7"/>
      <c r="N42" s="7"/>
    </row>
    <row r="43" spans="1:15" x14ac:dyDescent="0.3">
      <c r="E43" s="17" t="s">
        <v>23</v>
      </c>
      <c r="F43" s="12">
        <v>2</v>
      </c>
    </row>
    <row r="44" spans="1:15" x14ac:dyDescent="0.3">
      <c r="E44" s="17" t="s">
        <v>24</v>
      </c>
      <c r="F44" s="12">
        <v>2019</v>
      </c>
    </row>
    <row r="45" spans="1:15" x14ac:dyDescent="0.3">
      <c r="E45" s="17" t="s">
        <v>26</v>
      </c>
      <c r="F45" s="12">
        <v>10</v>
      </c>
    </row>
    <row r="46" spans="1:15" x14ac:dyDescent="0.3">
      <c r="E46" s="17" t="s">
        <v>25</v>
      </c>
      <c r="F46" s="12">
        <f>F44+F45</f>
        <v>2029</v>
      </c>
    </row>
    <row r="47" spans="1:15" x14ac:dyDescent="0.3">
      <c r="E47" s="17"/>
    </row>
    <row r="48" spans="1:15" x14ac:dyDescent="0.3">
      <c r="A48" s="64" t="s">
        <v>13</v>
      </c>
      <c r="B48" s="65" t="s">
        <v>29</v>
      </c>
      <c r="C48" s="65" t="s">
        <v>32</v>
      </c>
      <c r="D48" s="63" t="s">
        <v>34</v>
      </c>
      <c r="E48" s="57" t="s">
        <v>37</v>
      </c>
      <c r="F48" s="57" t="s">
        <v>62</v>
      </c>
      <c r="G48" s="57" t="s">
        <v>38</v>
      </c>
      <c r="H48" s="89" t="s">
        <v>39</v>
      </c>
      <c r="I48" s="88" t="s">
        <v>52</v>
      </c>
      <c r="J48" s="58" t="s">
        <v>53</v>
      </c>
      <c r="K48" s="55" t="s">
        <v>41</v>
      </c>
      <c r="L48" s="55" t="s">
        <v>42</v>
      </c>
      <c r="M48" s="55" t="s">
        <v>43</v>
      </c>
      <c r="N48" s="56" t="s">
        <v>54</v>
      </c>
      <c r="O48" s="56" t="s">
        <v>55</v>
      </c>
    </row>
    <row r="49" spans="1:15" ht="26.4" customHeight="1" x14ac:dyDescent="0.3">
      <c r="A49" s="64"/>
      <c r="B49" s="65"/>
      <c r="C49" s="63"/>
      <c r="D49" s="63"/>
      <c r="E49" s="57"/>
      <c r="F49" s="57"/>
      <c r="G49" s="57"/>
      <c r="H49" s="89"/>
      <c r="I49" s="88"/>
      <c r="J49" s="58"/>
      <c r="K49" s="55"/>
      <c r="L49" s="55"/>
      <c r="M49" s="55"/>
      <c r="N49" s="56"/>
      <c r="O49" s="56"/>
    </row>
    <row r="50" spans="1:15" x14ac:dyDescent="0.3">
      <c r="A50" s="9" t="s">
        <v>14</v>
      </c>
      <c r="B50" s="5">
        <v>6</v>
      </c>
      <c r="C50" s="5">
        <v>313</v>
      </c>
      <c r="D50" s="5">
        <v>2.2000000000000002</v>
      </c>
      <c r="E50" s="40">
        <f>D50/$F$43</f>
        <v>1.1000000000000001</v>
      </c>
      <c r="F50" s="90">
        <f>IF(E50&gt;1,E50-1,E50)</f>
        <v>0.10000000000000009</v>
      </c>
      <c r="G50" s="92">
        <f>IF(E50&gt;1,0,C50-H50)</f>
        <v>0</v>
      </c>
      <c r="H50" s="53">
        <f>IF(E50&lt;1,F50*C50,C50-I50)</f>
        <v>281.7</v>
      </c>
      <c r="I50" s="54">
        <f>C50*F50</f>
        <v>31.300000000000029</v>
      </c>
      <c r="J50" s="40">
        <f>0</f>
        <v>0</v>
      </c>
      <c r="K50" s="40">
        <f>B50</f>
        <v>6</v>
      </c>
      <c r="L50" s="50">
        <f>K50/($L$22+$L$23*K50)</f>
        <v>5.010438413361169</v>
      </c>
      <c r="M50" s="50">
        <f>$M$22*(K50/100)^$M$23*L50^$M$24</f>
        <v>8.09707229731268E-3</v>
      </c>
      <c r="N50" s="49">
        <f>C50*M50</f>
        <v>2.534383629058869</v>
      </c>
      <c r="O50" s="49">
        <f>M50*J50</f>
        <v>0</v>
      </c>
    </row>
    <row r="51" spans="1:15" x14ac:dyDescent="0.3">
      <c r="A51" s="9" t="s">
        <v>15</v>
      </c>
      <c r="B51" s="5">
        <v>8</v>
      </c>
      <c r="C51" s="5">
        <v>229</v>
      </c>
      <c r="D51" s="5">
        <v>2.2999999999999998</v>
      </c>
      <c r="E51" s="40">
        <f t="shared" ref="E51:E58" si="21">D51/$F$43</f>
        <v>1.1499999999999999</v>
      </c>
      <c r="F51" s="90">
        <f t="shared" ref="F51:F57" si="22">IF(E51&gt;1,E51-1,E51)</f>
        <v>0.14999999999999991</v>
      </c>
      <c r="G51" s="92">
        <f t="shared" ref="G51:G57" si="23">IF(E51&gt;1,0,C51-H51)</f>
        <v>0</v>
      </c>
      <c r="H51" s="53">
        <f t="shared" ref="H51:H57" si="24">IF(E51&lt;1,F51*C51,C51-I51)</f>
        <v>194.65000000000003</v>
      </c>
      <c r="I51" s="54">
        <f t="shared" ref="I51:I56" si="25">C51*F51</f>
        <v>34.34999999999998</v>
      </c>
      <c r="J51" s="53">
        <f>H50</f>
        <v>281.7</v>
      </c>
      <c r="K51" s="40">
        <f t="shared" ref="K51:K58" si="26">B51</f>
        <v>8</v>
      </c>
      <c r="L51" s="50">
        <f t="shared" ref="L51:L58" si="27">K51/($L$22+$L$23*K51)</f>
        <v>6.4417424913439083</v>
      </c>
      <c r="M51" s="50">
        <f t="shared" ref="M51:M58" si="28">$M$22*(K51/100)^$M$23*L51^$M$24</f>
        <v>1.7974903437521113E-2</v>
      </c>
      <c r="N51" s="49">
        <f t="shared" ref="N51:N58" si="29">C51*M51</f>
        <v>4.116252887192335</v>
      </c>
      <c r="O51" s="49">
        <f t="shared" ref="O51:O58" si="30">M51*J51</f>
        <v>5.063530298349697</v>
      </c>
    </row>
    <row r="52" spans="1:15" x14ac:dyDescent="0.3">
      <c r="A52" s="9" t="s">
        <v>16</v>
      </c>
      <c r="B52" s="5">
        <v>10</v>
      </c>
      <c r="C52" s="5">
        <v>134</v>
      </c>
      <c r="D52" s="5">
        <v>2.4</v>
      </c>
      <c r="E52" s="40">
        <f t="shared" si="21"/>
        <v>1.2</v>
      </c>
      <c r="F52" s="90">
        <f t="shared" si="22"/>
        <v>0.19999999999999996</v>
      </c>
      <c r="G52" s="92">
        <f t="shared" si="23"/>
        <v>0</v>
      </c>
      <c r="H52" s="53">
        <f t="shared" si="24"/>
        <v>107.2</v>
      </c>
      <c r="I52" s="54">
        <f t="shared" si="25"/>
        <v>26.799999999999994</v>
      </c>
      <c r="J52" s="53">
        <f>H51+I50</f>
        <v>225.95000000000007</v>
      </c>
      <c r="K52" s="40">
        <f t="shared" si="26"/>
        <v>10</v>
      </c>
      <c r="L52" s="50">
        <f t="shared" si="27"/>
        <v>7.7742361812951879</v>
      </c>
      <c r="M52" s="50">
        <f t="shared" si="28"/>
        <v>3.3182191382660424E-2</v>
      </c>
      <c r="N52" s="49">
        <f t="shared" si="29"/>
        <v>4.4464136452764969</v>
      </c>
      <c r="O52" s="49">
        <f t="shared" si="30"/>
        <v>7.4975161429121249</v>
      </c>
    </row>
    <row r="53" spans="1:15" x14ac:dyDescent="0.3">
      <c r="A53" s="9" t="s">
        <v>17</v>
      </c>
      <c r="B53" s="5">
        <v>12</v>
      </c>
      <c r="C53" s="5">
        <v>70</v>
      </c>
      <c r="D53" s="5">
        <v>2.2000000000000002</v>
      </c>
      <c r="E53" s="40">
        <f t="shared" si="21"/>
        <v>1.1000000000000001</v>
      </c>
      <c r="F53" s="90">
        <f t="shared" si="22"/>
        <v>0.10000000000000009</v>
      </c>
      <c r="G53" s="92">
        <f t="shared" si="23"/>
        <v>0</v>
      </c>
      <c r="H53" s="53">
        <f t="shared" si="24"/>
        <v>62.999999999999993</v>
      </c>
      <c r="I53" s="54">
        <f t="shared" si="25"/>
        <v>7.0000000000000062</v>
      </c>
      <c r="J53" s="53">
        <f t="shared" ref="J53:J57" si="31">H52+I51</f>
        <v>141.54999999999998</v>
      </c>
      <c r="K53" s="40">
        <f t="shared" si="26"/>
        <v>12</v>
      </c>
      <c r="L53" s="50">
        <f t="shared" si="27"/>
        <v>9.0178101750958142</v>
      </c>
      <c r="M53" s="50">
        <f t="shared" si="28"/>
        <v>5.4527076500189217E-2</v>
      </c>
      <c r="N53" s="49">
        <f t="shared" si="29"/>
        <v>3.8168953550132452</v>
      </c>
      <c r="O53" s="49">
        <f t="shared" si="30"/>
        <v>7.718307678601783</v>
      </c>
    </row>
    <row r="54" spans="1:15" x14ac:dyDescent="0.3">
      <c r="A54" s="9" t="s">
        <v>18</v>
      </c>
      <c r="B54" s="5">
        <v>14</v>
      </c>
      <c r="C54" s="5">
        <v>34</v>
      </c>
      <c r="D54" s="5">
        <v>2.4</v>
      </c>
      <c r="E54" s="40">
        <f t="shared" si="21"/>
        <v>1.2</v>
      </c>
      <c r="F54" s="90">
        <f t="shared" si="22"/>
        <v>0.19999999999999996</v>
      </c>
      <c r="G54" s="92">
        <f t="shared" si="23"/>
        <v>0</v>
      </c>
      <c r="H54" s="53">
        <f t="shared" si="24"/>
        <v>27.200000000000003</v>
      </c>
      <c r="I54" s="54">
        <f t="shared" si="25"/>
        <v>6.7999999999999989</v>
      </c>
      <c r="J54" s="53">
        <f t="shared" si="31"/>
        <v>89.799999999999983</v>
      </c>
      <c r="K54" s="40">
        <f t="shared" si="26"/>
        <v>14</v>
      </c>
      <c r="L54" s="50">
        <f t="shared" si="27"/>
        <v>10.181077739800742</v>
      </c>
      <c r="M54" s="50">
        <f t="shared" si="28"/>
        <v>8.2708418156950694E-2</v>
      </c>
      <c r="N54" s="49">
        <f t="shared" si="29"/>
        <v>2.8120862173363235</v>
      </c>
      <c r="O54" s="49">
        <f t="shared" si="30"/>
        <v>7.4272159504941708</v>
      </c>
    </row>
    <row r="55" spans="1:15" x14ac:dyDescent="0.3">
      <c r="A55" s="9" t="s">
        <v>19</v>
      </c>
      <c r="B55" s="5">
        <v>16</v>
      </c>
      <c r="C55" s="5">
        <v>10</v>
      </c>
      <c r="D55" s="5">
        <v>2.6</v>
      </c>
      <c r="E55" s="40">
        <f t="shared" si="21"/>
        <v>1.3</v>
      </c>
      <c r="F55" s="90">
        <f t="shared" si="22"/>
        <v>0.30000000000000004</v>
      </c>
      <c r="G55" s="92">
        <f t="shared" si="23"/>
        <v>0</v>
      </c>
      <c r="H55" s="53">
        <f t="shared" si="24"/>
        <v>7</v>
      </c>
      <c r="I55" s="54">
        <f t="shared" si="25"/>
        <v>3.0000000000000004</v>
      </c>
      <c r="J55" s="53">
        <f t="shared" si="31"/>
        <v>34.20000000000001</v>
      </c>
      <c r="K55" s="40">
        <f t="shared" si="26"/>
        <v>16</v>
      </c>
      <c r="L55" s="50">
        <f t="shared" si="27"/>
        <v>11.271574498062698</v>
      </c>
      <c r="M55" s="50">
        <f t="shared" si="28"/>
        <v>0.11833616686257534</v>
      </c>
      <c r="N55" s="49">
        <f t="shared" si="29"/>
        <v>1.1833616686257533</v>
      </c>
      <c r="O55" s="49">
        <f t="shared" si="30"/>
        <v>4.0470969067000775</v>
      </c>
    </row>
    <row r="56" spans="1:15" x14ac:dyDescent="0.3">
      <c r="A56" s="9" t="s">
        <v>20</v>
      </c>
      <c r="B56" s="5">
        <v>18</v>
      </c>
      <c r="C56" s="5">
        <v>9</v>
      </c>
      <c r="D56" s="5">
        <v>2.1</v>
      </c>
      <c r="E56" s="40">
        <f t="shared" si="21"/>
        <v>1.05</v>
      </c>
      <c r="F56" s="90">
        <f t="shared" si="22"/>
        <v>5.0000000000000044E-2</v>
      </c>
      <c r="G56" s="92">
        <f t="shared" si="23"/>
        <v>0</v>
      </c>
      <c r="H56" s="53">
        <f t="shared" si="24"/>
        <v>8.5499999999999989</v>
      </c>
      <c r="I56" s="54">
        <f t="shared" si="25"/>
        <v>0.4500000000000004</v>
      </c>
      <c r="J56" s="53">
        <f t="shared" si="31"/>
        <v>13.799999999999999</v>
      </c>
      <c r="K56" s="40">
        <f t="shared" si="26"/>
        <v>18</v>
      </c>
      <c r="L56" s="50">
        <f t="shared" si="27"/>
        <v>12.295921852585559</v>
      </c>
      <c r="M56" s="50">
        <f t="shared" si="28"/>
        <v>0.16194674538886453</v>
      </c>
      <c r="N56" s="49">
        <f t="shared" si="29"/>
        <v>1.4575207084997808</v>
      </c>
      <c r="O56" s="49">
        <f t="shared" si="30"/>
        <v>2.2348650863663302</v>
      </c>
    </row>
    <row r="57" spans="1:15" x14ac:dyDescent="0.3">
      <c r="A57" s="10" t="s">
        <v>21</v>
      </c>
      <c r="B57" s="5">
        <v>20</v>
      </c>
      <c r="C57" s="5">
        <v>6</v>
      </c>
      <c r="D57" s="5">
        <v>1.8</v>
      </c>
      <c r="E57" s="40">
        <f t="shared" si="21"/>
        <v>0.9</v>
      </c>
      <c r="F57" s="91">
        <f t="shared" si="22"/>
        <v>0.9</v>
      </c>
      <c r="G57" s="53">
        <f t="shared" si="23"/>
        <v>0.59999999999999964</v>
      </c>
      <c r="H57" s="53">
        <f t="shared" si="24"/>
        <v>5.4</v>
      </c>
      <c r="I57" s="87"/>
      <c r="J57" s="53">
        <f>H56+I55+G57</f>
        <v>12.149999999999999</v>
      </c>
      <c r="K57" s="40">
        <f t="shared" si="26"/>
        <v>20</v>
      </c>
      <c r="L57" s="50">
        <f t="shared" si="27"/>
        <v>13.259961546111516</v>
      </c>
      <c r="M57" s="50">
        <f t="shared" si="28"/>
        <v>0.21401501421332017</v>
      </c>
      <c r="N57" s="49">
        <f t="shared" si="29"/>
        <v>1.2840900852799211</v>
      </c>
      <c r="O57" s="49">
        <f t="shared" si="30"/>
        <v>2.6002824226918397</v>
      </c>
    </row>
    <row r="58" spans="1:15" x14ac:dyDescent="0.3">
      <c r="A58" s="9" t="s">
        <v>22</v>
      </c>
      <c r="B58" s="5">
        <v>22</v>
      </c>
      <c r="C58" s="5">
        <v>0</v>
      </c>
      <c r="D58" s="9"/>
      <c r="E58" s="40">
        <f t="shared" si="21"/>
        <v>0</v>
      </c>
      <c r="F58" s="9"/>
      <c r="G58" s="53"/>
      <c r="H58" s="53"/>
      <c r="I58" s="54"/>
      <c r="J58" s="53">
        <f>H57+I56+G58</f>
        <v>5.8500000000000005</v>
      </c>
      <c r="K58" s="40">
        <f t="shared" si="26"/>
        <v>22</v>
      </c>
      <c r="L58" s="50">
        <f t="shared" si="27"/>
        <v>14.168867134668641</v>
      </c>
      <c r="M58" s="50">
        <f t="shared" si="28"/>
        <v>0.2749637769108717</v>
      </c>
      <c r="N58" s="49">
        <f t="shared" si="29"/>
        <v>0</v>
      </c>
      <c r="O58" s="49">
        <f t="shared" si="30"/>
        <v>1.6085380949285997</v>
      </c>
    </row>
    <row r="59" spans="1:15" x14ac:dyDescent="0.3">
      <c r="B59" s="9"/>
      <c r="C59" s="42">
        <f>SUM(C50:C58)</f>
        <v>805</v>
      </c>
      <c r="D59" s="42"/>
      <c r="E59" s="42"/>
      <c r="F59" s="9"/>
      <c r="G59" s="42"/>
      <c r="H59" s="42"/>
      <c r="I59" s="42"/>
      <c r="J59" s="43">
        <f>SUM(J50:J58)</f>
        <v>805</v>
      </c>
      <c r="K59" s="43"/>
      <c r="L59" s="43"/>
      <c r="M59" s="43"/>
      <c r="N59" s="44">
        <f>SUM(N50:N58)</f>
        <v>21.651004196282724</v>
      </c>
      <c r="O59" s="44">
        <f>SUM(O50:O58)</f>
        <v>38.197352581044626</v>
      </c>
    </row>
  </sheetData>
  <mergeCells count="43">
    <mergeCell ref="A6:A7"/>
    <mergeCell ref="A48:A49"/>
    <mergeCell ref="B48:B49"/>
    <mergeCell ref="C48:C49"/>
    <mergeCell ref="D48:D49"/>
    <mergeCell ref="B27:B29"/>
    <mergeCell ref="C27:C29"/>
    <mergeCell ref="D27:D29"/>
    <mergeCell ref="B6:B7"/>
    <mergeCell ref="D6:D7"/>
    <mergeCell ref="C6:C7"/>
    <mergeCell ref="N6:N7"/>
    <mergeCell ref="O6:O7"/>
    <mergeCell ref="E27:E29"/>
    <mergeCell ref="F27:F29"/>
    <mergeCell ref="G27:G29"/>
    <mergeCell ref="I27:I29"/>
    <mergeCell ref="J6:J7"/>
    <mergeCell ref="K6:K7"/>
    <mergeCell ref="M6:M7"/>
    <mergeCell ref="L6:L7"/>
    <mergeCell ref="F6:F7"/>
    <mergeCell ref="E6:E7"/>
    <mergeCell ref="G6:G7"/>
    <mergeCell ref="H6:H7"/>
    <mergeCell ref="I6:I7"/>
    <mergeCell ref="J27:J29"/>
    <mergeCell ref="K27:K29"/>
    <mergeCell ref="L27:L29"/>
    <mergeCell ref="M27:M29"/>
    <mergeCell ref="N27:N29"/>
    <mergeCell ref="H27:H29"/>
    <mergeCell ref="E48:E49"/>
    <mergeCell ref="G48:G49"/>
    <mergeCell ref="H48:H49"/>
    <mergeCell ref="J48:J49"/>
    <mergeCell ref="I48:I49"/>
    <mergeCell ref="F48:F49"/>
    <mergeCell ref="K48:K49"/>
    <mergeCell ref="L48:L49"/>
    <mergeCell ref="M48:M49"/>
    <mergeCell ref="N48:N49"/>
    <mergeCell ref="O48:O49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17</xdr:col>
                <xdr:colOff>30480</xdr:colOff>
                <xdr:row>26</xdr:row>
                <xdr:rowOff>38100</xdr:rowOff>
              </from>
              <to>
                <xdr:col>20</xdr:col>
                <xdr:colOff>556260</xdr:colOff>
                <xdr:row>29</xdr:row>
                <xdr:rowOff>60960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StandTableProjection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2022-09-30T06:08:00Z</dcterms:created>
  <dcterms:modified xsi:type="dcterms:W3CDTF">2026-05-04T15:49:17Z</dcterms:modified>
</cp:coreProperties>
</file>