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" windowWidth="11350" windowHeight="845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<sst xmlns="http://schemas.openxmlformats.org/spreadsheetml/2006/main" count="44" uniqueCount="42">
  <si>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</si>
  <si>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t>Altura da medição do vento =</t>
  </si>
  <si>
    <t>Latitude=</t>
  </si>
  <si>
    <t>Altitude=</t>
  </si>
  <si>
    <t>m</t>
  </si>
  <si>
    <t>Data=</t>
  </si>
  <si>
    <t>Dia Juliano</t>
  </si>
  <si>
    <t>Tmedia</t>
  </si>
  <si>
    <t>Dia Juliano inicial</t>
  </si>
  <si>
    <t>Dia após início</t>
  </si>
  <si>
    <t>º</t>
  </si>
  <si>
    <t>Latitude (radianos)=</t>
  </si>
  <si>
    <t>Δ=</t>
  </si>
  <si>
    <t>P=</t>
  </si>
  <si>
    <t>es=</t>
  </si>
  <si>
    <t>ea=</t>
  </si>
  <si>
    <t>e0(Tmax)=</t>
  </si>
  <si>
    <t>e0(Tmin)=</t>
  </si>
  <si>
    <t>U2=</t>
  </si>
  <si>
    <r>
      <t>δ</t>
    </r>
    <r>
      <rPr>
        <sz val="10"/>
        <rFont val="Arial"/>
        <family val="0"/>
      </rPr>
      <t>=</t>
    </r>
  </si>
  <si>
    <t>dr=</t>
  </si>
  <si>
    <t>X=</t>
  </si>
  <si>
    <t>ωs=</t>
  </si>
  <si>
    <t>Ra=</t>
  </si>
  <si>
    <t>Rnl1=</t>
  </si>
  <si>
    <t>Rnl2=</t>
  </si>
  <si>
    <t>Rnl3=</t>
  </si>
  <si>
    <t>Rs0=</t>
  </si>
  <si>
    <t>Rnl=</t>
  </si>
  <si>
    <t>G=</t>
  </si>
  <si>
    <t>Rn=</t>
  </si>
  <si>
    <r>
      <t>γ</t>
    </r>
    <r>
      <rPr>
        <sz val="10"/>
        <rFont val="Arial"/>
        <family val="0"/>
      </rPr>
      <t>=</t>
    </r>
  </si>
  <si>
    <t>ET0numer=</t>
  </si>
  <si>
    <t>ET0denom=</t>
  </si>
  <si>
    <t>Tmax (ºC)</t>
  </si>
  <si>
    <t>Tmin (ºC)</t>
  </si>
  <si>
    <t>Hrmax (%)</t>
  </si>
  <si>
    <t>Hrmin (%)</t>
  </si>
  <si>
    <t>Vento (m/s)</t>
  </si>
  <si>
    <r>
      <t>Radiação (MJm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</si>
  <si>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ET0 (mm/dia)=</t>
  </si>
  <si>
    <t>rad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</si>
</sst>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6">
      <selection activeCell="A6" sqref="A6"/>
    </sheetView>
  </sheetViews>
  <sheetFormatPr defaultColWidth="9.140625" defaultRowHeight="12.75"/>
  <cols>
    <col min="1" max="1" width="29.140625" style="0" customWidth="1"/>
    <col min="2" max="11" width="10.140625" style="2" bestFit="1" customWidth="1"/>
  </cols>
  <sheetData>
    <row r="1" spans="1:6" ht="12.75">
      <c r="A1" t="s">
        <v>1</v>
      </c>
      <c r="B1" s="9">
        <v>2.5</v>
      </c>
      <c r="C1" s="2" t="s">
        <v>4</v>
      </c>
      <c r="F1" s="2" t="s">
        <v>0</v>
      </c>
    </row>
    <row r="2" spans="1:3" ht="12.75">
      <c r="A2" t="s">
        <v>2</v>
      </c>
      <c r="B2" s="9">
        <v>38.05</v>
      </c>
      <c r="C2" s="2" t="s">
        <v>10</v>
      </c>
    </row>
    <row r="3" spans="1:3" ht="12.75">
      <c r="A3" t="s">
        <v>11</v>
      </c>
      <c r="B3" s="9">
        <f>B2*PI()/180</f>
        <v>0.6640977803838423</v>
      </c>
      <c r="C3" s="2" t="s">
        <v>41</v>
      </c>
    </row>
    <row r="4" spans="1:3" ht="12.75">
      <c r="A4" t="s">
        <v>3</v>
      </c>
      <c r="B4" s="9">
        <v>74</v>
      </c>
      <c r="C4" s="2" t="s">
        <v>4</v>
      </c>
    </row>
    <row r="5" spans="1:2" ht="12.75">
      <c r="A5" t="s">
        <v>8</v>
      </c>
      <c r="B5" s="9">
        <f>31+28+31+30</f>
        <v>120</v>
      </c>
    </row>
    <row r="7" spans="1:11" ht="12.75">
      <c r="A7" s="3" t="s">
        <v>5</v>
      </c>
      <c r="B7" s="4">
        <v>37742</v>
      </c>
      <c r="C7" s="4">
        <v>37743</v>
      </c>
      <c r="D7" s="4">
        <v>37744</v>
      </c>
      <c r="E7" s="4">
        <v>37745</v>
      </c>
      <c r="F7" s="4">
        <v>37746</v>
      </c>
      <c r="G7" s="4">
        <v>37746</v>
      </c>
      <c r="H7" s="4">
        <v>37748</v>
      </c>
      <c r="I7" s="4">
        <v>37749</v>
      </c>
      <c r="J7" s="4">
        <v>37750</v>
      </c>
      <c r="K7" s="1" t="s">
        <v>0</v>
      </c>
    </row>
    <row r="8" spans="1:10" ht="12.75">
      <c r="A8" t="s">
        <v>34</v>
      </c>
      <c r="B8" s="9">
        <v>24.6</v>
      </c>
      <c r="C8" s="9">
        <v>24.3</v>
      </c>
      <c r="D8" s="9">
        <v>29.3</v>
      </c>
      <c r="E8" s="9">
        <v>24.4</v>
      </c>
      <c r="F8" s="9">
        <v>20.1</v>
      </c>
      <c r="G8" s="9">
        <v>20.9</v>
      </c>
      <c r="H8" s="9">
        <v>22.7</v>
      </c>
      <c r="I8" s="9">
        <v>26.4</v>
      </c>
      <c r="J8" s="9">
        <v>29.5</v>
      </c>
    </row>
    <row r="9" spans="1:10" ht="12.75">
      <c r="A9" t="s">
        <v>35</v>
      </c>
      <c r="B9" s="9">
        <v>8.9</v>
      </c>
      <c r="C9" s="9">
        <v>6.7</v>
      </c>
      <c r="D9" s="9">
        <v>4.9</v>
      </c>
      <c r="E9" s="9">
        <v>10.6</v>
      </c>
      <c r="F9" s="9">
        <v>9.5</v>
      </c>
      <c r="G9" s="9">
        <v>7.8</v>
      </c>
      <c r="H9" s="9">
        <v>6.3</v>
      </c>
      <c r="I9" s="9">
        <v>10.1</v>
      </c>
      <c r="J9" s="9">
        <v>7.4</v>
      </c>
    </row>
    <row r="10" spans="1:10" ht="12.75">
      <c r="A10" t="s">
        <v>36</v>
      </c>
      <c r="B10" s="9">
        <v>96.1</v>
      </c>
      <c r="C10" s="9">
        <v>95.9</v>
      </c>
      <c r="D10" s="9">
        <v>99.2</v>
      </c>
      <c r="E10" s="9">
        <v>94.1</v>
      </c>
      <c r="F10" s="9">
        <v>94.3</v>
      </c>
      <c r="G10" s="9">
        <v>89.4</v>
      </c>
      <c r="H10" s="9">
        <v>93.1</v>
      </c>
      <c r="I10" s="9">
        <v>89.8</v>
      </c>
      <c r="J10" s="9">
        <v>97</v>
      </c>
    </row>
    <row r="11" spans="1:10" ht="12.75">
      <c r="A11" t="s">
        <v>37</v>
      </c>
      <c r="B11" s="9">
        <v>27.4</v>
      </c>
      <c r="C11" s="9">
        <v>32.2</v>
      </c>
      <c r="D11" s="9">
        <v>31.4</v>
      </c>
      <c r="E11" s="9">
        <v>36.1</v>
      </c>
      <c r="F11" s="9">
        <v>44.3</v>
      </c>
      <c r="G11" s="9">
        <v>32.8</v>
      </c>
      <c r="H11" s="9">
        <v>34.3</v>
      </c>
      <c r="I11" s="9">
        <v>31.6</v>
      </c>
      <c r="J11" s="9">
        <v>27.8</v>
      </c>
    </row>
    <row r="12" spans="1:10" ht="12.75">
      <c r="A12" t="s">
        <v>38</v>
      </c>
      <c r="B12" s="9">
        <v>0.9</v>
      </c>
      <c r="C12" s="9">
        <v>1.2</v>
      </c>
      <c r="D12" s="9">
        <v>0.9</v>
      </c>
      <c r="E12" s="9">
        <v>0.8</v>
      </c>
      <c r="F12" s="9">
        <v>1.9</v>
      </c>
      <c r="G12" s="9">
        <v>2.8</v>
      </c>
      <c r="H12" s="9">
        <v>1.4</v>
      </c>
      <c r="I12" s="9">
        <v>0.9</v>
      </c>
      <c r="J12" s="9">
        <v>0.9</v>
      </c>
    </row>
    <row r="13" spans="1:10" ht="15">
      <c r="A13" t="s">
        <v>39</v>
      </c>
      <c r="B13" s="9">
        <v>21.9</v>
      </c>
      <c r="C13" s="9">
        <v>23.8</v>
      </c>
      <c r="D13" s="9">
        <v>26.1</v>
      </c>
      <c r="E13" s="9">
        <v>12.1</v>
      </c>
      <c r="F13" s="9">
        <v>12.2</v>
      </c>
      <c r="G13" s="9">
        <v>18</v>
      </c>
      <c r="H13" s="9">
        <v>20.3</v>
      </c>
      <c r="I13" s="9">
        <v>24.2</v>
      </c>
      <c r="J13" s="9">
        <v>25.4</v>
      </c>
    </row>
    <row r="15" spans="1:10" ht="12">
      <c r="A15" t="s">
        <v>9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</row>
    <row r="16" spans="1:10" ht="12">
      <c r="A16" t="s">
        <v>6</v>
      </c>
      <c r="B16" s="5">
        <f>$B$5+B15</f>
        <v>121</v>
      </c>
      <c r="C16" s="5">
        <f aca="true" t="shared" si="0" ref="C16:J16">$B$5+C15</f>
        <v>122</v>
      </c>
      <c r="D16" s="5">
        <f t="shared" si="0"/>
        <v>123</v>
      </c>
      <c r="E16" s="5">
        <f t="shared" si="0"/>
        <v>124</v>
      </c>
      <c r="F16" s="5">
        <f t="shared" si="0"/>
        <v>125</v>
      </c>
      <c r="G16" s="5">
        <f t="shared" si="0"/>
        <v>126</v>
      </c>
      <c r="H16" s="5">
        <f t="shared" si="0"/>
        <v>127</v>
      </c>
      <c r="I16" s="5">
        <f t="shared" si="0"/>
        <v>128</v>
      </c>
      <c r="J16" s="5">
        <f t="shared" si="0"/>
        <v>129</v>
      </c>
    </row>
    <row r="17" spans="1:10" ht="12">
      <c r="A17" t="s">
        <v>7</v>
      </c>
      <c r="B17" s="2">
        <f>(B8+B9)/2</f>
        <v>16.75</v>
      </c>
      <c r="C17" s="2">
        <f aca="true" t="shared" si="1" ref="C17:J17">(C8+C9)/2</f>
        <v>15.5</v>
      </c>
      <c r="D17" s="2">
        <f t="shared" si="1"/>
        <v>17.1</v>
      </c>
      <c r="E17" s="2">
        <f t="shared" si="1"/>
        <v>17.5</v>
      </c>
      <c r="F17" s="2">
        <f t="shared" si="1"/>
        <v>14.8</v>
      </c>
      <c r="G17" s="2">
        <f t="shared" si="1"/>
        <v>14.35</v>
      </c>
      <c r="H17" s="2">
        <f t="shared" si="1"/>
        <v>14.5</v>
      </c>
      <c r="I17" s="2">
        <f t="shared" si="1"/>
        <v>18.25</v>
      </c>
      <c r="J17" s="2">
        <f t="shared" si="1"/>
        <v>18.45</v>
      </c>
    </row>
    <row r="19" spans="1:10" ht="12">
      <c r="A19" t="s">
        <v>12</v>
      </c>
      <c r="B19" s="7">
        <f>2504*EXP(17.27*B17/(B17+237.3))/(B17+237.3)^2</f>
        <v>0.12114422559349823</v>
      </c>
      <c r="C19" s="7">
        <f aca="true" t="shared" si="2" ref="C19:J19">2504*EXP(17.27*C17/(C17+237.3))/(C17+237.3)^2</f>
        <v>0.11296558611025391</v>
      </c>
      <c r="D19" s="7">
        <f t="shared" si="2"/>
        <v>0.12352228837058685</v>
      </c>
      <c r="E19" s="7">
        <f t="shared" si="2"/>
        <v>0.1262884450986017</v>
      </c>
      <c r="F19" s="7">
        <f t="shared" si="2"/>
        <v>0.1085939672427658</v>
      </c>
      <c r="G19" s="7">
        <f t="shared" si="2"/>
        <v>0.10586025505334089</v>
      </c>
      <c r="H19" s="7">
        <f t="shared" si="2"/>
        <v>0.10676491601667339</v>
      </c>
      <c r="I19" s="7">
        <f t="shared" si="2"/>
        <v>0.13161670034618442</v>
      </c>
      <c r="J19" s="7">
        <f t="shared" si="2"/>
        <v>0.13306931651763287</v>
      </c>
    </row>
    <row r="20" spans="1:10" ht="12">
      <c r="A20" t="s">
        <v>13</v>
      </c>
      <c r="B20" s="7">
        <f>101.3*((293-0.0065*$B$4)/293)^5.26</f>
        <v>100.42832596946941</v>
      </c>
      <c r="C20" s="7">
        <f aca="true" t="shared" si="3" ref="C20:J20">101.3*((293-0.0065*$B$4)/293)^5.26</f>
        <v>100.42832596946941</v>
      </c>
      <c r="D20" s="7">
        <f t="shared" si="3"/>
        <v>100.42832596946941</v>
      </c>
      <c r="E20" s="7">
        <f t="shared" si="3"/>
        <v>100.42832596946941</v>
      </c>
      <c r="F20" s="7">
        <f t="shared" si="3"/>
        <v>100.42832596946941</v>
      </c>
      <c r="G20" s="7">
        <f t="shared" si="3"/>
        <v>100.42832596946941</v>
      </c>
      <c r="H20" s="7">
        <f t="shared" si="3"/>
        <v>100.42832596946941</v>
      </c>
      <c r="I20" s="7">
        <f t="shared" si="3"/>
        <v>100.42832596946941</v>
      </c>
      <c r="J20" s="7">
        <f t="shared" si="3"/>
        <v>100.42832596946941</v>
      </c>
    </row>
    <row r="21" spans="1:10" ht="12">
      <c r="A21" s="6" t="s">
        <v>31</v>
      </c>
      <c r="B21" s="7">
        <f>0.00163*B20/2.45</f>
        <v>0.06681558013478985</v>
      </c>
      <c r="C21" s="7">
        <f aca="true" t="shared" si="4" ref="C21:J21">0.00163*C20/2.45</f>
        <v>0.06681558013478985</v>
      </c>
      <c r="D21" s="7">
        <f t="shared" si="4"/>
        <v>0.06681558013478985</v>
      </c>
      <c r="E21" s="7">
        <f t="shared" si="4"/>
        <v>0.06681558013478985</v>
      </c>
      <c r="F21" s="7">
        <f t="shared" si="4"/>
        <v>0.06681558013478985</v>
      </c>
      <c r="G21" s="7">
        <f t="shared" si="4"/>
        <v>0.06681558013478985</v>
      </c>
      <c r="H21" s="7">
        <f t="shared" si="4"/>
        <v>0.06681558013478985</v>
      </c>
      <c r="I21" s="7">
        <f t="shared" si="4"/>
        <v>0.06681558013478985</v>
      </c>
      <c r="J21" s="7">
        <f t="shared" si="4"/>
        <v>0.06681558013478985</v>
      </c>
    </row>
    <row r="22" spans="1:10" ht="12">
      <c r="A22" t="s">
        <v>16</v>
      </c>
      <c r="B22" s="7">
        <f>0.611*EXP(17.27*B8/(B8+237.3))</f>
        <v>3.0940941262905595</v>
      </c>
      <c r="C22" s="7">
        <f aca="true" t="shared" si="5" ref="C22:J22">0.611*EXP(17.27*C8/(C8+237.3))</f>
        <v>3.0390664996731562</v>
      </c>
      <c r="D22" s="7">
        <f t="shared" si="5"/>
        <v>4.076983733988148</v>
      </c>
      <c r="E22" s="7">
        <f t="shared" si="5"/>
        <v>3.057313410270532</v>
      </c>
      <c r="F22" s="7">
        <f t="shared" si="5"/>
        <v>2.3535655268712463</v>
      </c>
      <c r="G22" s="7">
        <f t="shared" si="5"/>
        <v>2.4725793995815892</v>
      </c>
      <c r="H22" s="7">
        <f t="shared" si="5"/>
        <v>2.759764986661551</v>
      </c>
      <c r="I22" s="7">
        <f t="shared" si="5"/>
        <v>3.442873397997449</v>
      </c>
      <c r="J22" s="7">
        <f t="shared" si="5"/>
        <v>4.124235464623284</v>
      </c>
    </row>
    <row r="23" spans="1:10" ht="12">
      <c r="A23" t="s">
        <v>17</v>
      </c>
      <c r="B23" s="7">
        <f>0.611*EXP(17.27*B9/(B9+237.3))</f>
        <v>1.1407010860938473</v>
      </c>
      <c r="C23" s="7">
        <f aca="true" t="shared" si="6" ref="C23:J23">0.611*EXP(17.27*C9/(C9+237.3))</f>
        <v>0.9817278900885866</v>
      </c>
      <c r="D23" s="7">
        <f t="shared" si="6"/>
        <v>0.8665241874717611</v>
      </c>
      <c r="E23" s="7">
        <f t="shared" si="6"/>
        <v>1.2786344448492586</v>
      </c>
      <c r="F23" s="7">
        <f t="shared" si="6"/>
        <v>1.1878093448750482</v>
      </c>
      <c r="G23" s="7">
        <f t="shared" si="6"/>
        <v>1.0585899253295545</v>
      </c>
      <c r="H23" s="7">
        <f t="shared" si="6"/>
        <v>0.9550224902525256</v>
      </c>
      <c r="I23" s="7">
        <f t="shared" si="6"/>
        <v>1.2366203081300822</v>
      </c>
      <c r="J23" s="7">
        <f t="shared" si="6"/>
        <v>1.0300482820505565</v>
      </c>
    </row>
    <row r="24" spans="1:10" ht="12">
      <c r="A24" t="s">
        <v>14</v>
      </c>
      <c r="B24" s="7">
        <f>(B22+B23)/2</f>
        <v>2.1173976061922035</v>
      </c>
      <c r="C24" s="7">
        <f aca="true" t="shared" si="7" ref="C24:J24">(C22+C23)/2</f>
        <v>2.0103971948808717</v>
      </c>
      <c r="D24" s="7">
        <f t="shared" si="7"/>
        <v>2.4717539607299543</v>
      </c>
      <c r="E24" s="7">
        <f t="shared" si="7"/>
        <v>2.1679739275598955</v>
      </c>
      <c r="F24" s="7">
        <f t="shared" si="7"/>
        <v>1.7706874358731473</v>
      </c>
      <c r="G24" s="7">
        <f t="shared" si="7"/>
        <v>1.7655846624555718</v>
      </c>
      <c r="H24" s="7">
        <f t="shared" si="7"/>
        <v>1.8573937384570383</v>
      </c>
      <c r="I24" s="7">
        <f t="shared" si="7"/>
        <v>2.3397468530637653</v>
      </c>
      <c r="J24" s="7">
        <f t="shared" si="7"/>
        <v>2.5771418733369202</v>
      </c>
    </row>
    <row r="25" spans="1:10" ht="12">
      <c r="A25" t="s">
        <v>15</v>
      </c>
      <c r="B25" s="7">
        <f>(B23*B10/100+B22*B11/100)/2</f>
        <v>0.9719977671699003</v>
      </c>
      <c r="C25" s="7">
        <f aca="true" t="shared" si="8" ref="C25:J25">(C23*C10/100+C22*C11/100)/2</f>
        <v>0.9600282297448555</v>
      </c>
      <c r="D25" s="7">
        <f t="shared" si="8"/>
        <v>1.0698824432221328</v>
      </c>
      <c r="E25" s="7">
        <f t="shared" si="8"/>
        <v>1.153442576855407</v>
      </c>
      <c r="F25" s="7">
        <f t="shared" si="8"/>
        <v>1.0813668703105663</v>
      </c>
      <c r="G25" s="7">
        <f t="shared" si="8"/>
        <v>0.8786927181536915</v>
      </c>
      <c r="H25" s="7">
        <f t="shared" si="8"/>
        <v>0.9178626644250066</v>
      </c>
      <c r="I25" s="7">
        <f t="shared" si="8"/>
        <v>1.0992165152340037</v>
      </c>
      <c r="J25" s="7">
        <f t="shared" si="8"/>
        <v>1.0728421463771565</v>
      </c>
    </row>
    <row r="26" spans="1:10" ht="12">
      <c r="A26" t="s">
        <v>18</v>
      </c>
      <c r="B26" s="7">
        <f>B12*4.87/(LN(67.8*$B$1-5.42))</f>
        <v>0.8593520963910662</v>
      </c>
      <c r="C26" s="7">
        <f aca="true" t="shared" si="9" ref="C26:J26">C12*4.87/(LN(67.8*$B$1-5.42))</f>
        <v>1.1458027951880885</v>
      </c>
      <c r="D26" s="7">
        <f t="shared" si="9"/>
        <v>0.8593520963910662</v>
      </c>
      <c r="E26" s="7">
        <f t="shared" si="9"/>
        <v>0.7638685301253922</v>
      </c>
      <c r="F26" s="7">
        <f t="shared" si="9"/>
        <v>1.8141877590478066</v>
      </c>
      <c r="G26" s="7">
        <f t="shared" si="9"/>
        <v>2.6735398554388725</v>
      </c>
      <c r="H26" s="7">
        <f t="shared" si="9"/>
        <v>1.3367699277194363</v>
      </c>
      <c r="I26" s="7">
        <f t="shared" si="9"/>
        <v>0.8593520963910662</v>
      </c>
      <c r="J26" s="7">
        <f t="shared" si="9"/>
        <v>0.8593520963910662</v>
      </c>
    </row>
    <row r="27" spans="1:10" ht="12">
      <c r="A27" s="6" t="s">
        <v>19</v>
      </c>
      <c r="B27" s="7">
        <f>0.409*SIN(0.0172*B16-1.39)</f>
        <v>0.2607220475346519</v>
      </c>
      <c r="C27" s="7">
        <f aca="true" t="shared" si="10" ref="C27:J27">0.409*SIN(0.0172*C16-1.39)</f>
        <v>0.26610339929995996</v>
      </c>
      <c r="D27" s="7">
        <f t="shared" si="10"/>
        <v>0.27140602897640986</v>
      </c>
      <c r="E27" s="7">
        <f t="shared" si="10"/>
        <v>0.2766283678727119</v>
      </c>
      <c r="F27" s="7">
        <f t="shared" si="10"/>
        <v>0.2817688710502155</v>
      </c>
      <c r="G27" s="7">
        <f t="shared" si="10"/>
        <v>0.2868260177799523</v>
      </c>
      <c r="H27" s="7">
        <f t="shared" si="10"/>
        <v>0.2917983119925176</v>
      </c>
      <c r="I27" s="7">
        <f t="shared" si="10"/>
        <v>0.296684282720656</v>
      </c>
      <c r="J27" s="7">
        <f t="shared" si="10"/>
        <v>0.3014824845344226</v>
      </c>
    </row>
    <row r="28" spans="1:10" ht="12">
      <c r="A28" s="6" t="s">
        <v>20</v>
      </c>
      <c r="B28" s="7">
        <f>1+0.033*COS(0.0172*B16)</f>
        <v>0.9838785261478493</v>
      </c>
      <c r="C28" s="7">
        <f aca="true" t="shared" si="11" ref="C28:J28">1+0.033*COS(0.0172*C16)</f>
        <v>0.9833856773080123</v>
      </c>
      <c r="D28" s="7">
        <f t="shared" si="11"/>
        <v>0.9828977435282261</v>
      </c>
      <c r="E28" s="7">
        <f t="shared" si="11"/>
        <v>0.9824148691552614</v>
      </c>
      <c r="F28" s="7">
        <f t="shared" si="11"/>
        <v>0.981937197039151</v>
      </c>
      <c r="G28" s="7">
        <f t="shared" si="11"/>
        <v>0.9814648684909298</v>
      </c>
      <c r="H28" s="7">
        <f t="shared" si="11"/>
        <v>0.9809980232408307</v>
      </c>
      <c r="I28" s="7">
        <f t="shared" si="11"/>
        <v>0.9805367993969476</v>
      </c>
      <c r="J28" s="7">
        <f t="shared" si="11"/>
        <v>0.9800813334043785</v>
      </c>
    </row>
    <row r="29" spans="1:10" ht="12">
      <c r="A29" s="6" t="s">
        <v>21</v>
      </c>
      <c r="B29" s="7">
        <f>1-(TAN($B$3)^2*TAN(B27)^2)</f>
        <v>0.9563949739959082</v>
      </c>
      <c r="C29" s="7">
        <f aca="true" t="shared" si="12" ref="C29:J29">1-(TAN($B$3)^2*TAN(C27)^2)</f>
        <v>0.9544875634228372</v>
      </c>
      <c r="D29" s="7">
        <f t="shared" si="12"/>
        <v>0.9525624624880885</v>
      </c>
      <c r="E29" s="7">
        <f t="shared" si="12"/>
        <v>0.9506218049394896</v>
      </c>
      <c r="F29" s="7">
        <f t="shared" si="12"/>
        <v>0.948667768222497</v>
      </c>
      <c r="G29" s="7">
        <f t="shared" si="12"/>
        <v>0.9467025716740839</v>
      </c>
      <c r="H29" s="7">
        <f t="shared" si="12"/>
        <v>0.9447284745537372</v>
      </c>
      <c r="I29" s="7">
        <f t="shared" si="12"/>
        <v>0.9427477739085776</v>
      </c>
      <c r="J29" s="7">
        <f t="shared" si="12"/>
        <v>0.9407628022702521</v>
      </c>
    </row>
    <row r="30" spans="1:10" ht="12">
      <c r="A30" s="6" t="s">
        <v>22</v>
      </c>
      <c r="B30" s="7">
        <f>PI()/2-ATAN((-TAN($B$3)*TAN(B27))/B29^0.5)</f>
        <v>1.7811626537403622</v>
      </c>
      <c r="C30" s="7">
        <f aca="true" t="shared" si="13" ref="C30:J30">PI()/2-ATAN((-TAN($B$3)*TAN(C27))/C29^0.5)</f>
        <v>1.7857850794243564</v>
      </c>
      <c r="D30" s="7">
        <f t="shared" si="13"/>
        <v>1.7903577552563934</v>
      </c>
      <c r="E30" s="7">
        <f t="shared" si="13"/>
        <v>1.7948789857762883</v>
      </c>
      <c r="F30" s="7">
        <f t="shared" si="13"/>
        <v>1.7993470528518258</v>
      </c>
      <c r="G30" s="7">
        <f t="shared" si="13"/>
        <v>1.8037602167076252</v>
      </c>
      <c r="H30" s="7">
        <f t="shared" si="13"/>
        <v>1.8081167170710681</v>
      </c>
      <c r="I30" s="7">
        <f t="shared" si="13"/>
        <v>1.8124147744370054</v>
      </c>
      <c r="J30" s="7">
        <f t="shared" si="13"/>
        <v>1.8166525914526177</v>
      </c>
    </row>
    <row r="31" spans="1:10" ht="12">
      <c r="A31" s="6" t="s">
        <v>23</v>
      </c>
      <c r="B31" s="7">
        <f>37.6*B28*(B30*SIN($B$3)*SIN(B27)+COS($B$3)*COS(B27)*SIN(B30))</f>
        <v>37.99561846603311</v>
      </c>
      <c r="C31" s="7">
        <f aca="true" t="shared" si="14" ref="C31:J31">37.6*C28*(C30*SIN($B$3)*SIN(C27)+COS($B$3)*COS(C27)*SIN(C30))</f>
        <v>38.14788570414518</v>
      </c>
      <c r="D31" s="7">
        <f t="shared" si="14"/>
        <v>38.297163644813004</v>
      </c>
      <c r="E31" s="7">
        <f t="shared" si="14"/>
        <v>38.443436112103164</v>
      </c>
      <c r="F31" s="7">
        <f t="shared" si="14"/>
        <v>38.5866881613781</v>
      </c>
      <c r="G31" s="7">
        <f t="shared" si="14"/>
        <v>38.72690603446032</v>
      </c>
      <c r="H31" s="7">
        <f t="shared" si="14"/>
        <v>38.864077114362885</v>
      </c>
      <c r="I31" s="7">
        <f t="shared" si="14"/>
        <v>38.99818987971882</v>
      </c>
      <c r="J31" s="7">
        <f t="shared" si="14"/>
        <v>39.12923385904</v>
      </c>
    </row>
    <row r="32" spans="1:10" ht="12">
      <c r="A32" s="6" t="s">
        <v>27</v>
      </c>
      <c r="B32" s="7">
        <f>(0.75+0.00002*$B$4)*B31</f>
        <v>28.55294736485456</v>
      </c>
      <c r="C32" s="7">
        <f aca="true" t="shared" si="15" ref="C32:J32">(0.75+0.00002*$B$4)*C31</f>
        <v>28.66737314895102</v>
      </c>
      <c r="D32" s="7">
        <f t="shared" si="15"/>
        <v>28.77955253580408</v>
      </c>
      <c r="E32" s="7">
        <f t="shared" si="15"/>
        <v>28.889473369523287</v>
      </c>
      <c r="F32" s="7">
        <f t="shared" si="15"/>
        <v>28.997124419512414</v>
      </c>
      <c r="G32" s="7">
        <f t="shared" si="15"/>
        <v>29.102495346776244</v>
      </c>
      <c r="H32" s="7">
        <f t="shared" si="15"/>
        <v>29.205576669901422</v>
      </c>
      <c r="I32" s="7">
        <f t="shared" si="15"/>
        <v>29.306359730811103</v>
      </c>
      <c r="J32" s="7">
        <f t="shared" si="15"/>
        <v>29.40483666039138</v>
      </c>
    </row>
    <row r="33" spans="1:10" ht="12">
      <c r="A33" s="6" t="s">
        <v>24</v>
      </c>
      <c r="B33" s="7">
        <f>0.0000000049/2*((B8+273)^4+(B9+273)^4)</f>
        <v>34.689537464549765</v>
      </c>
      <c r="C33" s="7">
        <f aca="true" t="shared" si="16" ref="C33:J33">0.0000000049/2*((C8+273)^4+(C9+273)^4)</f>
        <v>34.134803701314894</v>
      </c>
      <c r="D33" s="7">
        <f t="shared" si="16"/>
        <v>35.07297142180489</v>
      </c>
      <c r="E33" s="7">
        <f t="shared" si="16"/>
        <v>35.01453505488903</v>
      </c>
      <c r="F33" s="7">
        <f t="shared" si="16"/>
        <v>33.68542973768778</v>
      </c>
      <c r="G33" s="7">
        <f t="shared" si="16"/>
        <v>33.51141957122257</v>
      </c>
      <c r="H33" s="7">
        <f t="shared" si="16"/>
        <v>33.64049441162249</v>
      </c>
      <c r="I33" s="7">
        <f t="shared" si="16"/>
        <v>35.42384671084417</v>
      </c>
      <c r="J33" s="7">
        <f t="shared" si="16"/>
        <v>35.66012319568184</v>
      </c>
    </row>
    <row r="34" spans="1:10" ht="12">
      <c r="A34" s="6" t="s">
        <v>25</v>
      </c>
      <c r="B34" s="7">
        <f>0.34-0.14*B25^0.5</f>
        <v>0.20197407404212048</v>
      </c>
      <c r="C34" s="7">
        <f aca="true" t="shared" si="17" ref="C34:J34">0.34-0.14*C25^0.5</f>
        <v>0.20282655758857998</v>
      </c>
      <c r="D34" s="7">
        <f t="shared" si="17"/>
        <v>0.1951908294093437</v>
      </c>
      <c r="E34" s="7">
        <f t="shared" si="17"/>
        <v>0.18964217843302605</v>
      </c>
      <c r="F34" s="7">
        <f t="shared" si="17"/>
        <v>0.19441569226703348</v>
      </c>
      <c r="G34" s="7">
        <f t="shared" si="17"/>
        <v>0.208765944679697</v>
      </c>
      <c r="H34" s="7">
        <f t="shared" si="17"/>
        <v>0.20587279089338312</v>
      </c>
      <c r="I34" s="7">
        <f t="shared" si="17"/>
        <v>0.1932190622097458</v>
      </c>
      <c r="J34" s="7">
        <f t="shared" si="17"/>
        <v>0.19499066902784404</v>
      </c>
    </row>
    <row r="35" spans="1:10" ht="12">
      <c r="A35" s="6" t="s">
        <v>26</v>
      </c>
      <c r="B35" s="7">
        <f>1.35*B13/B32-0.35</f>
        <v>0.6854447694037765</v>
      </c>
      <c r="C35" s="7">
        <f aca="true" t="shared" si="18" ref="C35:J35">1.35*C13/C32-0.35</f>
        <v>0.77078633201088</v>
      </c>
      <c r="D35" s="7">
        <f t="shared" si="18"/>
        <v>0.8743067350044734</v>
      </c>
      <c r="E35" s="7">
        <f t="shared" si="18"/>
        <v>0.21543086788257193</v>
      </c>
      <c r="F35" s="7">
        <f t="shared" si="18"/>
        <v>0.21798735494327826</v>
      </c>
      <c r="G35" s="7">
        <f t="shared" si="18"/>
        <v>0.48497994623652685</v>
      </c>
      <c r="H35" s="7">
        <f t="shared" si="18"/>
        <v>0.5883481897908541</v>
      </c>
      <c r="I35" s="7">
        <f t="shared" si="18"/>
        <v>0.7647750966030952</v>
      </c>
      <c r="J35" s="7">
        <f t="shared" si="18"/>
        <v>0.8161346871614829</v>
      </c>
    </row>
    <row r="36" spans="1:10" ht="12">
      <c r="A36" s="6" t="s">
        <v>28</v>
      </c>
      <c r="B36" s="7">
        <f>B33*B34*B35</f>
        <v>4.802491464382329</v>
      </c>
      <c r="C36" s="7">
        <f aca="true" t="shared" si="19" ref="C36:J36">C33*C34*C35</f>
        <v>5.336496567314441</v>
      </c>
      <c r="D36" s="7">
        <f t="shared" si="19"/>
        <v>5.9854360456139615</v>
      </c>
      <c r="E36" s="7">
        <f t="shared" si="19"/>
        <v>1.4305110945004011</v>
      </c>
      <c r="F36" s="7">
        <f t="shared" si="19"/>
        <v>1.4275939867300065</v>
      </c>
      <c r="G36" s="7">
        <f t="shared" si="19"/>
        <v>3.3929406377119578</v>
      </c>
      <c r="H36" s="7">
        <f t="shared" si="19"/>
        <v>4.074700978241237</v>
      </c>
      <c r="I36" s="7">
        <f t="shared" si="19"/>
        <v>5.234550902274908</v>
      </c>
      <c r="J36" s="7">
        <f t="shared" si="19"/>
        <v>5.674903816639856</v>
      </c>
    </row>
    <row r="37" spans="1:10" ht="12">
      <c r="A37" s="6" t="s">
        <v>29</v>
      </c>
      <c r="B37" s="7">
        <f>0</f>
        <v>0</v>
      </c>
      <c r="C37" s="7">
        <f>0</f>
        <v>0</v>
      </c>
      <c r="D37" s="7">
        <f>0</f>
        <v>0</v>
      </c>
      <c r="E37" s="7">
        <f>0</f>
        <v>0</v>
      </c>
      <c r="F37" s="7">
        <f>0</f>
        <v>0</v>
      </c>
      <c r="G37" s="7">
        <f>0</f>
        <v>0</v>
      </c>
      <c r="H37" s="7">
        <f>0</f>
        <v>0</v>
      </c>
      <c r="I37" s="7">
        <f>0</f>
        <v>0</v>
      </c>
      <c r="J37" s="7">
        <f>0</f>
        <v>0</v>
      </c>
    </row>
    <row r="38" spans="1:10" ht="12">
      <c r="A38" s="6" t="s">
        <v>30</v>
      </c>
      <c r="B38" s="7">
        <f>B13-0.23*B13-B36</f>
        <v>12.060508535617672</v>
      </c>
      <c r="C38" s="7">
        <f aca="true" t="shared" si="20" ref="C38:J38">C13-0.23*C13-C36</f>
        <v>12.98950343268556</v>
      </c>
      <c r="D38" s="7">
        <f t="shared" si="20"/>
        <v>14.111563954386039</v>
      </c>
      <c r="E38" s="7">
        <f t="shared" si="20"/>
        <v>7.886488905499599</v>
      </c>
      <c r="F38" s="7">
        <f t="shared" si="20"/>
        <v>7.966406013269992</v>
      </c>
      <c r="G38" s="7">
        <f t="shared" si="20"/>
        <v>10.467059362288042</v>
      </c>
      <c r="H38" s="7">
        <f t="shared" si="20"/>
        <v>11.556299021758763</v>
      </c>
      <c r="I38" s="7">
        <f t="shared" si="20"/>
        <v>13.399449097725093</v>
      </c>
      <c r="J38" s="7">
        <f t="shared" si="20"/>
        <v>13.883096183360145</v>
      </c>
    </row>
    <row r="39" spans="1:10" ht="12">
      <c r="A39" s="6" t="s">
        <v>32</v>
      </c>
      <c r="B39" s="7">
        <f>0.408*B19*(B38-B37)+B21*(900/(B17+273))*B26*(B24-B25)</f>
        <v>0.800392506490429</v>
      </c>
      <c r="C39" s="7">
        <f aca="true" t="shared" si="21" ref="C39:J39">0.408*C19*(C38-C37)+C21*(900/(C17+273))*C26*(C24-C25)</f>
        <v>0.8495426650410765</v>
      </c>
      <c r="D39" s="7">
        <f t="shared" si="21"/>
        <v>0.9609009769334727</v>
      </c>
      <c r="E39" s="7">
        <f t="shared" si="21"/>
        <v>0.5667766350277403</v>
      </c>
      <c r="F39" s="7">
        <f t="shared" si="21"/>
        <v>0.6142583847487728</v>
      </c>
      <c r="G39" s="7">
        <f t="shared" si="21"/>
        <v>0.9482936362859908</v>
      </c>
      <c r="H39" s="7">
        <f t="shared" si="21"/>
        <v>0.7660874160991658</v>
      </c>
      <c r="I39" s="7">
        <f t="shared" si="21"/>
        <v>0.9396517314819337</v>
      </c>
      <c r="J39" s="7">
        <f t="shared" si="21"/>
        <v>1.0204687247789983</v>
      </c>
    </row>
    <row r="40" spans="1:10" ht="12">
      <c r="A40" s="6" t="s">
        <v>33</v>
      </c>
      <c r="B40" s="7">
        <f>B19+B21*(1+0.34*B26)</f>
        <v>0.20748196274082983</v>
      </c>
      <c r="C40" s="7">
        <f aca="true" t="shared" si="22" ref="C40:J40">C19+C21*(1+0.34*C26)</f>
        <v>0.20581070892843278</v>
      </c>
      <c r="D40" s="7">
        <f t="shared" si="22"/>
        <v>0.20986002551791844</v>
      </c>
      <c r="E40" s="7">
        <f t="shared" si="22"/>
        <v>0.2104570536889842</v>
      </c>
      <c r="F40" s="7">
        <f t="shared" si="22"/>
        <v>0.21662298995958823</v>
      </c>
      <c r="G40" s="7">
        <f t="shared" si="22"/>
        <v>0.2334114347827051</v>
      </c>
      <c r="H40" s="7">
        <f t="shared" si="22"/>
        <v>0.2039482959487504</v>
      </c>
      <c r="I40" s="7">
        <f t="shared" si="22"/>
        <v>0.217954437493516</v>
      </c>
      <c r="J40" s="7">
        <f t="shared" si="22"/>
        <v>0.2194070536649645</v>
      </c>
    </row>
    <row r="41" spans="1:10" ht="12.75">
      <c r="A41" s="6" t="s">
        <v>40</v>
      </c>
      <c r="B41" s="8">
        <f>B39/B40</f>
        <v>3.8576486163773978</v>
      </c>
      <c r="C41" s="8">
        <f aca="true" t="shared" si="23" ref="C41:J41">C39/C40</f>
        <v>4.127786495971357</v>
      </c>
      <c r="D41" s="8">
        <f t="shared" si="23"/>
        <v>4.578770895324361</v>
      </c>
      <c r="E41" s="8">
        <f t="shared" si="23"/>
        <v>2.693075024538399</v>
      </c>
      <c r="F41" s="8">
        <f t="shared" si="23"/>
        <v>2.835610314784063</v>
      </c>
      <c r="G41" s="8">
        <f t="shared" si="23"/>
        <v>4.062755696475654</v>
      </c>
      <c r="H41" s="8">
        <f t="shared" si="23"/>
        <v>3.7562825055016575</v>
      </c>
      <c r="I41" s="8">
        <f t="shared" si="23"/>
        <v>4.311230100602506</v>
      </c>
      <c r="J41" s="8">
        <f t="shared" si="23"/>
        <v>4.651029708175464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Rui Teixeira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Teixeira</dc:creator>
  <cp:keywords/>
  <dc:description/>
  <cp:lastModifiedBy>jlteixeira</cp:lastModifiedBy>
  <dcterms:created xsi:type="dcterms:W3CDTF">2008-12-11T15:46:20Z</dcterms:created>
  <dcterms:modified xsi:type="dcterms:W3CDTF">2017-10-19T12:02:44Z</dcterms:modified>
  <cp:category/>
  <cp:version/>
  <cp:contentType/>
  <cp:contentStatus/>
</cp:coreProperties>
</file>