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385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<sst xmlns="http://schemas.openxmlformats.org/spreadsheetml/2006/main" count="57" uniqueCount="56">
  <si>
    <t xml:space="preserve"> </t>
  </si>
  <si>
    <t>Altura da medição do vento =</t>
  </si>
  <si>
    <t>Latitude=</t>
  </si>
  <si>
    <t>Altitude=</t>
  </si>
  <si>
    <t>m</t>
  </si>
  <si>
    <t>Data=</t>
  </si>
  <si>
    <t>Dia Juliano</t>
  </si>
  <si>
    <t>Tmedia</t>
  </si>
  <si>
    <t>Dia Juliano inicial</t>
  </si>
  <si>
    <t>Dia após início</t>
  </si>
  <si>
    <t>º</t>
  </si>
  <si>
    <t>Latitude (radianos)=</t>
  </si>
  <si>
    <t>Δ=</t>
  </si>
  <si>
    <t>P=</t>
  </si>
  <si>
    <t>es=</t>
  </si>
  <si>
    <t>ea=</t>
  </si>
  <si>
    <t>e0(Tmax)=</t>
  </si>
  <si>
    <t>e0(Tmin)=</t>
  </si>
  <si>
    <t>U2=</t>
  </si>
  <si>
    <r>
      <t>δ</t>
    </r>
    <r>
      <rPr>
        <sz val="10"/>
        <rFont val="Arial"/>
        <family val="0"/>
      </rPr>
      <t>=</t>
    </r>
  </si>
  <si>
    <t>dr=</t>
  </si>
  <si>
    <t>X=</t>
  </si>
  <si>
    <t>ωs=</t>
  </si>
  <si>
    <t>Ra=</t>
  </si>
  <si>
    <t>Rnl1=</t>
  </si>
  <si>
    <t>Rnl2=</t>
  </si>
  <si>
    <t>Rnl3=</t>
  </si>
  <si>
    <t>Rs0=</t>
  </si>
  <si>
    <t>Rnl=</t>
  </si>
  <si>
    <t>G=</t>
  </si>
  <si>
    <t>Rn=</t>
  </si>
  <si>
    <r>
      <t>γ</t>
    </r>
    <r>
      <rPr>
        <sz val="10"/>
        <rFont val="Arial"/>
        <family val="0"/>
      </rPr>
      <t>=</t>
    </r>
  </si>
  <si>
    <t>ET0numer=</t>
  </si>
  <si>
    <t>ET0denom=</t>
  </si>
  <si>
    <t>Tmax (ºC)</t>
  </si>
  <si>
    <t>Tmin (ºC)</t>
  </si>
  <si>
    <t>Vento (m/s)</t>
  </si>
  <si>
    <t>ET0 (mm/dia)=</t>
  </si>
  <si>
    <t>rad</t>
  </si>
  <si>
    <t>Jan</t>
  </si>
  <si>
    <t>Fev</t>
  </si>
  <si>
    <t>Mar</t>
  </si>
  <si>
    <t>Abr</t>
  </si>
  <si>
    <t>Mai</t>
  </si>
  <si>
    <t>Jun</t>
  </si>
  <si>
    <t>Jul</t>
  </si>
  <si>
    <t>Ago</t>
  </si>
  <si>
    <t xml:space="preserve">Set </t>
  </si>
  <si>
    <t>Out</t>
  </si>
  <si>
    <t>Nov</t>
  </si>
  <si>
    <t>Dez</t>
  </si>
  <si>
    <t>Insolação (horas/dia)</t>
  </si>
  <si>
    <t>Rs=</t>
  </si>
  <si>
    <t>N=</t>
  </si>
  <si>
    <t>Hrmed (%)</t>
  </si>
  <si>
    <t>Rns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</si>
</sst>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  <numFmt numFmtId="165" formatCode="&quot;Sim&quot;;&quot;Sim&quot;;&quot;Não&quot;"/>
    <numFmt numFmtId="166" formatCode="&quot;Verdadeiro&quot;;&quot;Verdadeiro&quot;;&quot;Falso&quot;"/>
    <numFmt numFmtId="167" formatCode="&quot;Activado&quot;;&quot;Activado&quot;;&quot;Desactivado&quot;"/>
    <numFmt numFmtId="168" formatCode="0.000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4" applyNumberFormat="0" applyAlignment="0" applyProtection="0"/>
    <xf numFmtId="0" fontId="26" fillId="0" borderId="5" applyNumberFormat="0" applyFill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4" applyNumberFormat="0" applyAlignment="0" applyProtection="0"/>
    <xf numFmtId="0" fontId="29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1" fillId="20" borderId="7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43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168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4" fontId="0" fillId="0" borderId="0" xfId="0" applyNumberFormat="1" applyFont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25">
      <selection activeCell="B44" sqref="B44"/>
    </sheetView>
  </sheetViews>
  <sheetFormatPr defaultColWidth="9.140625" defaultRowHeight="12.75"/>
  <cols>
    <col min="1" max="1" width="29.140625" style="0" customWidth="1"/>
    <col min="2" max="11" width="10.140625" style="1" bestFit="1" customWidth="1"/>
  </cols>
  <sheetData>
    <row r="1" spans="1:6" ht="12.75">
      <c r="A1" t="s">
        <v>1</v>
      </c>
      <c r="B1" s="8">
        <v>2</v>
      </c>
      <c r="C1" s="1" t="s">
        <v>4</v>
      </c>
      <c r="F1" s="1" t="s">
        <v>0</v>
      </c>
    </row>
    <row r="2" spans="1:3" ht="12.75">
      <c r="A2" t="s">
        <v>2</v>
      </c>
      <c r="B2" s="8">
        <v>-9.1167</v>
      </c>
      <c r="C2" s="1" t="s">
        <v>10</v>
      </c>
    </row>
    <row r="3" spans="1:3" ht="12.75">
      <c r="A3" t="s">
        <v>11</v>
      </c>
      <c r="B3" s="8">
        <f>B2*PI()/180</f>
        <v>-0.15911643191656705</v>
      </c>
      <c r="C3" s="1" t="s">
        <v>38</v>
      </c>
    </row>
    <row r="4" spans="1:3" ht="12.75">
      <c r="A4" t="s">
        <v>3</v>
      </c>
      <c r="B4" s="8">
        <v>43</v>
      </c>
      <c r="C4" s="1" t="s">
        <v>4</v>
      </c>
    </row>
    <row r="5" spans="1:2" ht="12.75">
      <c r="A5" t="s">
        <v>8</v>
      </c>
      <c r="B5" s="8">
        <v>15</v>
      </c>
    </row>
    <row r="7" spans="1:13" ht="12.75">
      <c r="A7" s="2" t="s">
        <v>5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9" t="s">
        <v>48</v>
      </c>
      <c r="L7" s="3" t="s">
        <v>49</v>
      </c>
      <c r="M7" s="3" t="s">
        <v>50</v>
      </c>
    </row>
    <row r="8" spans="1:13" ht="12.75">
      <c r="A8" t="s">
        <v>34</v>
      </c>
      <c r="B8" s="8">
        <v>32.6</v>
      </c>
      <c r="C8" s="8">
        <v>33.2</v>
      </c>
      <c r="D8" s="8">
        <v>32.9</v>
      </c>
      <c r="E8" s="8">
        <v>32.4</v>
      </c>
      <c r="F8" s="8">
        <v>31.9</v>
      </c>
      <c r="G8" s="8">
        <v>29.3</v>
      </c>
      <c r="H8" s="8">
        <v>27.4</v>
      </c>
      <c r="I8" s="8">
        <v>27.3</v>
      </c>
      <c r="J8" s="8">
        <v>29.3</v>
      </c>
      <c r="K8" s="1">
        <v>31.3</v>
      </c>
      <c r="L8">
        <v>32.3</v>
      </c>
      <c r="M8">
        <v>32.2</v>
      </c>
    </row>
    <row r="9" spans="1:13" ht="12.75">
      <c r="A9" t="s">
        <v>35</v>
      </c>
      <c r="B9" s="8">
        <v>22.4</v>
      </c>
      <c r="C9" s="8">
        <v>22.199999999999996</v>
      </c>
      <c r="D9" s="8">
        <v>22.700000000000003</v>
      </c>
      <c r="E9" s="8">
        <v>22.800000000000004</v>
      </c>
      <c r="F9" s="8">
        <v>21.700000000000003</v>
      </c>
      <c r="G9" s="8">
        <v>17.900000000000002</v>
      </c>
      <c r="H9" s="8">
        <v>16.800000000000004</v>
      </c>
      <c r="I9" s="8">
        <v>17.3</v>
      </c>
      <c r="J9" s="8">
        <v>18.7</v>
      </c>
      <c r="K9" s="1">
        <v>21.3</v>
      </c>
      <c r="L9">
        <v>22.1</v>
      </c>
      <c r="M9">
        <v>22</v>
      </c>
    </row>
    <row r="10" spans="1:13" ht="12.75">
      <c r="A10" t="s">
        <v>54</v>
      </c>
      <c r="B10" s="8">
        <v>79</v>
      </c>
      <c r="C10" s="8">
        <v>78</v>
      </c>
      <c r="D10" s="8">
        <v>82</v>
      </c>
      <c r="E10" s="8">
        <v>85</v>
      </c>
      <c r="F10" s="8">
        <v>83</v>
      </c>
      <c r="G10" s="8">
        <v>82</v>
      </c>
      <c r="H10" s="8">
        <v>81</v>
      </c>
      <c r="I10" s="8">
        <v>79</v>
      </c>
      <c r="J10" s="8">
        <v>79</v>
      </c>
      <c r="K10" s="1">
        <v>79</v>
      </c>
      <c r="L10">
        <v>78</v>
      </c>
      <c r="M10">
        <v>81</v>
      </c>
    </row>
    <row r="11" spans="1:13" ht="12.75">
      <c r="A11" t="s">
        <v>36</v>
      </c>
      <c r="B11" s="8">
        <v>2.2</v>
      </c>
      <c r="C11" s="8">
        <v>2.2</v>
      </c>
      <c r="D11" s="8">
        <v>2.2</v>
      </c>
      <c r="E11" s="8">
        <v>2.2</v>
      </c>
      <c r="F11" s="8">
        <v>2.2</v>
      </c>
      <c r="G11" s="8">
        <v>2.2</v>
      </c>
      <c r="H11" s="8">
        <v>2.2</v>
      </c>
      <c r="I11" s="8">
        <v>2.2</v>
      </c>
      <c r="J11" s="8">
        <v>2.2</v>
      </c>
      <c r="K11" s="1">
        <v>2.2</v>
      </c>
      <c r="L11">
        <v>2.2</v>
      </c>
      <c r="M11">
        <v>2.2</v>
      </c>
    </row>
    <row r="12" spans="1:13" ht="12.75">
      <c r="A12" s="5" t="s">
        <v>51</v>
      </c>
      <c r="B12" s="8">
        <v>7</v>
      </c>
      <c r="C12" s="8">
        <v>7</v>
      </c>
      <c r="D12" s="8">
        <v>6</v>
      </c>
      <c r="E12" s="8">
        <v>6</v>
      </c>
      <c r="F12" s="8">
        <v>7</v>
      </c>
      <c r="G12" s="8">
        <v>8</v>
      </c>
      <c r="H12" s="8">
        <v>8</v>
      </c>
      <c r="I12" s="8">
        <v>8</v>
      </c>
      <c r="J12" s="8">
        <v>8</v>
      </c>
      <c r="K12" s="1">
        <v>8</v>
      </c>
      <c r="L12">
        <v>6</v>
      </c>
      <c r="M12">
        <v>6</v>
      </c>
    </row>
    <row r="14" spans="1:10" ht="12.75">
      <c r="A14" t="s">
        <v>9</v>
      </c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</row>
    <row r="15" spans="1:13" ht="12.75">
      <c r="A15" t="s">
        <v>6</v>
      </c>
      <c r="B15" s="4">
        <v>15</v>
      </c>
      <c r="C15" s="4">
        <v>45</v>
      </c>
      <c r="D15" s="4">
        <f>C15+28</f>
        <v>73</v>
      </c>
      <c r="E15" s="4">
        <f>D15+31</f>
        <v>104</v>
      </c>
      <c r="F15" s="4">
        <f>E15+30</f>
        <v>134</v>
      </c>
      <c r="G15" s="4">
        <f>F15+31</f>
        <v>165</v>
      </c>
      <c r="H15" s="4">
        <f>G15+30</f>
        <v>195</v>
      </c>
      <c r="I15" s="4">
        <f>H15+31</f>
        <v>226</v>
      </c>
      <c r="J15" s="4">
        <f>I15+31</f>
        <v>257</v>
      </c>
      <c r="K15" s="1">
        <f>J15+30</f>
        <v>287</v>
      </c>
      <c r="L15" s="1">
        <f>K15+31</f>
        <v>318</v>
      </c>
      <c r="M15" s="1">
        <f>L15+30</f>
        <v>348</v>
      </c>
    </row>
    <row r="16" spans="1:13" ht="12.75">
      <c r="A16" t="s">
        <v>7</v>
      </c>
      <c r="B16" s="1">
        <f>(B8+B9)/2</f>
        <v>27.5</v>
      </c>
      <c r="C16" s="1">
        <f>(C8+C9)/2</f>
        <v>27.7</v>
      </c>
      <c r="D16" s="1">
        <f>(D8+D9)/2</f>
        <v>27.8</v>
      </c>
      <c r="E16" s="1">
        <f>(E8+E9)/2</f>
        <v>27.6</v>
      </c>
      <c r="F16" s="1">
        <f>(F8+F9)/2</f>
        <v>26.8</v>
      </c>
      <c r="G16" s="1">
        <f>(G8+G9)/2</f>
        <v>23.6</v>
      </c>
      <c r="H16" s="1">
        <f>(H8+H9)/2</f>
        <v>22.1</v>
      </c>
      <c r="I16" s="1">
        <f>(I8+I9)/2</f>
        <v>22.3</v>
      </c>
      <c r="J16" s="1">
        <f>(J8+J9)/2</f>
        <v>24</v>
      </c>
      <c r="K16" s="1">
        <f>(K8+K9)/2</f>
        <v>26.3</v>
      </c>
      <c r="L16" s="1">
        <f>(L8+L9)/2</f>
        <v>27.2</v>
      </c>
      <c r="M16" s="1">
        <f>(M8+M9)/2</f>
        <v>27.1</v>
      </c>
    </row>
    <row r="18" spans="1:13" ht="12.75">
      <c r="A18" t="s">
        <v>12</v>
      </c>
      <c r="B18" s="6">
        <f>2504*EXP(17.27*B16/(B16+237.3))/(B16+237.3)^2</f>
        <v>0.21464248358297164</v>
      </c>
      <c r="C18" s="6">
        <f aca="true" t="shared" si="0" ref="C18:J18">2504*EXP(17.27*C16/(C16+237.3))/(C16+237.3)^2</f>
        <v>0.21683661264358203</v>
      </c>
      <c r="D18" s="6">
        <f t="shared" si="0"/>
        <v>0.21794072649586824</v>
      </c>
      <c r="E18" s="6">
        <f t="shared" si="0"/>
        <v>0.21573720362068452</v>
      </c>
      <c r="F18" s="6">
        <f t="shared" si="0"/>
        <v>0.20710941167201016</v>
      </c>
      <c r="G18" s="6">
        <f t="shared" si="0"/>
        <v>0.17544098284357554</v>
      </c>
      <c r="H18" s="6">
        <f t="shared" si="0"/>
        <v>0.1620658736300377</v>
      </c>
      <c r="I18" s="6">
        <f t="shared" si="0"/>
        <v>0.16379784101160935</v>
      </c>
      <c r="J18" s="6">
        <f t="shared" si="0"/>
        <v>0.1791609204012619</v>
      </c>
      <c r="K18" s="6">
        <f>2504*EXP(17.27*K16/(K16+237.3))/(K16+237.3)^2</f>
        <v>0.20186586656898456</v>
      </c>
      <c r="L18" s="6">
        <f>2504*EXP(17.27*L16/(L16+237.3))/(L16+237.3)^2</f>
        <v>0.2113862994879091</v>
      </c>
      <c r="M18" s="6">
        <f>2504*EXP(17.27*M16/(M16+237.3))/(M16+237.3)^2</f>
        <v>0.21031017768069366</v>
      </c>
    </row>
    <row r="19" spans="1:13" ht="12.75">
      <c r="A19" t="s">
        <v>13</v>
      </c>
      <c r="B19" s="6">
        <f>101.3*((293-0.0065*$B$4)/293)^5.26</f>
        <v>100.79274425528425</v>
      </c>
      <c r="C19" s="6">
        <f aca="true" t="shared" si="1" ref="C19:M19">101.3*((293-0.0065*$B$4)/293)^5.26</f>
        <v>100.79274425528425</v>
      </c>
      <c r="D19" s="6">
        <f t="shared" si="1"/>
        <v>100.79274425528425</v>
      </c>
      <c r="E19" s="6">
        <f t="shared" si="1"/>
        <v>100.79274425528425</v>
      </c>
      <c r="F19" s="6">
        <f t="shared" si="1"/>
        <v>100.79274425528425</v>
      </c>
      <c r="G19" s="6">
        <f t="shared" si="1"/>
        <v>100.79274425528425</v>
      </c>
      <c r="H19" s="6">
        <f t="shared" si="1"/>
        <v>100.79274425528425</v>
      </c>
      <c r="I19" s="6">
        <f t="shared" si="1"/>
        <v>100.79274425528425</v>
      </c>
      <c r="J19" s="6">
        <f t="shared" si="1"/>
        <v>100.79274425528425</v>
      </c>
      <c r="K19" s="6">
        <f t="shared" si="1"/>
        <v>100.79274425528425</v>
      </c>
      <c r="L19" s="6">
        <f t="shared" si="1"/>
        <v>100.79274425528425</v>
      </c>
      <c r="M19" s="6">
        <f t="shared" si="1"/>
        <v>100.79274425528425</v>
      </c>
    </row>
    <row r="20" spans="1:13" ht="12.75">
      <c r="A20" s="5" t="s">
        <v>31</v>
      </c>
      <c r="B20" s="6">
        <f>0.00163*B19/2.45</f>
        <v>0.06705802985147483</v>
      </c>
      <c r="C20" s="6">
        <f aca="true" t="shared" si="2" ref="C20:J20">0.00163*C19/2.45</f>
        <v>0.06705802985147483</v>
      </c>
      <c r="D20" s="6">
        <f t="shared" si="2"/>
        <v>0.06705802985147483</v>
      </c>
      <c r="E20" s="6">
        <f t="shared" si="2"/>
        <v>0.06705802985147483</v>
      </c>
      <c r="F20" s="6">
        <f t="shared" si="2"/>
        <v>0.06705802985147483</v>
      </c>
      <c r="G20" s="6">
        <f t="shared" si="2"/>
        <v>0.06705802985147483</v>
      </c>
      <c r="H20" s="6">
        <f t="shared" si="2"/>
        <v>0.06705802985147483</v>
      </c>
      <c r="I20" s="6">
        <f t="shared" si="2"/>
        <v>0.06705802985147483</v>
      </c>
      <c r="J20" s="6">
        <f t="shared" si="2"/>
        <v>0.06705802985147483</v>
      </c>
      <c r="K20" s="6">
        <f>0.00163*K19/2.45</f>
        <v>0.06705802985147483</v>
      </c>
      <c r="L20" s="6">
        <f>0.00163*L19/2.45</f>
        <v>0.06705802985147483</v>
      </c>
      <c r="M20" s="6">
        <f>0.00163*M19/2.45</f>
        <v>0.06705802985147483</v>
      </c>
    </row>
    <row r="21" spans="1:13" ht="12.75">
      <c r="A21" s="5" t="s">
        <v>16</v>
      </c>
      <c r="B21" s="6">
        <f>0.6108*EXP((17.27*B8)/(B8+237.3))</f>
        <v>4.918381272176261</v>
      </c>
      <c r="C21" s="6">
        <f>0.611*EXP(17.27*C8/(C8+237.3))</f>
        <v>5.088518777633605</v>
      </c>
      <c r="D21" s="6">
        <f>0.611*EXP(17.27*D8/(D8+237.3))</f>
        <v>5.003639333593804</v>
      </c>
      <c r="E21" s="6">
        <f>0.611*EXP(17.27*E8/(E8+237.3))</f>
        <v>4.864903637868868</v>
      </c>
      <c r="F21" s="6">
        <f>0.611*EXP(17.27*F8/(F8+237.3))</f>
        <v>4.729520624964834</v>
      </c>
      <c r="G21" s="6">
        <f>0.611*EXP(17.27*G8/(G8+237.3))</f>
        <v>4.076983733988148</v>
      </c>
      <c r="H21" s="6">
        <f>0.611*EXP(17.27*H8/(H8+237.3))</f>
        <v>3.6510627705463885</v>
      </c>
      <c r="I21" s="6">
        <f>0.611*EXP(17.27*I8/(I8+237.3))</f>
        <v>3.6297619841228728</v>
      </c>
      <c r="J21" s="6">
        <f>0.611*EXP(17.27*J8/(J8+237.3))</f>
        <v>4.076983733988148</v>
      </c>
      <c r="K21" s="6">
        <f>0.611*EXP(17.27*K8/(K8+237.3))</f>
        <v>4.571390751661843</v>
      </c>
      <c r="L21" s="6">
        <f>0.611*EXP(17.27*L8/(L8+237.3))</f>
        <v>4.837561015440828</v>
      </c>
      <c r="M21" s="6">
        <f>0.611*EXP(17.27*M8/(M8+237.3))</f>
        <v>4.810351948552173</v>
      </c>
    </row>
    <row r="22" spans="1:13" ht="12.75">
      <c r="A22" t="s">
        <v>17</v>
      </c>
      <c r="B22" s="6">
        <f>0.6108*EXP((17.27*B9)/(B9+237.3))</f>
        <v>2.7090824052161175</v>
      </c>
      <c r="C22" s="6">
        <f>0.611*EXP(17.27*C9/(C9+237.3))</f>
        <v>2.677209996567456</v>
      </c>
      <c r="D22" s="6">
        <f>0.611*EXP(17.27*D9/(D9+237.3))</f>
        <v>2.7597649866615512</v>
      </c>
      <c r="E22" s="6">
        <f>0.611*EXP(17.27*E9/(E9+237.3))</f>
        <v>2.7765400845935013</v>
      </c>
      <c r="F22" s="6">
        <f>0.611*EXP(17.27*F9/(F9+237.3))</f>
        <v>2.596820017139164</v>
      </c>
      <c r="G22" s="6">
        <f>0.611*EXP(17.27*G9/(G9+237.3))</f>
        <v>2.0517188127308263</v>
      </c>
      <c r="H22" s="6">
        <f>0.611*EXP(17.27*H9/(H9+237.3))</f>
        <v>1.913932186223107</v>
      </c>
      <c r="I22" s="6">
        <f>0.611*EXP(17.27*I9/(I9+237.3))</f>
        <v>1.975523510738511</v>
      </c>
      <c r="J22" s="6">
        <f>0.611*EXP(17.27*J9/(J9+237.3))</f>
        <v>2.1573081365851827</v>
      </c>
      <c r="K22" s="6">
        <f>0.611*EXP(17.27*K9/(K9+237.3))</f>
        <v>2.5340344524230103</v>
      </c>
      <c r="L22" s="6">
        <f>0.611*EXP(17.27*L9/(L9+237.3))</f>
        <v>2.6609603532161934</v>
      </c>
      <c r="M22" s="6">
        <f>0.611*EXP(17.27*M9/(M9+237.3))</f>
        <v>2.644796919516473</v>
      </c>
    </row>
    <row r="23" spans="1:13" ht="12.75">
      <c r="A23" t="s">
        <v>14</v>
      </c>
      <c r="B23" s="6">
        <f>(B21+B22)/2</f>
        <v>3.8137318386961896</v>
      </c>
      <c r="C23" s="6">
        <f>(C21+C22)/2</f>
        <v>3.882864387100531</v>
      </c>
      <c r="D23" s="6">
        <f>(D21+D22)/2</f>
        <v>3.8817021601276775</v>
      </c>
      <c r="E23" s="6">
        <f>(E21+E22)/2</f>
        <v>3.820721861231185</v>
      </c>
      <c r="F23" s="6">
        <f>(F21+F22)/2</f>
        <v>3.663170321051999</v>
      </c>
      <c r="G23" s="6">
        <f>(G21+G22)/2</f>
        <v>3.0643512733594873</v>
      </c>
      <c r="H23" s="6">
        <f>(H21+H22)/2</f>
        <v>2.7824974783847476</v>
      </c>
      <c r="I23" s="6">
        <f>(I21+I22)/2</f>
        <v>2.802642747430692</v>
      </c>
      <c r="J23" s="6">
        <f>(J21+J22)/2</f>
        <v>3.1171459352866653</v>
      </c>
      <c r="K23" s="6">
        <f>(K21+K22)/2</f>
        <v>3.5527126020424267</v>
      </c>
      <c r="L23" s="6">
        <f>(L21+L22)/2</f>
        <v>3.749260684328511</v>
      </c>
      <c r="M23" s="6">
        <f>(M21+M22)/2</f>
        <v>3.727574434034323</v>
      </c>
    </row>
    <row r="24" spans="1:13" ht="12.75">
      <c r="A24" t="s">
        <v>15</v>
      </c>
      <c r="B24" s="6">
        <f>B23*B10/100</f>
        <v>3.0128481525699895</v>
      </c>
      <c r="C24" s="6">
        <f>C23*C10/100</f>
        <v>3.028634221938414</v>
      </c>
      <c r="D24" s="6">
        <f>D23*D10/100</f>
        <v>3.1829957713046957</v>
      </c>
      <c r="E24" s="6">
        <f>E23*E10/100</f>
        <v>3.2476135820465073</v>
      </c>
      <c r="F24" s="6">
        <f>F23*F10/100</f>
        <v>3.0404313664731593</v>
      </c>
      <c r="G24" s="6">
        <f>G23*G10/100</f>
        <v>2.5127680441547797</v>
      </c>
      <c r="H24" s="6">
        <f>H23*H10/100</f>
        <v>2.2538229574916455</v>
      </c>
      <c r="I24" s="6">
        <f>I23*I10/100</f>
        <v>2.214087770470247</v>
      </c>
      <c r="J24" s="6">
        <f>J23*J10/100</f>
        <v>2.4625452888764654</v>
      </c>
      <c r="K24" s="6">
        <f>K23*K10/100</f>
        <v>2.8066429556135173</v>
      </c>
      <c r="L24" s="6">
        <f>L23*L10/100</f>
        <v>2.9244233337762386</v>
      </c>
      <c r="M24" s="6">
        <f>M23*M10/100</f>
        <v>3.0193352915678013</v>
      </c>
    </row>
    <row r="25" spans="1:13" ht="12.75">
      <c r="A25" t="s">
        <v>18</v>
      </c>
      <c r="B25" s="6">
        <f>B11*4.87/(LN(67.8*$B$1-5.42))</f>
        <v>2.200488848247147</v>
      </c>
      <c r="C25" s="6">
        <f>C11*4.87/(LN(67.8*$B$1-5.42))</f>
        <v>2.200488848247147</v>
      </c>
      <c r="D25" s="6">
        <f>D11*4.87/(LN(67.8*$B$1-5.42))</f>
        <v>2.200488848247147</v>
      </c>
      <c r="E25" s="6">
        <f>E11*4.87/(LN(67.8*$B$1-5.42))</f>
        <v>2.200488848247147</v>
      </c>
      <c r="F25" s="6">
        <f>F11*4.87/(LN(67.8*$B$1-5.42))</f>
        <v>2.200488848247147</v>
      </c>
      <c r="G25" s="6">
        <f>G11*4.87/(LN(67.8*$B$1-5.42))</f>
        <v>2.200488848247147</v>
      </c>
      <c r="H25" s="6">
        <f>H11*4.87/(LN(67.8*$B$1-5.42))</f>
        <v>2.200488848247147</v>
      </c>
      <c r="I25" s="6">
        <f>I11*4.87/(LN(67.8*$B$1-5.42))</f>
        <v>2.200488848247147</v>
      </c>
      <c r="J25" s="6">
        <f>J11*4.87/(LN(67.8*$B$1-5.42))</f>
        <v>2.200488848247147</v>
      </c>
      <c r="K25" s="6">
        <f>K11*4.87/(LN(67.8*$B$1-5.42))</f>
        <v>2.200488848247147</v>
      </c>
      <c r="L25" s="6">
        <f>L11*4.87/(LN(67.8*$B$1-5.42))</f>
        <v>2.200488848247147</v>
      </c>
      <c r="M25" s="6">
        <f>M11*4.87/(LN(67.8*$B$1-5.42))</f>
        <v>2.200488848247147</v>
      </c>
    </row>
    <row r="26" spans="1:13" ht="12.75">
      <c r="A26" s="5" t="s">
        <v>19</v>
      </c>
      <c r="B26" s="6">
        <f>0.409*SIN(0.0172*B15-1.39)</f>
        <v>-0.37025285313723055</v>
      </c>
      <c r="C26" s="6">
        <f>0.409*SIN(0.0172*C15-1.39)</f>
        <v>-0.23630997791082498</v>
      </c>
      <c r="D26" s="6">
        <f>0.409*SIN(0.0172*D15-1.39)</f>
        <v>-0.05480426012137943</v>
      </c>
      <c r="E26" s="6">
        <f>0.409*SIN(0.0172*E15-1.39)</f>
        <v>0.1588199307009754</v>
      </c>
      <c r="F26" s="6">
        <f>0.409*SIN(0.0172*F15-1.39)</f>
        <v>0.32410821067991574</v>
      </c>
      <c r="G26" s="6">
        <f>0.409*SIN(0.0172*G15-1.39)</f>
        <v>0.40592023009578937</v>
      </c>
      <c r="H26" s="6">
        <f>0.409*SIN(0.0172*H15-1.39)</f>
        <v>0.3777877032825279</v>
      </c>
      <c r="I26" s="6">
        <f>0.409*SIN(0.0172*I15-1.39)</f>
        <v>0.24569161589042357</v>
      </c>
      <c r="J26" s="6">
        <f>0.409*SIN(0.0172*J15-1.39)</f>
        <v>0.04538414012566318</v>
      </c>
      <c r="K26" s="6">
        <f>0.409*SIN(0.0172*K15-1.39)</f>
        <v>-0.16108124903558887</v>
      </c>
      <c r="L26" s="6">
        <f>0.409*SIN(0.0172*L15-1.39)</f>
        <v>-0.32980993316633395</v>
      </c>
      <c r="M26" s="6">
        <f>0.409*SIN(0.0172*M15-1.39)</f>
        <v>-0.4062138573142719</v>
      </c>
    </row>
    <row r="27" spans="1:13" ht="12.75">
      <c r="A27" s="5" t="s">
        <v>20</v>
      </c>
      <c r="B27" s="6">
        <f>1+0.033*COS(0.0172*B15)</f>
        <v>1.0319077728018349</v>
      </c>
      <c r="C27" s="6">
        <f>1+0.033*COS(0.0172*C15)</f>
        <v>1.0235989729625377</v>
      </c>
      <c r="D27" s="6">
        <f>1+0.033*COS(0.0172*D15)</f>
        <v>1.0102301033580217</v>
      </c>
      <c r="E27" s="6">
        <f>1+0.033*COS(0.0172*E15)</f>
        <v>0.9928627276834178</v>
      </c>
      <c r="F27" s="6">
        <f>1+0.033*COS(0.0172*F15)</f>
        <v>0.9778950253367421</v>
      </c>
      <c r="G27" s="6">
        <f>1+0.033*COS(0.0172*G15)</f>
        <v>0.9685091353966324</v>
      </c>
      <c r="H27" s="6">
        <f>1+0.033*COS(0.0172*H15)</f>
        <v>0.9677416338813664</v>
      </c>
      <c r="I27" s="6">
        <f>1+0.033*COS(0.0172*I15)</f>
        <v>0.975755691898177</v>
      </c>
      <c r="J27" s="6">
        <f>1+0.033*COS(0.0172*J15)</f>
        <v>0.9905006996454714</v>
      </c>
      <c r="K27" s="6">
        <f>1+0.033*COS(0.0172*K15)</f>
        <v>1.0073306926306809</v>
      </c>
      <c r="L27" s="6">
        <f>1+0.033*COS(0.0172*L15)</f>
        <v>1.0226676080936696</v>
      </c>
      <c r="M27" s="6">
        <f>1+0.033*COS(0.0172*M15)</f>
        <v>1.0315495606952283</v>
      </c>
    </row>
    <row r="28" spans="1:13" ht="12.75">
      <c r="A28" s="5" t="s">
        <v>21</v>
      </c>
      <c r="B28" s="6">
        <f>1-(TAN($B$3)^2*TAN(B26)^2)</f>
        <v>0.9961201733985836</v>
      </c>
      <c r="C28" s="6">
        <f aca="true" t="shared" si="3" ref="C28:J28">1-(TAN($B$3)^2*TAN(C26)^2)</f>
        <v>0.998506689269322</v>
      </c>
      <c r="D28" s="6">
        <f t="shared" si="3"/>
        <v>0.9999224997946773</v>
      </c>
      <c r="E28" s="6">
        <f t="shared" si="3"/>
        <v>0.9993393669079865</v>
      </c>
      <c r="F28" s="6">
        <f t="shared" si="3"/>
        <v>0.9970935272070307</v>
      </c>
      <c r="G28" s="6">
        <f t="shared" si="3"/>
        <v>0.9952431964698114</v>
      </c>
      <c r="H28" s="6">
        <f t="shared" si="3"/>
        <v>0.9959443895170836</v>
      </c>
      <c r="I28" s="6">
        <f t="shared" si="3"/>
        <v>0.9983807557093493</v>
      </c>
      <c r="J28" s="6">
        <f t="shared" si="3"/>
        <v>0.9999468860181759</v>
      </c>
      <c r="K28" s="6">
        <f>1-(TAN($B$3)^2*TAN(K26)^2)</f>
        <v>0.9993200886825946</v>
      </c>
      <c r="L28" s="6">
        <f>1-(TAN($B$3)^2*TAN(L26)^2)</f>
        <v>0.9969824841769267</v>
      </c>
      <c r="M28" s="6">
        <f>1-(TAN($B$3)^2*TAN(M26)^2)</f>
        <v>0.9952354921947809</v>
      </c>
    </row>
    <row r="29" spans="1:13" ht="12.75">
      <c r="A29" s="5" t="s">
        <v>22</v>
      </c>
      <c r="B29" s="6">
        <f>PI()/2-ATAN((-TAN($B$3)*TAN(B26))/B28^0.5)</f>
        <v>1.6331249293382069</v>
      </c>
      <c r="C29" s="6">
        <f aca="true" t="shared" si="4" ref="C29:J29">PI()/2-ATAN((-TAN($B$3)*TAN(C26))/C28^0.5)</f>
        <v>1.609449329898171</v>
      </c>
      <c r="D29" s="6">
        <f t="shared" si="4"/>
        <v>1.5795998606023725</v>
      </c>
      <c r="E29" s="6">
        <f t="shared" si="4"/>
        <v>1.5450907121944442</v>
      </c>
      <c r="F29" s="6">
        <f t="shared" si="4"/>
        <v>1.5168584641432588</v>
      </c>
      <c r="G29" s="6">
        <f t="shared" si="4"/>
        <v>1.5017719461968826</v>
      </c>
      <c r="H29" s="6">
        <f t="shared" si="4"/>
        <v>1.5070695268464518</v>
      </c>
      <c r="I29" s="6">
        <f t="shared" si="4"/>
        <v>1.5305456245621216</v>
      </c>
      <c r="J29" s="6">
        <f t="shared" si="4"/>
        <v>1.5635083282894302</v>
      </c>
      <c r="K29" s="6">
        <f>PI()/2-ATAN((-TAN($B$3)*TAN(K26))/K28^0.5)</f>
        <v>1.5968743916471857</v>
      </c>
      <c r="L29" s="6">
        <f>PI()/2-ATAN((-TAN($B$3)*TAN(L26))/L28^0.5)</f>
        <v>1.625755910591091</v>
      </c>
      <c r="M29" s="6">
        <f>PI()/2-ATAN((-TAN($B$3)*TAN(M26))/M28^0.5)</f>
        <v>1.6398766708666837</v>
      </c>
    </row>
    <row r="30" spans="1:13" ht="12.75">
      <c r="A30" s="5" t="s">
        <v>23</v>
      </c>
      <c r="B30" s="6">
        <f>37.6*B27*(B29*SIN($B$3)*SIN(B26)+COS($B$3)*COS(B26)*SIN(B29))</f>
        <v>39.27718268105116</v>
      </c>
      <c r="C30" s="6">
        <f aca="true" t="shared" si="5" ref="C30:J30">37.6*C27*(C29*SIN($B$3)*SIN(C26)+COS($B$3)*COS(C26)*SIN(C29))</f>
        <v>39.2152118878685</v>
      </c>
      <c r="D30" s="6">
        <f t="shared" si="5"/>
        <v>37.967811544456175</v>
      </c>
      <c r="E30" s="6">
        <f t="shared" si="5"/>
        <v>34.93872489413895</v>
      </c>
      <c r="F30" s="6">
        <f t="shared" si="5"/>
        <v>31.549874537351656</v>
      </c>
      <c r="G30" s="6">
        <f t="shared" si="5"/>
        <v>29.53390174898711</v>
      </c>
      <c r="H30" s="6">
        <f t="shared" si="5"/>
        <v>30.121142722615012</v>
      </c>
      <c r="I30" s="6">
        <f t="shared" si="5"/>
        <v>32.94457997604318</v>
      </c>
      <c r="J30" s="6">
        <f t="shared" si="5"/>
        <v>36.314942781777525</v>
      </c>
      <c r="K30" s="6">
        <f>37.6*K27*(K29*SIN($B$3)*SIN(K26)+COS($B$3)*COS(K26)*SIN(K29))</f>
        <v>38.43750863626108</v>
      </c>
      <c r="L30" s="6">
        <f>37.6*L27*(L29*SIN($B$3)*SIN(L26)+COS($B$3)*COS(L26)*SIN(L29))</f>
        <v>39.073970333346416</v>
      </c>
      <c r="M30" s="6">
        <f>37.6*M27*(M29*SIN($B$3)*SIN(M26)+COS($B$3)*COS(M26)*SIN(M29))</f>
        <v>39.078095673514134</v>
      </c>
    </row>
    <row r="31" spans="1:13" ht="12.75">
      <c r="A31" s="5" t="s">
        <v>53</v>
      </c>
      <c r="B31" s="6">
        <f>24/PI()*B29</f>
        <v>12.47615544915734</v>
      </c>
      <c r="C31" s="6">
        <f aca="true" t="shared" si="6" ref="C31:M31">24/PI()*C29</f>
        <v>12.295287192443158</v>
      </c>
      <c r="D31" s="6">
        <f t="shared" si="6"/>
        <v>12.067254044262548</v>
      </c>
      <c r="E31" s="6">
        <f t="shared" si="6"/>
        <v>11.803623569813894</v>
      </c>
      <c r="F31" s="6">
        <f t="shared" si="6"/>
        <v>11.587945081880646</v>
      </c>
      <c r="G31" s="6">
        <f t="shared" si="6"/>
        <v>11.472692574430548</v>
      </c>
      <c r="H31" s="6">
        <f t="shared" si="6"/>
        <v>11.51316310947728</v>
      </c>
      <c r="I31" s="6">
        <f t="shared" si="6"/>
        <v>11.692507285283225</v>
      </c>
      <c r="J31" s="6">
        <f t="shared" si="6"/>
        <v>11.944323792605216</v>
      </c>
      <c r="K31" s="6">
        <f t="shared" si="6"/>
        <v>12.199221740520615</v>
      </c>
      <c r="L31" s="6">
        <f t="shared" si="6"/>
        <v>12.419860292709004</v>
      </c>
      <c r="M31" s="6">
        <f t="shared" si="6"/>
        <v>12.527734955016664</v>
      </c>
    </row>
    <row r="32" spans="1:13" ht="12.75">
      <c r="A32" s="5" t="s">
        <v>27</v>
      </c>
      <c r="B32" s="6">
        <f>(0.75+0.00002*$B$4)*B30</f>
        <v>29.49166538789407</v>
      </c>
      <c r="C32" s="6">
        <f>(0.75+0.00002*$B$4)*C30</f>
        <v>29.44513399812494</v>
      </c>
      <c r="D32" s="6">
        <f>(0.75+0.00002*$B$4)*D30</f>
        <v>28.50851097627036</v>
      </c>
      <c r="E32" s="6">
        <f>(0.75+0.00002*$B$4)*E30</f>
        <v>26.23409097401317</v>
      </c>
      <c r="F32" s="6">
        <f>(0.75+0.00002*$B$4)*F30</f>
        <v>23.689538795115862</v>
      </c>
      <c r="G32" s="6">
        <f>(0.75+0.00002*$B$4)*G30</f>
        <v>22.17582546724446</v>
      </c>
      <c r="H32" s="6">
        <f>(0.75+0.00002*$B$4)*H30</f>
        <v>22.616761224702707</v>
      </c>
      <c r="I32" s="6">
        <f>(0.75+0.00002*$B$4)*I30</f>
        <v>24.73676732081178</v>
      </c>
      <c r="J32" s="6">
        <f>(0.75+0.00002*$B$4)*J30</f>
        <v>27.26743793712547</v>
      </c>
      <c r="K32" s="6">
        <f>(0.75+0.00002*$B$4)*K30</f>
        <v>28.86118773462299</v>
      </c>
      <c r="L32" s="6">
        <f>(0.75+0.00002*$B$4)*L30</f>
        <v>29.33908136449649</v>
      </c>
      <c r="M32" s="6">
        <f>(0.75+0.00002*$B$4)*M30</f>
        <v>29.34217891741482</v>
      </c>
    </row>
    <row r="33" spans="1:13" ht="12.75">
      <c r="A33" s="5" t="s">
        <v>52</v>
      </c>
      <c r="B33" s="6">
        <f>(0.25+0.5*B12/B31)*B30</f>
        <v>20.837925563413407</v>
      </c>
      <c r="C33" s="6">
        <f aca="true" t="shared" si="7" ref="C33:M33">(0.25+0.5*C12/C31)*C30</f>
        <v>20.96688029251132</v>
      </c>
      <c r="D33" s="6">
        <f t="shared" si="7"/>
        <v>18.93100457223684</v>
      </c>
      <c r="E33" s="6">
        <f t="shared" si="7"/>
        <v>17.614681001778216</v>
      </c>
      <c r="F33" s="6">
        <f t="shared" si="7"/>
        <v>17.416730302430807</v>
      </c>
      <c r="G33" s="6">
        <f t="shared" si="7"/>
        <v>17.680588013874164</v>
      </c>
      <c r="H33" s="6">
        <f t="shared" si="7"/>
        <v>17.995226526604323</v>
      </c>
      <c r="I33" s="6">
        <f t="shared" si="7"/>
        <v>19.506466806855464</v>
      </c>
      <c r="J33" s="6">
        <f t="shared" si="7"/>
        <v>21.24014170296078</v>
      </c>
      <c r="K33" s="6">
        <f t="shared" si="7"/>
        <v>22.212642991536555</v>
      </c>
      <c r="L33" s="6">
        <f t="shared" si="7"/>
        <v>19.20675583569006</v>
      </c>
      <c r="M33" s="6">
        <f t="shared" si="7"/>
        <v>19.12750342876054</v>
      </c>
    </row>
    <row r="34" spans="1:13" ht="12.75">
      <c r="A34" s="5" t="s">
        <v>55</v>
      </c>
      <c r="B34" s="6">
        <f>B33-0.23*B33</f>
        <v>16.04520268382832</v>
      </c>
      <c r="C34" s="6">
        <f aca="true" t="shared" si="8" ref="C34:M34">C33-0.23*C33</f>
        <v>16.144497825233717</v>
      </c>
      <c r="D34" s="6">
        <f t="shared" si="8"/>
        <v>14.576873520622367</v>
      </c>
      <c r="E34" s="6">
        <f t="shared" si="8"/>
        <v>13.563304371369226</v>
      </c>
      <c r="F34" s="6">
        <f t="shared" si="8"/>
        <v>13.410882332871722</v>
      </c>
      <c r="G34" s="6">
        <f t="shared" si="8"/>
        <v>13.614052770683106</v>
      </c>
      <c r="H34" s="6">
        <f t="shared" si="8"/>
        <v>13.85632442548533</v>
      </c>
      <c r="I34" s="6">
        <f t="shared" si="8"/>
        <v>15.019979441278707</v>
      </c>
      <c r="J34" s="6">
        <f t="shared" si="8"/>
        <v>16.354909111279802</v>
      </c>
      <c r="K34" s="6">
        <f t="shared" si="8"/>
        <v>17.103735103483146</v>
      </c>
      <c r="L34" s="6">
        <f t="shared" si="8"/>
        <v>14.789201993481345</v>
      </c>
      <c r="M34" s="6">
        <f t="shared" si="8"/>
        <v>14.728177640145617</v>
      </c>
    </row>
    <row r="35" spans="1:13" ht="12.75">
      <c r="A35" s="5" t="s">
        <v>24</v>
      </c>
      <c r="B35" s="6">
        <f>0.0000000049/2*((B8+273)^4+(B9+273)^4)</f>
        <v>40.02431760962825</v>
      </c>
      <c r="C35" s="6">
        <f>0.0000000049/2*((C8+273)^4+(C9+273)^4)</f>
        <v>40.14215850460423</v>
      </c>
      <c r="D35" s="6">
        <f>0.0000000049/2*((D8+273)^4+(D9+273)^4)</f>
        <v>40.18424977003968</v>
      </c>
      <c r="E35" s="6">
        <f>0.0000000049/2*((E8+273)^4+(E9+273)^4)</f>
        <v>40.069684371054244</v>
      </c>
      <c r="F35" s="6">
        <f>0.0000000049/2*((F8+273)^4+(F9+273)^4)</f>
        <v>39.65299983522408</v>
      </c>
      <c r="G35" s="6">
        <f>0.0000000049/2*((G8+273)^4+(G9+273)^4)</f>
        <v>38.00511344166649</v>
      </c>
      <c r="H35" s="6">
        <f>0.0000000049/2*((H8+273)^4+(H9+273)^4)</f>
        <v>37.23168335629064</v>
      </c>
      <c r="I35" s="6">
        <f>0.0000000049/2*((I8+273)^4+(I9+273)^4)</f>
        <v>37.3246986504537</v>
      </c>
      <c r="J35" s="6">
        <f>0.0000000049/2*((J8+273)^4+(J9+273)^4)</f>
        <v>38.198906553049696</v>
      </c>
      <c r="K35" s="6">
        <f>0.0000000049/2*((K8+273)^4+(K9+273)^4)</f>
        <v>39.386699246986495</v>
      </c>
      <c r="L35" s="6">
        <f>0.0000000049/2*((L8+273)^4+(L9+273)^4)</f>
        <v>39.8648634558641</v>
      </c>
      <c r="M35" s="6">
        <f>0.0000000049/2*((M8+273)^4+(M9+273)^4)</f>
        <v>39.81181813011592</v>
      </c>
    </row>
    <row r="36" spans="1:13" ht="12.75">
      <c r="A36" s="5" t="s">
        <v>25</v>
      </c>
      <c r="B36" s="6">
        <f>0.34-0.14*B24^0.5</f>
        <v>0.09699418980120703</v>
      </c>
      <c r="C36" s="6">
        <f>0.34-0.14*C24^0.5</f>
        <v>0.09635839692287174</v>
      </c>
      <c r="D36" s="6">
        <f>0.34-0.14*D24^0.5</f>
        <v>0.09022666852209374</v>
      </c>
      <c r="E36" s="6">
        <f>0.34-0.14*E24^0.5</f>
        <v>0.0877040899893311</v>
      </c>
      <c r="F36" s="6">
        <f>0.34-0.14*F24^0.5</f>
        <v>0.09588434138123395</v>
      </c>
      <c r="G36" s="6">
        <f>0.34-0.14*G24^0.5</f>
        <v>0.11807601827329772</v>
      </c>
      <c r="H36" s="6">
        <f>0.34-0.14*H24^0.5</f>
        <v>0.12982167103424708</v>
      </c>
      <c r="I36" s="6">
        <f>0.34-0.14*I24^0.5</f>
        <v>0.13168264522316717</v>
      </c>
      <c r="J36" s="6">
        <f>0.34-0.14*J24^0.5</f>
        <v>0.12030501220560647</v>
      </c>
      <c r="K36" s="6">
        <f>0.34-0.14*K24^0.5</f>
        <v>0.10545746242946688</v>
      </c>
      <c r="L36" s="6">
        <f>0.34-0.14*L24^0.5</f>
        <v>0.10058676448029386</v>
      </c>
      <c r="M36" s="6">
        <f>0.34-0.14*M24^0.5</f>
        <v>0.09673271548617784</v>
      </c>
    </row>
    <row r="37" spans="1:13" ht="12.75">
      <c r="A37" s="5" t="s">
        <v>26</v>
      </c>
      <c r="B37" s="6">
        <f>1.35*B33/B32-0.35</f>
        <v>0.6038694794141934</v>
      </c>
      <c r="C37" s="6">
        <f aca="true" t="shared" si="9" ref="C37:M37">1.35*C33/C32-0.35</f>
        <v>0.6112891690930242</v>
      </c>
      <c r="D37" s="6">
        <f t="shared" si="9"/>
        <v>0.5464640837886099</v>
      </c>
      <c r="E37" s="6">
        <f t="shared" si="9"/>
        <v>0.5564472398131227</v>
      </c>
      <c r="F37" s="6">
        <f t="shared" si="9"/>
        <v>0.6425303363495302</v>
      </c>
      <c r="G37" s="6">
        <f t="shared" si="9"/>
        <v>0.7263429687876249</v>
      </c>
      <c r="H37" s="6">
        <f t="shared" si="9"/>
        <v>0.7241394653970917</v>
      </c>
      <c r="I37" s="6">
        <f t="shared" si="9"/>
        <v>0.7145582685777833</v>
      </c>
      <c r="J37" s="6">
        <f t="shared" si="9"/>
        <v>0.7015909622721189</v>
      </c>
      <c r="K37" s="6">
        <f t="shared" si="9"/>
        <v>0.6890101860777099</v>
      </c>
      <c r="L37" s="6">
        <f t="shared" si="9"/>
        <v>0.5337741051278676</v>
      </c>
      <c r="M37" s="6">
        <f t="shared" si="9"/>
        <v>0.5300344957852156</v>
      </c>
    </row>
    <row r="38" spans="1:13" ht="12.75">
      <c r="A38" s="5" t="s">
        <v>28</v>
      </c>
      <c r="B38" s="6">
        <f>B35*B36*B37</f>
        <v>2.3442975629773275</v>
      </c>
      <c r="C38" s="6">
        <f aca="true" t="shared" si="10" ref="C38:J38">C35*C36*C37</f>
        <v>2.3644873158801585</v>
      </c>
      <c r="D38" s="6">
        <f t="shared" si="10"/>
        <v>1.9813099015685691</v>
      </c>
      <c r="E38" s="6">
        <f t="shared" si="10"/>
        <v>1.955508737166672</v>
      </c>
      <c r="F38" s="6">
        <f t="shared" si="10"/>
        <v>2.4429657310348203</v>
      </c>
      <c r="G38" s="6">
        <f t="shared" si="10"/>
        <v>3.25945860250316</v>
      </c>
      <c r="H38" s="6">
        <f t="shared" si="10"/>
        <v>3.5001131515983954</v>
      </c>
      <c r="I38" s="6">
        <f t="shared" si="10"/>
        <v>3.5120646444828125</v>
      </c>
      <c r="J38" s="6">
        <f t="shared" si="10"/>
        <v>3.2241752421858925</v>
      </c>
      <c r="K38" s="6">
        <f>K35*K36*K37</f>
        <v>2.8618874234351055</v>
      </c>
      <c r="L38" s="6">
        <f>L35*L36*L37</f>
        <v>2.140368844412328</v>
      </c>
      <c r="M38" s="6">
        <f>M35*M36*M37</f>
        <v>2.041218643269468</v>
      </c>
    </row>
    <row r="39" spans="1:13" ht="12.75">
      <c r="A39" s="5" t="s">
        <v>29</v>
      </c>
      <c r="B39" s="6">
        <f>0.14*(C16-B16)</f>
        <v>0.027999999999999903</v>
      </c>
      <c r="C39" s="6">
        <f>0.07*(D16-B16)</f>
        <v>0.021000000000000053</v>
      </c>
      <c r="D39" s="6">
        <f>0.07*(E16-C16)</f>
        <v>-0.006999999999999852</v>
      </c>
      <c r="E39" s="6">
        <f>0.07*(F16-D16)</f>
        <v>-0.07</v>
      </c>
      <c r="F39" s="6">
        <f>0.07*(G16-E16)</f>
        <v>-0.28</v>
      </c>
      <c r="G39" s="6">
        <f>0.07*(H16-F16)</f>
        <v>-0.32899999999999996</v>
      </c>
      <c r="H39" s="6">
        <f>0.07*(I16-G16)</f>
        <v>-0.09100000000000005</v>
      </c>
      <c r="I39" s="6">
        <f>0.07*(J16-H16)</f>
        <v>0.13299999999999992</v>
      </c>
      <c r="J39" s="6">
        <f>0.07*(K16-I16)</f>
        <v>0.28</v>
      </c>
      <c r="K39" s="6">
        <f>0.07*(L16-J16)</f>
        <v>0.22399999999999998</v>
      </c>
      <c r="L39" s="6">
        <f>0.07*(M16-K16)</f>
        <v>0.05600000000000006</v>
      </c>
      <c r="M39" s="6">
        <f>0.14*(M16-L16)</f>
        <v>-0.013999999999999704</v>
      </c>
    </row>
    <row r="40" spans="1:13" ht="12.75">
      <c r="A40" s="5" t="s">
        <v>30</v>
      </c>
      <c r="B40" s="6">
        <f>B34-B38</f>
        <v>13.700905120850994</v>
      </c>
      <c r="C40" s="6">
        <f aca="true" t="shared" si="11" ref="C40:M40">C34-C38</f>
        <v>13.78001050935356</v>
      </c>
      <c r="D40" s="6">
        <f t="shared" si="11"/>
        <v>12.595563619053799</v>
      </c>
      <c r="E40" s="6">
        <f t="shared" si="11"/>
        <v>11.607795634202553</v>
      </c>
      <c r="F40" s="6">
        <f t="shared" si="11"/>
        <v>10.967916601836901</v>
      </c>
      <c r="G40" s="6">
        <f t="shared" si="11"/>
        <v>10.354594168179945</v>
      </c>
      <c r="H40" s="6">
        <f t="shared" si="11"/>
        <v>10.356211273886935</v>
      </c>
      <c r="I40" s="6">
        <f t="shared" si="11"/>
        <v>11.507914796795895</v>
      </c>
      <c r="J40" s="6">
        <f t="shared" si="11"/>
        <v>13.130733869093909</v>
      </c>
      <c r="K40" s="6">
        <f t="shared" si="11"/>
        <v>14.241847680048041</v>
      </c>
      <c r="L40" s="6">
        <f t="shared" si="11"/>
        <v>12.648833149069016</v>
      </c>
      <c r="M40" s="6">
        <f t="shared" si="11"/>
        <v>12.686958996876148</v>
      </c>
    </row>
    <row r="41" spans="1:13" ht="12.75">
      <c r="A41" s="5" t="s">
        <v>32</v>
      </c>
      <c r="B41" s="6">
        <f>0.408*B18*(B40-B39)+B20*(900/(B16+273))*B25*(B23-B24)</f>
        <v>1.5513391689438687</v>
      </c>
      <c r="C41" s="6">
        <f>0.408*C18*(C40-C39)+C20*(900/(C16+273))*C25*(C23-C24)</f>
        <v>1.5945220053794993</v>
      </c>
      <c r="D41" s="6">
        <f>0.408*D18*(D40-D39)+D20*(900/(D16+273))*D25*(D23-D24)</f>
        <v>1.4290993064416706</v>
      </c>
      <c r="E41" s="6">
        <f>0.408*E18*(E40-E39)+E20*(900/(E16+273))*E25*(E23-E24)</f>
        <v>1.2810866150867168</v>
      </c>
      <c r="F41" s="6">
        <f>0.408*F18*(F40-F39)+F20*(900/(F16+273))*F25*(F23-F24)</f>
        <v>1.226314972246962</v>
      </c>
      <c r="G41" s="6">
        <f>0.408*G18*(G40-G39)+G20*(900/(G16+273))*G25*(G23-G24)</f>
        <v>1.0117054759510467</v>
      </c>
      <c r="H41" s="6">
        <f>0.408*H18*(H40-H39)+H20*(900/(H16+273))*H25*(H23-H24)</f>
        <v>0.9287200387268322</v>
      </c>
      <c r="I41" s="6">
        <f>0.408*I18*(I40-I39)+I20*(900/(I16+273))*I25*(I23-I24)</f>
        <v>1.024869188209504</v>
      </c>
      <c r="J41" s="6">
        <f>0.408*J18*(J40-J39)+J20*(900/(J16+273))*J25*(J23-J24)</f>
        <v>1.2320650748870317</v>
      </c>
      <c r="K41" s="6">
        <f>0.408*K18*(K40-K39)+K20*(900/(K16+273))*K25*(K23-K24)</f>
        <v>1.4855713337196914</v>
      </c>
      <c r="L41" s="6">
        <f>0.408*L18*(L40-L39)+L20*(900/(L16+273))*L25*(L23-L24)</f>
        <v>1.4509734185526093</v>
      </c>
      <c r="M41" s="6">
        <f>0.408*M18*(M40-M39)+M20*(900/(M16+273))*M25*(M23-M24)</f>
        <v>1.403245284693335</v>
      </c>
    </row>
    <row r="42" spans="1:13" ht="12.75">
      <c r="A42" s="5" t="s">
        <v>33</v>
      </c>
      <c r="B42" s="6">
        <f>B18+B20*(1+0.34*B25)</f>
        <v>0.33187106537146865</v>
      </c>
      <c r="C42" s="6">
        <f>C18+C20*(1+0.34*C25)</f>
        <v>0.33406519443207905</v>
      </c>
      <c r="D42" s="6">
        <f>D18+D20*(1+0.34*D25)</f>
        <v>0.33516930828436525</v>
      </c>
      <c r="E42" s="6">
        <f>E18+E20*(1+0.34*E25)</f>
        <v>0.33296578540918154</v>
      </c>
      <c r="F42" s="6">
        <f>F18+F20*(1+0.34*F25)</f>
        <v>0.3243379934605072</v>
      </c>
      <c r="G42" s="6">
        <f>G18+G20*(1+0.34*G25)</f>
        <v>0.29266956463207255</v>
      </c>
      <c r="H42" s="6">
        <f>H18+H20*(1+0.34*H25)</f>
        <v>0.2792944554185347</v>
      </c>
      <c r="I42" s="6">
        <f>I18+I20*(1+0.34*I25)</f>
        <v>0.28102642280010637</v>
      </c>
      <c r="J42" s="6">
        <f>J18+J20*(1+0.34*J25)</f>
        <v>0.2963895021897589</v>
      </c>
      <c r="K42" s="6">
        <f>K18+K20*(1+0.34*K25)</f>
        <v>0.3190944483574816</v>
      </c>
      <c r="L42" s="6">
        <f>L18+L20*(1+0.34*L25)</f>
        <v>0.32861488127640615</v>
      </c>
      <c r="M42" s="6">
        <f>M18+M20*(1+0.34*M25)</f>
        <v>0.32753875946919064</v>
      </c>
    </row>
    <row r="43" spans="1:13" ht="12.75">
      <c r="A43" s="5" t="s">
        <v>37</v>
      </c>
      <c r="B43" s="7">
        <f>B41/B42</f>
        <v>4.674523725674697</v>
      </c>
      <c r="C43" s="7">
        <f aca="true" t="shared" si="12" ref="C43:J43">C41/C42</f>
        <v>4.773086307570098</v>
      </c>
      <c r="D43" s="7">
        <f t="shared" si="12"/>
        <v>4.263813156869334</v>
      </c>
      <c r="E43" s="7">
        <f t="shared" si="12"/>
        <v>3.8475022696773182</v>
      </c>
      <c r="F43" s="7">
        <f t="shared" si="12"/>
        <v>3.780978476073243</v>
      </c>
      <c r="G43" s="7">
        <f t="shared" si="12"/>
        <v>3.45681819434455</v>
      </c>
      <c r="H43" s="7">
        <f t="shared" si="12"/>
        <v>3.3252362182955095</v>
      </c>
      <c r="I43" s="7">
        <f t="shared" si="12"/>
        <v>3.6468783895758152</v>
      </c>
      <c r="J43" s="7">
        <f t="shared" si="12"/>
        <v>4.156911988394989</v>
      </c>
      <c r="K43" s="7">
        <f>K41/K42</f>
        <v>4.6555850199418245</v>
      </c>
      <c r="L43" s="7">
        <f>L41/L42</f>
        <v>4.415422128531542</v>
      </c>
      <c r="M43" s="7">
        <f>M41/M42</f>
        <v>4.284211392164501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Rui Teixeira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Teixeira</dc:creator>
  <cp:keywords/>
  <dc:description/>
  <cp:lastModifiedBy>jlteixeira</cp:lastModifiedBy>
  <dcterms:created xsi:type="dcterms:W3CDTF">2008-12-11T15:46:20Z</dcterms:created>
  <dcterms:modified xsi:type="dcterms:W3CDTF">2014-05-05T14:24:49Z</dcterms:modified>
  <cp:category/>
  <cp:version/>
  <cp:contentType/>
  <cp:contentStatus/>
</cp:coreProperties>
</file>